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1040" yWindow="460" windowWidth="32560" windowHeight="20540" tabRatio="500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'Bulges_Constr_NonXtal_GPCRdb#'!$A$1:$AE$413</definedName>
    <definedName name="_xlnm._FilterDatabase" localSheetId="5" hidden="1">'SegEnds_NonXtal_BW#'!$A$1:$AL$413</definedName>
    <definedName name="_xlnm._FilterDatabase" localSheetId="0" hidden="1">'SegEnds_Xtal_Prot#'!$A$1:$CT$419</definedName>
    <definedName name="GPCRdb_alignment" localSheetId="8">Seqs!$A$413:$B$414</definedName>
    <definedName name="human_GPCR_fasta.fas" localSheetId="8">Seqs!$A$8:$B$411</definedName>
    <definedName name="xtal_templates_1" localSheetId="10">Xtal_Templ!$A$2:$B$413</definedName>
    <definedName name="xtal_templates_3" localSheetId="10">Xtal_Templ!$A$2:$B$413</definedName>
    <definedName name="xtal_templates_4" localSheetId="10">Xtal_Templ!$A$2:$B$413</definedName>
    <definedName name="xtal_templates_6" localSheetId="10">Xtal_Templ!$A$2:$B$413</definedName>
    <definedName name="xtal_templates_7" localSheetId="10">Xtal_Templ!$A$2:$B$413</definedName>
    <definedName name="xtal_templates_8" localSheetId="10">Xtal_Templ!$A$2:$B$413</definedName>
    <definedName name="Z_3E3401AF_8459_8641_BD70_AD04F80E86ED_.wvu.FilterData" localSheetId="7" hidden="1">'Bulges_Constr_NonXtal_GPCRdb#'!$A$1:$AE$413</definedName>
    <definedName name="Z_3E3401AF_8459_8641_BD70_AD04F80E86ED_.wvu.FilterData" localSheetId="5" hidden="1">'SegEnds_NonXtal_BW#'!$A$1:$AL$413</definedName>
    <definedName name="Z_3E3401AF_8459_8641_BD70_AD04F80E86ED_.wvu.FilterData" localSheetId="0" hidden="1">'SegEnds_Xtal_Prot#'!$A$1:$CT$419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19" i="1" l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Z155" i="1"/>
  <c r="BA155" i="1"/>
  <c r="BB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BC155" i="1"/>
  <c r="CT155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E77" i="2"/>
  <c r="B189" i="4"/>
  <c r="E189" i="4"/>
  <c r="F88" i="5"/>
  <c r="D77" i="2"/>
  <c r="D189" i="4"/>
  <c r="E88" i="5"/>
  <c r="D12" i="2"/>
  <c r="B37" i="4"/>
  <c r="D37" i="4"/>
  <c r="E60" i="5"/>
  <c r="AC78" i="2"/>
  <c r="I88" i="5"/>
  <c r="F77" i="2"/>
  <c r="F189" i="4"/>
  <c r="H88" i="5"/>
  <c r="AD78" i="2"/>
  <c r="AE78" i="2"/>
  <c r="H77" i="2"/>
  <c r="H189" i="4"/>
  <c r="K88" i="5"/>
  <c r="H12" i="2"/>
  <c r="H37" i="4"/>
  <c r="K60" i="5"/>
  <c r="AF78" i="2"/>
  <c r="AG78" i="2"/>
  <c r="AH78" i="2"/>
  <c r="AI78" i="2"/>
  <c r="AJ78" i="2"/>
  <c r="AK78" i="2"/>
  <c r="M77" i="2"/>
  <c r="M189" i="4"/>
  <c r="R88" i="5"/>
  <c r="L77" i="2"/>
  <c r="L189" i="4"/>
  <c r="Q88" i="5"/>
  <c r="M12" i="2"/>
  <c r="M37" i="4"/>
  <c r="R60" i="5"/>
  <c r="L12" i="2"/>
  <c r="L37" i="4"/>
  <c r="Q60" i="5"/>
  <c r="AL78" i="2"/>
  <c r="AM78" i="2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Z93" i="1"/>
  <c r="BA93" i="1"/>
  <c r="BB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BC93" i="1"/>
  <c r="CT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BC94" i="1"/>
  <c r="CT9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V77" i="2"/>
  <c r="A44" i="2"/>
  <c r="A45" i="2"/>
  <c r="A46" i="2"/>
  <c r="A47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C12" i="2"/>
  <c r="E12" i="2"/>
  <c r="F12" i="2"/>
  <c r="G12" i="2"/>
  <c r="I12" i="2"/>
  <c r="J12" i="2"/>
  <c r="K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C77" i="2"/>
  <c r="G77" i="2"/>
  <c r="I77" i="2"/>
  <c r="J77" i="2"/>
  <c r="K77" i="2"/>
  <c r="N77" i="2"/>
  <c r="O77" i="2"/>
  <c r="P77" i="2"/>
  <c r="Q77" i="2"/>
  <c r="R77" i="2"/>
  <c r="S77" i="2"/>
  <c r="T77" i="2"/>
  <c r="U77" i="2"/>
  <c r="W77" i="2"/>
  <c r="X77" i="2"/>
  <c r="Y77" i="2"/>
  <c r="Z77" i="2"/>
  <c r="V189" i="4"/>
  <c r="B65" i="4"/>
  <c r="V65" i="4"/>
  <c r="A77" i="2"/>
  <c r="AA77" i="2"/>
  <c r="AB77" i="2"/>
  <c r="B246" i="4"/>
  <c r="E246" i="4"/>
  <c r="F87" i="5"/>
  <c r="D246" i="4"/>
  <c r="E87" i="5"/>
  <c r="AC77" i="2"/>
  <c r="I87" i="5"/>
  <c r="F246" i="4"/>
  <c r="H87" i="5"/>
  <c r="AD77" i="2"/>
  <c r="AE77" i="2"/>
  <c r="H246" i="4"/>
  <c r="K87" i="5"/>
  <c r="AF77" i="2"/>
  <c r="AG77" i="2"/>
  <c r="AH77" i="2"/>
  <c r="AI77" i="2"/>
  <c r="AJ77" i="2"/>
  <c r="AK77" i="2"/>
  <c r="M246" i="4"/>
  <c r="R87" i="5"/>
  <c r="L246" i="4"/>
  <c r="Q87" i="5"/>
  <c r="AL77" i="2"/>
  <c r="AM77" i="2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Z181" i="1"/>
  <c r="BA181" i="1"/>
  <c r="BB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BC181" i="1"/>
  <c r="CT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V118" i="1"/>
  <c r="AD144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F144" i="1"/>
  <c r="AH144" i="1"/>
  <c r="AJ144" i="1"/>
  <c r="AL144" i="1"/>
  <c r="AN144" i="1"/>
  <c r="AP144" i="1"/>
  <c r="AR144" i="1"/>
  <c r="AT144" i="1"/>
  <c r="AV144" i="1"/>
  <c r="AX144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Z140" i="1"/>
  <c r="BA140" i="1"/>
  <c r="BB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CT140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AR392" i="1"/>
  <c r="AT392" i="1"/>
  <c r="AV392" i="1"/>
  <c r="AX392" i="1"/>
  <c r="AZ392" i="1"/>
  <c r="BA392" i="1"/>
  <c r="BB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BC392" i="1"/>
  <c r="CT392" i="1"/>
  <c r="A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AR391" i="1"/>
  <c r="AT391" i="1"/>
  <c r="AV391" i="1"/>
  <c r="AX391" i="1"/>
  <c r="AZ391" i="1"/>
  <c r="BA391" i="1"/>
  <c r="BB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BC391" i="1"/>
  <c r="CT391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A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A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AR351" i="1"/>
  <c r="AT351" i="1"/>
  <c r="AV351" i="1"/>
  <c r="AX351" i="1"/>
  <c r="A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AR352" i="1"/>
  <c r="AT352" i="1"/>
  <c r="AV352" i="1"/>
  <c r="AX352" i="1"/>
  <c r="A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AR353" i="1"/>
  <c r="AT353" i="1"/>
  <c r="AV353" i="1"/>
  <c r="AX353" i="1"/>
  <c r="A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AR354" i="1"/>
  <c r="AT354" i="1"/>
  <c r="AV354" i="1"/>
  <c r="AX354" i="1"/>
  <c r="A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AR355" i="1"/>
  <c r="AT355" i="1"/>
  <c r="AV355" i="1"/>
  <c r="AX355" i="1"/>
  <c r="A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AR356" i="1"/>
  <c r="AT356" i="1"/>
  <c r="AV356" i="1"/>
  <c r="AX356" i="1"/>
  <c r="A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AR357" i="1"/>
  <c r="AT357" i="1"/>
  <c r="AV357" i="1"/>
  <c r="AX357" i="1"/>
  <c r="A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AR358" i="1"/>
  <c r="AT358" i="1"/>
  <c r="AV358" i="1"/>
  <c r="AX358" i="1"/>
  <c r="A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AR359" i="1"/>
  <c r="AT359" i="1"/>
  <c r="AV359" i="1"/>
  <c r="AX359" i="1"/>
  <c r="A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AR360" i="1"/>
  <c r="AT360" i="1"/>
  <c r="AV360" i="1"/>
  <c r="AX360" i="1"/>
  <c r="A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AR361" i="1"/>
  <c r="AT361" i="1"/>
  <c r="AV361" i="1"/>
  <c r="AX361" i="1"/>
  <c r="A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AR362" i="1"/>
  <c r="AT362" i="1"/>
  <c r="AV362" i="1"/>
  <c r="AX362" i="1"/>
  <c r="A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AR363" i="1"/>
  <c r="AT363" i="1"/>
  <c r="AV363" i="1"/>
  <c r="AX363" i="1"/>
  <c r="A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AR364" i="1"/>
  <c r="AT364" i="1"/>
  <c r="AV364" i="1"/>
  <c r="AX364" i="1"/>
  <c r="A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AR365" i="1"/>
  <c r="AT365" i="1"/>
  <c r="AV365" i="1"/>
  <c r="AX365" i="1"/>
  <c r="A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AR366" i="1"/>
  <c r="AT366" i="1"/>
  <c r="AV366" i="1"/>
  <c r="AX366" i="1"/>
  <c r="A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AR367" i="1"/>
  <c r="AT367" i="1"/>
  <c r="AV367" i="1"/>
  <c r="AX367" i="1"/>
  <c r="A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AR368" i="1"/>
  <c r="AT368" i="1"/>
  <c r="AV368" i="1"/>
  <c r="AX368" i="1"/>
  <c r="A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AR369" i="1"/>
  <c r="AT369" i="1"/>
  <c r="AV369" i="1"/>
  <c r="AX369" i="1"/>
  <c r="A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AR370" i="1"/>
  <c r="AT370" i="1"/>
  <c r="AV370" i="1"/>
  <c r="AX370" i="1"/>
  <c r="A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AR371" i="1"/>
  <c r="AT371" i="1"/>
  <c r="AV371" i="1"/>
  <c r="AX371" i="1"/>
  <c r="A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AR372" i="1"/>
  <c r="AT372" i="1"/>
  <c r="AV372" i="1"/>
  <c r="AX372" i="1"/>
  <c r="A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AR373" i="1"/>
  <c r="AT373" i="1"/>
  <c r="AV373" i="1"/>
  <c r="AX373" i="1"/>
  <c r="A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AR374" i="1"/>
  <c r="AT374" i="1"/>
  <c r="AV374" i="1"/>
  <c r="AX374" i="1"/>
  <c r="A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AR375" i="1"/>
  <c r="AT375" i="1"/>
  <c r="AV375" i="1"/>
  <c r="AX375" i="1"/>
  <c r="A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AR376" i="1"/>
  <c r="AT376" i="1"/>
  <c r="AV376" i="1"/>
  <c r="AX376" i="1"/>
  <c r="A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AR377" i="1"/>
  <c r="AT377" i="1"/>
  <c r="AV377" i="1"/>
  <c r="AX377" i="1"/>
  <c r="A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AR378" i="1"/>
  <c r="AT378" i="1"/>
  <c r="AV378" i="1"/>
  <c r="AX378" i="1"/>
  <c r="A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AR379" i="1"/>
  <c r="AT379" i="1"/>
  <c r="AV379" i="1"/>
  <c r="AX379" i="1"/>
  <c r="A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AR380" i="1"/>
  <c r="AT380" i="1"/>
  <c r="AV380" i="1"/>
  <c r="AX380" i="1"/>
  <c r="A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AR381" i="1"/>
  <c r="AT381" i="1"/>
  <c r="AV381" i="1"/>
  <c r="AX381" i="1"/>
  <c r="A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AR382" i="1"/>
  <c r="AT382" i="1"/>
  <c r="AV382" i="1"/>
  <c r="AX382" i="1"/>
  <c r="A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AR383" i="1"/>
  <c r="AT383" i="1"/>
  <c r="AV383" i="1"/>
  <c r="AX383" i="1"/>
  <c r="A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AR384" i="1"/>
  <c r="AT384" i="1"/>
  <c r="AV384" i="1"/>
  <c r="AX384" i="1"/>
  <c r="A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AR385" i="1"/>
  <c r="AT385" i="1"/>
  <c r="AV385" i="1"/>
  <c r="AX385" i="1"/>
  <c r="A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AR386" i="1"/>
  <c r="AT386" i="1"/>
  <c r="AV386" i="1"/>
  <c r="AX386" i="1"/>
  <c r="A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AR387" i="1"/>
  <c r="AT387" i="1"/>
  <c r="AV387" i="1"/>
  <c r="AX387" i="1"/>
  <c r="A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AR388" i="1"/>
  <c r="AT388" i="1"/>
  <c r="AV388" i="1"/>
  <c r="AX388" i="1"/>
  <c r="A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AR389" i="1"/>
  <c r="AT389" i="1"/>
  <c r="AV389" i="1"/>
  <c r="AX389" i="1"/>
  <c r="A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AR390" i="1"/>
  <c r="AT390" i="1"/>
  <c r="AV390" i="1"/>
  <c r="AX390" i="1"/>
  <c r="A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AR393" i="1"/>
  <c r="AT393" i="1"/>
  <c r="AV393" i="1"/>
  <c r="AX393" i="1"/>
  <c r="A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AR394" i="1"/>
  <c r="AT394" i="1"/>
  <c r="AV394" i="1"/>
  <c r="AX394" i="1"/>
  <c r="A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AR395" i="1"/>
  <c r="AT395" i="1"/>
  <c r="AV395" i="1"/>
  <c r="AX395" i="1"/>
  <c r="A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AR396" i="1"/>
  <c r="AT396" i="1"/>
  <c r="AV396" i="1"/>
  <c r="AX396" i="1"/>
  <c r="A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AR397" i="1"/>
  <c r="AT397" i="1"/>
  <c r="AV397" i="1"/>
  <c r="AX397" i="1"/>
  <c r="A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AR398" i="1"/>
  <c r="AT398" i="1"/>
  <c r="AV398" i="1"/>
  <c r="AX398" i="1"/>
  <c r="A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AR399" i="1"/>
  <c r="AT399" i="1"/>
  <c r="AV399" i="1"/>
  <c r="AX399" i="1"/>
  <c r="A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AR400" i="1"/>
  <c r="AT400" i="1"/>
  <c r="AV400" i="1"/>
  <c r="AX400" i="1"/>
  <c r="A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AR401" i="1"/>
  <c r="AT401" i="1"/>
  <c r="AV401" i="1"/>
  <c r="AX401" i="1"/>
  <c r="A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AR402" i="1"/>
  <c r="AT402" i="1"/>
  <c r="AV402" i="1"/>
  <c r="AX402" i="1"/>
  <c r="A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AR403" i="1"/>
  <c r="AT403" i="1"/>
  <c r="AV403" i="1"/>
  <c r="AX403" i="1"/>
  <c r="A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AR404" i="1"/>
  <c r="AT404" i="1"/>
  <c r="AV404" i="1"/>
  <c r="AX404" i="1"/>
  <c r="A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AR405" i="1"/>
  <c r="AT405" i="1"/>
  <c r="AV405" i="1"/>
  <c r="AX405" i="1"/>
  <c r="A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AR406" i="1"/>
  <c r="AT406" i="1"/>
  <c r="AV406" i="1"/>
  <c r="AX406" i="1"/>
  <c r="A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AR407" i="1"/>
  <c r="AT407" i="1"/>
  <c r="AV407" i="1"/>
  <c r="AX407" i="1"/>
  <c r="A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AR408" i="1"/>
  <c r="AT408" i="1"/>
  <c r="AV408" i="1"/>
  <c r="AX408" i="1"/>
  <c r="A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AR409" i="1"/>
  <c r="AT409" i="1"/>
  <c r="AV409" i="1"/>
  <c r="AX409" i="1"/>
  <c r="A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AR410" i="1"/>
  <c r="AT410" i="1"/>
  <c r="AV410" i="1"/>
  <c r="AX410" i="1"/>
  <c r="A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AR411" i="1"/>
  <c r="AT411" i="1"/>
  <c r="AV411" i="1"/>
  <c r="AX411" i="1"/>
  <c r="A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AR412" i="1"/>
  <c r="AT412" i="1"/>
  <c r="AV412" i="1"/>
  <c r="AX412" i="1"/>
  <c r="A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AR413" i="1"/>
  <c r="AT413" i="1"/>
  <c r="AV413" i="1"/>
  <c r="AX413" i="1"/>
  <c r="A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AR414" i="1"/>
  <c r="AT414" i="1"/>
  <c r="AV414" i="1"/>
  <c r="AX414" i="1"/>
  <c r="A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AR415" i="1"/>
  <c r="AT415" i="1"/>
  <c r="AV415" i="1"/>
  <c r="AX415" i="1"/>
  <c r="A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AR416" i="1"/>
  <c r="AT416" i="1"/>
  <c r="AV416" i="1"/>
  <c r="AX416" i="1"/>
  <c r="A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AR417" i="1"/>
  <c r="AT417" i="1"/>
  <c r="AV417" i="1"/>
  <c r="AX417" i="1"/>
  <c r="A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AR418" i="1"/>
  <c r="AT418" i="1"/>
  <c r="AV418" i="1"/>
  <c r="AX418" i="1"/>
  <c r="A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AR419" i="1"/>
  <c r="AT419" i="1"/>
  <c r="AV419" i="1"/>
  <c r="AX419" i="1"/>
  <c r="A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AR420" i="1"/>
  <c r="AT420" i="1"/>
  <c r="AV420" i="1"/>
  <c r="AX420" i="1"/>
  <c r="A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AR421" i="1"/>
  <c r="AT421" i="1"/>
  <c r="AV421" i="1"/>
  <c r="AX421" i="1"/>
  <c r="A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AR422" i="1"/>
  <c r="AT422" i="1"/>
  <c r="AV422" i="1"/>
  <c r="AX422" i="1"/>
  <c r="A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AR423" i="1"/>
  <c r="AT423" i="1"/>
  <c r="AV423" i="1"/>
  <c r="AX423" i="1"/>
  <c r="A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AR424" i="1"/>
  <c r="AT424" i="1"/>
  <c r="AV424" i="1"/>
  <c r="AX424" i="1"/>
  <c r="A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AR425" i="1"/>
  <c r="AT425" i="1"/>
  <c r="AV425" i="1"/>
  <c r="AX425" i="1"/>
  <c r="A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AR426" i="1"/>
  <c r="AT426" i="1"/>
  <c r="AV426" i="1"/>
  <c r="AX426" i="1"/>
  <c r="A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AR427" i="1"/>
  <c r="AT427" i="1"/>
  <c r="AV427" i="1"/>
  <c r="AX427" i="1"/>
  <c r="B308" i="4"/>
  <c r="S308" i="4"/>
  <c r="B307" i="4"/>
  <c r="S307" i="4"/>
  <c r="B304" i="4"/>
  <c r="S304" i="4"/>
  <c r="B300" i="4"/>
  <c r="S300" i="4"/>
  <c r="B302" i="4"/>
  <c r="S302" i="4"/>
  <c r="B314" i="4"/>
  <c r="S314" i="4"/>
  <c r="B313" i="4"/>
  <c r="S313" i="4"/>
  <c r="B305" i="4"/>
  <c r="S305" i="4"/>
  <c r="B306" i="4"/>
  <c r="S306" i="4"/>
  <c r="B315" i="4"/>
  <c r="S315" i="4"/>
  <c r="B309" i="4"/>
  <c r="S309" i="4"/>
  <c r="B303" i="4"/>
  <c r="S303" i="4"/>
  <c r="B310" i="4"/>
  <c r="S310" i="4"/>
  <c r="B312" i="4"/>
  <c r="S312" i="4"/>
  <c r="B311" i="4"/>
  <c r="S311" i="4"/>
  <c r="B301" i="4"/>
  <c r="S301" i="4"/>
  <c r="B186" i="4"/>
  <c r="S186" i="4"/>
  <c r="AZ390" i="1"/>
  <c r="BA390" i="1"/>
  <c r="BB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BC390" i="1"/>
  <c r="CT390" i="1"/>
  <c r="B223" i="4"/>
  <c r="D223" i="4"/>
  <c r="B204" i="4"/>
  <c r="E204" i="4"/>
  <c r="F204" i="4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180" i="1"/>
  <c r="BA180" i="1"/>
  <c r="BB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BC180" i="1"/>
  <c r="CT180" i="1"/>
  <c r="AA76" i="2"/>
  <c r="AB76" i="2"/>
  <c r="B263" i="4"/>
  <c r="E263" i="4"/>
  <c r="F240" i="5"/>
  <c r="D263" i="4"/>
  <c r="E240" i="5"/>
  <c r="AC76" i="2"/>
  <c r="I240" i="5"/>
  <c r="F263" i="4"/>
  <c r="H240" i="5"/>
  <c r="AD76" i="2"/>
  <c r="AE76" i="2"/>
  <c r="H263" i="4"/>
  <c r="K240" i="5"/>
  <c r="AF76" i="2"/>
  <c r="AG76" i="2"/>
  <c r="AH76" i="2"/>
  <c r="AI76" i="2"/>
  <c r="AJ76" i="2"/>
  <c r="AK76" i="2"/>
  <c r="M263" i="4"/>
  <c r="R240" i="5"/>
  <c r="L263" i="4"/>
  <c r="Q240" i="5"/>
  <c r="AL76" i="2"/>
  <c r="AM76" i="2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358" i="1"/>
  <c r="BA358" i="1"/>
  <c r="BB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BC358" i="1"/>
  <c r="CT358" i="1"/>
  <c r="B260" i="6"/>
  <c r="C260" i="6"/>
  <c r="D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B240" i="5"/>
  <c r="B286" i="4"/>
  <c r="C286" i="4"/>
  <c r="C263" i="4"/>
  <c r="C240" i="5"/>
  <c r="D286" i="4"/>
  <c r="E286" i="4"/>
  <c r="F286" i="4"/>
  <c r="L240" i="5"/>
  <c r="N240" i="5"/>
  <c r="O240" i="5"/>
  <c r="L286" i="4"/>
  <c r="M286" i="4"/>
  <c r="N263" i="4"/>
  <c r="T240" i="5"/>
  <c r="O286" i="4"/>
  <c r="O263" i="4"/>
  <c r="U240" i="5"/>
  <c r="P286" i="4"/>
  <c r="P263" i="4"/>
  <c r="W240" i="5"/>
  <c r="Q286" i="4"/>
  <c r="Q263" i="4"/>
  <c r="X240" i="5"/>
  <c r="Z240" i="5"/>
  <c r="S286" i="4"/>
  <c r="S263" i="4"/>
  <c r="AA240" i="5"/>
  <c r="AI286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86" i="4" a="1"/>
  <c r="T286" i="4"/>
  <c r="AI263" i="4"/>
  <c r="T263" i="4" a="1"/>
  <c r="T263" i="4"/>
  <c r="AC240" i="5"/>
  <c r="H14" i="3"/>
  <c r="U286" i="4" a="1"/>
  <c r="U286" i="4"/>
  <c r="H24" i="3"/>
  <c r="U263" i="4" a="1"/>
  <c r="U263" i="4"/>
  <c r="AD240" i="5"/>
  <c r="AF240" i="5"/>
  <c r="AG240" i="5"/>
  <c r="X286" i="4"/>
  <c r="X263" i="4"/>
  <c r="AI240" i="5"/>
  <c r="Y286" i="4"/>
  <c r="Y263" i="4"/>
  <c r="AJ240" i="5"/>
  <c r="Z286" i="4"/>
  <c r="Z263" i="4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I263" i="4"/>
  <c r="J263" i="4"/>
  <c r="R263" i="4"/>
  <c r="H37" i="3"/>
  <c r="AA263" i="4"/>
  <c r="AB263" i="4"/>
  <c r="AC263" i="4"/>
  <c r="AD263" i="4"/>
  <c r="AE263" i="4"/>
  <c r="AF263" i="4"/>
  <c r="AG263" i="4"/>
  <c r="AH263" i="4"/>
  <c r="AJ263" i="4"/>
  <c r="AK263" i="4"/>
  <c r="AL263" i="4"/>
  <c r="AA75" i="2"/>
  <c r="AB75" i="2"/>
  <c r="B383" i="4"/>
  <c r="D383" i="4"/>
  <c r="E382" i="5"/>
  <c r="AC75" i="2"/>
  <c r="AD75" i="2"/>
  <c r="AE75" i="2"/>
  <c r="I383" i="4"/>
  <c r="L382" i="5"/>
  <c r="H383" i="4"/>
  <c r="K382" i="5"/>
  <c r="AF75" i="2"/>
  <c r="AG75" i="2"/>
  <c r="AH75" i="2"/>
  <c r="AI75" i="2"/>
  <c r="AJ75" i="2"/>
  <c r="K383" i="4"/>
  <c r="O382" i="5"/>
  <c r="J383" i="4"/>
  <c r="N382" i="5"/>
  <c r="AK75" i="2"/>
  <c r="M383" i="4"/>
  <c r="R382" i="5"/>
  <c r="L383" i="4"/>
  <c r="Q382" i="5"/>
  <c r="AL75" i="2"/>
  <c r="AM75" i="2"/>
  <c r="D335" i="9"/>
  <c r="E335" i="9"/>
  <c r="F335" i="9"/>
  <c r="G335" i="9"/>
  <c r="H335" i="9"/>
  <c r="C415" i="7"/>
  <c r="D415" i="7"/>
  <c r="E415" i="7"/>
  <c r="AZ356" i="1"/>
  <c r="BA356" i="1"/>
  <c r="BB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BC356" i="1"/>
  <c r="CT356" i="1"/>
  <c r="AZ357" i="1"/>
  <c r="BA357" i="1"/>
  <c r="BB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BC357" i="1"/>
  <c r="CT357" i="1"/>
  <c r="B382" i="6"/>
  <c r="C382" i="6"/>
  <c r="D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B382" i="5"/>
  <c r="B382" i="4"/>
  <c r="C382" i="4"/>
  <c r="C383" i="4"/>
  <c r="C382" i="5"/>
  <c r="D382" i="4"/>
  <c r="F382" i="5"/>
  <c r="H382" i="5"/>
  <c r="I382" i="5"/>
  <c r="H382" i="4"/>
  <c r="I382" i="4"/>
  <c r="J382" i="4"/>
  <c r="K382" i="4"/>
  <c r="L382" i="4"/>
  <c r="M382" i="4"/>
  <c r="N382" i="4"/>
  <c r="N383" i="4"/>
  <c r="T382" i="5"/>
  <c r="O382" i="4"/>
  <c r="O383" i="4"/>
  <c r="U382" i="5"/>
  <c r="P382" i="4"/>
  <c r="P383" i="4"/>
  <c r="W382" i="5"/>
  <c r="Q382" i="4"/>
  <c r="Q383" i="4"/>
  <c r="X382" i="5"/>
  <c r="Z382" i="5"/>
  <c r="S382" i="4"/>
  <c r="S383" i="4"/>
  <c r="AA382" i="5"/>
  <c r="T382" i="4"/>
  <c r="T383" i="4"/>
  <c r="AC382" i="5"/>
  <c r="U382" i="4"/>
  <c r="U383" i="4"/>
  <c r="AD382" i="5"/>
  <c r="V382" i="4"/>
  <c r="V383" i="4"/>
  <c r="AF382" i="5"/>
  <c r="W382" i="4"/>
  <c r="W383" i="4"/>
  <c r="AG382" i="5"/>
  <c r="X382" i="4"/>
  <c r="X383" i="4"/>
  <c r="AI382" i="5"/>
  <c r="Y382" i="4"/>
  <c r="Y383" i="4"/>
  <c r="AJ382" i="5"/>
  <c r="Z382" i="4"/>
  <c r="Z383" i="4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E383" i="4"/>
  <c r="F383" i="4"/>
  <c r="R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A74" i="2"/>
  <c r="AB74" i="2"/>
  <c r="B268" i="4"/>
  <c r="D268" i="4"/>
  <c r="E260" i="5"/>
  <c r="AC74" i="2"/>
  <c r="AD74" i="2"/>
  <c r="AE74" i="2"/>
  <c r="K260" i="5"/>
  <c r="AF74" i="2"/>
  <c r="AG74" i="2"/>
  <c r="AH74" i="2"/>
  <c r="AI74" i="2"/>
  <c r="AJ74" i="2"/>
  <c r="AK74" i="2"/>
  <c r="M268" i="4"/>
  <c r="R260" i="5"/>
  <c r="L268" i="4"/>
  <c r="Q260" i="5"/>
  <c r="AL74" i="2"/>
  <c r="AM74" i="2"/>
  <c r="A7" i="14"/>
  <c r="B7" i="14"/>
  <c r="C7" i="14"/>
  <c r="E7" i="14"/>
  <c r="F7" i="14"/>
  <c r="G7" i="14"/>
  <c r="H7" i="14"/>
  <c r="D408" i="9"/>
  <c r="E408" i="9"/>
  <c r="F408" i="9"/>
  <c r="G408" i="9"/>
  <c r="H408" i="9"/>
  <c r="C414" i="7"/>
  <c r="D414" i="7"/>
  <c r="E414" i="7"/>
  <c r="AZ423" i="1"/>
  <c r="BA423" i="1"/>
  <c r="BB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BC423" i="1"/>
  <c r="CT423" i="1"/>
  <c r="AZ424" i="1"/>
  <c r="BA424" i="1"/>
  <c r="BB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BC424" i="1"/>
  <c r="CT424" i="1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A73" i="2"/>
  <c r="AB73" i="2"/>
  <c r="B225" i="4"/>
  <c r="D225" i="4"/>
  <c r="E196" i="5"/>
  <c r="AC73" i="2"/>
  <c r="I196" i="5"/>
  <c r="AD73" i="2"/>
  <c r="AE73" i="2"/>
  <c r="H225" i="4"/>
  <c r="K196" i="5"/>
  <c r="AF73" i="2"/>
  <c r="AG73" i="2"/>
  <c r="AH73" i="2"/>
  <c r="AI73" i="2"/>
  <c r="AJ73" i="2"/>
  <c r="AK73" i="2"/>
  <c r="M225" i="4"/>
  <c r="R196" i="5"/>
  <c r="L225" i="4"/>
  <c r="Q196" i="5"/>
  <c r="AL73" i="2"/>
  <c r="AM73" i="2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13" i="1"/>
  <c r="BA213" i="1"/>
  <c r="BB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BC213" i="1"/>
  <c r="CT213" i="1"/>
  <c r="I197" i="5"/>
  <c r="I198" i="5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A72" i="2"/>
  <c r="AB72" i="2"/>
  <c r="B167" i="4"/>
  <c r="D167" i="4"/>
  <c r="E191" i="5"/>
  <c r="AC72" i="2"/>
  <c r="AD72" i="2"/>
  <c r="AE72" i="2"/>
  <c r="H167" i="4"/>
  <c r="K191" i="5"/>
  <c r="AF72" i="2"/>
  <c r="AG72" i="2"/>
  <c r="AH72" i="2"/>
  <c r="AI72" i="2"/>
  <c r="AJ72" i="2"/>
  <c r="AK72" i="2"/>
  <c r="M167" i="4"/>
  <c r="R191" i="5"/>
  <c r="L167" i="4"/>
  <c r="Q191" i="5"/>
  <c r="AL72" i="2"/>
  <c r="AM72" i="2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AZ246" i="1"/>
  <c r="BA246" i="1"/>
  <c r="BB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T246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422" i="1"/>
  <c r="BA422" i="1"/>
  <c r="BB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BC422" i="1"/>
  <c r="CT422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86" i="1"/>
  <c r="BA86" i="1"/>
  <c r="BB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BC86" i="1"/>
  <c r="CT86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90" i="1"/>
  <c r="BA90" i="1"/>
  <c r="BB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BC90" i="1"/>
  <c r="CT90" i="1"/>
  <c r="AZ399" i="1"/>
  <c r="BA399" i="1"/>
  <c r="BB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BC399" i="1"/>
  <c r="CT399" i="1"/>
  <c r="AZ398" i="1"/>
  <c r="BA398" i="1"/>
  <c r="BB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BC398" i="1"/>
  <c r="CT398" i="1"/>
  <c r="AZ397" i="1"/>
  <c r="BA397" i="1"/>
  <c r="BB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BC397" i="1"/>
  <c r="CT397" i="1"/>
  <c r="AZ69" i="1"/>
  <c r="BA69" i="1"/>
  <c r="BB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BC69" i="1"/>
  <c r="CT69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A71" i="2"/>
  <c r="AB71" i="2"/>
  <c r="B166" i="4"/>
  <c r="D166" i="4"/>
  <c r="E190" i="5"/>
  <c r="AC71" i="2"/>
  <c r="AD71" i="2"/>
  <c r="AE71" i="2"/>
  <c r="H166" i="4"/>
  <c r="K190" i="5"/>
  <c r="AF71" i="2"/>
  <c r="AG71" i="2"/>
  <c r="AH71" i="2"/>
  <c r="AI71" i="2"/>
  <c r="AJ71" i="2"/>
  <c r="AK71" i="2"/>
  <c r="M166" i="4"/>
  <c r="R190" i="5"/>
  <c r="L166" i="4"/>
  <c r="Q190" i="5"/>
  <c r="AL71" i="2"/>
  <c r="AM71" i="2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BC227" i="1"/>
  <c r="AZ227" i="1"/>
  <c r="BA227" i="1"/>
  <c r="BB227" i="1"/>
  <c r="S166" i="4"/>
  <c r="AA70" i="2"/>
  <c r="AB70" i="2"/>
  <c r="B146" i="4"/>
  <c r="D146" i="4"/>
  <c r="E43" i="5"/>
  <c r="AC70" i="2"/>
  <c r="AD70" i="2"/>
  <c r="AE70" i="2"/>
  <c r="H146" i="4"/>
  <c r="K43" i="5"/>
  <c r="AF70" i="2"/>
  <c r="AG70" i="2"/>
  <c r="AH70" i="2"/>
  <c r="AI70" i="2"/>
  <c r="AJ70" i="2"/>
  <c r="AK70" i="2"/>
  <c r="M146" i="4"/>
  <c r="R43" i="5"/>
  <c r="L146" i="4"/>
  <c r="Q43" i="5"/>
  <c r="AL70" i="2"/>
  <c r="AM70" i="2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226" i="1"/>
  <c r="BA226" i="1"/>
  <c r="BB226" i="1"/>
  <c r="CT226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AA69" i="2"/>
  <c r="AB69" i="2"/>
  <c r="D65" i="4"/>
  <c r="E91" i="5"/>
  <c r="AC69" i="2"/>
  <c r="AD69" i="2"/>
  <c r="AE69" i="2"/>
  <c r="L91" i="5"/>
  <c r="K91" i="5"/>
  <c r="AF69" i="2"/>
  <c r="AG69" i="2"/>
  <c r="AH69" i="2"/>
  <c r="AI69" i="2"/>
  <c r="AJ69" i="2"/>
  <c r="O91" i="5"/>
  <c r="N91" i="5"/>
  <c r="AK69" i="2"/>
  <c r="L65" i="4"/>
  <c r="Q91" i="5"/>
  <c r="AL69" i="2"/>
  <c r="AM69" i="2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5" i="4"/>
  <c r="AA68" i="2"/>
  <c r="AB68" i="2"/>
  <c r="B371" i="4"/>
  <c r="D371" i="4"/>
  <c r="E375" i="5"/>
  <c r="AC68" i="2"/>
  <c r="AD68" i="2"/>
  <c r="AE68" i="2"/>
  <c r="I371" i="4"/>
  <c r="L375" i="5"/>
  <c r="H371" i="4"/>
  <c r="K375" i="5"/>
  <c r="AF68" i="2"/>
  <c r="AG68" i="2"/>
  <c r="AH68" i="2"/>
  <c r="AI68" i="2"/>
  <c r="AJ68" i="2"/>
  <c r="K371" i="4"/>
  <c r="O375" i="5"/>
  <c r="J371" i="4"/>
  <c r="N375" i="5"/>
  <c r="AK68" i="2"/>
  <c r="M371" i="4"/>
  <c r="R375" i="5"/>
  <c r="L371" i="4"/>
  <c r="Q375" i="5"/>
  <c r="R91" i="5"/>
  <c r="AL68" i="2"/>
  <c r="AM68" i="2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V371" i="4"/>
  <c r="AA67" i="2"/>
  <c r="AB67" i="2"/>
  <c r="B287" i="4"/>
  <c r="E287" i="4"/>
  <c r="F241" i="5"/>
  <c r="D287" i="4"/>
  <c r="E241" i="5"/>
  <c r="AC67" i="2"/>
  <c r="I241" i="5"/>
  <c r="F287" i="4"/>
  <c r="H241" i="5"/>
  <c r="AD67" i="2"/>
  <c r="AE67" i="2"/>
  <c r="K241" i="5"/>
  <c r="AF67" i="2"/>
  <c r="AG67" i="2"/>
  <c r="AH67" i="2"/>
  <c r="AI67" i="2"/>
  <c r="AJ67" i="2"/>
  <c r="AK67" i="2"/>
  <c r="M287" i="4"/>
  <c r="R241" i="5"/>
  <c r="L287" i="4"/>
  <c r="Q241" i="5"/>
  <c r="AL67" i="2"/>
  <c r="AM67" i="2"/>
  <c r="AZ410" i="1"/>
  <c r="BA410" i="1"/>
  <c r="BB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BC410" i="1"/>
  <c r="CT410" i="1"/>
  <c r="AZ411" i="1"/>
  <c r="BA411" i="1"/>
  <c r="BB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BC411" i="1"/>
  <c r="CT411" i="1"/>
  <c r="AZ409" i="1"/>
  <c r="BA409" i="1"/>
  <c r="BB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BC409" i="1"/>
  <c r="CT409" i="1"/>
  <c r="AZ408" i="1"/>
  <c r="BA408" i="1"/>
  <c r="BB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BC408" i="1"/>
  <c r="CT408" i="1"/>
  <c r="AZ370" i="1"/>
  <c r="BA370" i="1"/>
  <c r="BB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BC370" i="1"/>
  <c r="CT370" i="1"/>
  <c r="B216" i="4"/>
  <c r="N216" i="4"/>
  <c r="B217" i="4"/>
  <c r="N217" i="4"/>
  <c r="N226" i="5"/>
  <c r="L226" i="5"/>
  <c r="B178" i="4"/>
  <c r="J178" i="4"/>
  <c r="B120" i="4"/>
  <c r="W120" i="4"/>
  <c r="B122" i="4"/>
  <c r="W122" i="4"/>
  <c r="B123" i="4"/>
  <c r="W123" i="4"/>
  <c r="B124" i="4"/>
  <c r="W124" i="4"/>
  <c r="B126" i="4"/>
  <c r="W126" i="4"/>
  <c r="B128" i="4"/>
  <c r="W128" i="4"/>
  <c r="B129" i="4"/>
  <c r="W129" i="4"/>
  <c r="B131" i="4"/>
  <c r="W131" i="4"/>
  <c r="B132" i="4"/>
  <c r="W132" i="4"/>
  <c r="B133" i="4"/>
  <c r="W133" i="4"/>
  <c r="B134" i="4"/>
  <c r="W134" i="4"/>
  <c r="B135" i="4"/>
  <c r="W135" i="4"/>
  <c r="B136" i="4"/>
  <c r="W136" i="4"/>
  <c r="B138" i="4"/>
  <c r="W138" i="4"/>
  <c r="B141" i="4"/>
  <c r="W141" i="4"/>
  <c r="B142" i="4"/>
  <c r="W142" i="4"/>
  <c r="B143" i="4"/>
  <c r="W143" i="4"/>
  <c r="B144" i="4"/>
  <c r="W144" i="4"/>
  <c r="B145" i="4"/>
  <c r="W145" i="4"/>
  <c r="B137" i="4"/>
  <c r="W137" i="4"/>
  <c r="B139" i="4"/>
  <c r="W139" i="4"/>
  <c r="B140" i="4"/>
  <c r="W140" i="4"/>
  <c r="B149" i="4"/>
  <c r="W149" i="4"/>
  <c r="B150" i="4"/>
  <c r="W150" i="4"/>
  <c r="B151" i="4"/>
  <c r="W151" i="4"/>
  <c r="B152" i="4"/>
  <c r="W152" i="4"/>
  <c r="B153" i="4"/>
  <c r="W153" i="4"/>
  <c r="B154" i="4"/>
  <c r="W154" i="4"/>
  <c r="B155" i="4"/>
  <c r="W155" i="4"/>
  <c r="B156" i="4"/>
  <c r="W156" i="4"/>
  <c r="B157" i="4"/>
  <c r="W157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B165" i="4"/>
  <c r="W165" i="4"/>
  <c r="W166" i="4"/>
  <c r="W167" i="4"/>
  <c r="B168" i="4"/>
  <c r="W168" i="4"/>
  <c r="B170" i="4"/>
  <c r="W170" i="4"/>
  <c r="B171" i="4"/>
  <c r="W171" i="4"/>
  <c r="B173" i="4"/>
  <c r="W173" i="4"/>
  <c r="B174" i="4"/>
  <c r="W174" i="4"/>
  <c r="B175" i="4"/>
  <c r="W175" i="4"/>
  <c r="B179" i="4"/>
  <c r="W179" i="4"/>
  <c r="B180" i="4"/>
  <c r="W180" i="4"/>
  <c r="B182" i="4"/>
  <c r="W182" i="4"/>
  <c r="B183" i="4"/>
  <c r="W183" i="4"/>
  <c r="B184" i="4"/>
  <c r="W184" i="4"/>
  <c r="B185" i="4"/>
  <c r="W185" i="4"/>
  <c r="B172" i="4"/>
  <c r="W172" i="4"/>
  <c r="B176" i="4"/>
  <c r="W176" i="4"/>
  <c r="B177" i="4"/>
  <c r="W177" i="4"/>
  <c r="W178" i="4"/>
  <c r="B181" i="4"/>
  <c r="W181" i="4"/>
  <c r="B169" i="4"/>
  <c r="W169" i="4"/>
  <c r="S169" i="4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AZ367" i="1"/>
  <c r="BA367" i="1"/>
  <c r="BB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BC367" i="1"/>
  <c r="CT367" i="1"/>
  <c r="AA66" i="2"/>
  <c r="AB66" i="2"/>
  <c r="E181" i="4"/>
  <c r="F226" i="5"/>
  <c r="D181" i="4"/>
  <c r="E226" i="5"/>
  <c r="AC66" i="2"/>
  <c r="I226" i="5"/>
  <c r="F181" i="4"/>
  <c r="H226" i="5"/>
  <c r="AD66" i="2"/>
  <c r="AE66" i="2"/>
  <c r="I181" i="4"/>
  <c r="H181" i="4"/>
  <c r="K226" i="5"/>
  <c r="L241" i="5"/>
  <c r="AF66" i="2"/>
  <c r="AG66" i="2"/>
  <c r="AH66" i="2"/>
  <c r="AI66" i="2"/>
  <c r="AJ66" i="2"/>
  <c r="O226" i="5"/>
  <c r="J181" i="4"/>
  <c r="AK66" i="2"/>
  <c r="M181" i="4"/>
  <c r="R226" i="5"/>
  <c r="L181" i="4"/>
  <c r="Q226" i="5"/>
  <c r="AL66" i="2"/>
  <c r="AM66" i="2"/>
  <c r="AZ365" i="1"/>
  <c r="BA365" i="1"/>
  <c r="BB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BC365" i="1"/>
  <c r="CT365" i="1"/>
  <c r="AZ366" i="1"/>
  <c r="BA366" i="1"/>
  <c r="BB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BC366" i="1"/>
  <c r="CT366" i="1"/>
  <c r="AZ165" i="1"/>
  <c r="BA165" i="1"/>
  <c r="BB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BC165" i="1"/>
  <c r="CT165" i="1"/>
  <c r="AZ164" i="1"/>
  <c r="BA164" i="1"/>
  <c r="BB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BC164" i="1"/>
  <c r="CT164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A64" i="2"/>
  <c r="AB64" i="2"/>
  <c r="B294" i="4"/>
  <c r="E294" i="4"/>
  <c r="F225" i="5"/>
  <c r="D294" i="4"/>
  <c r="E225" i="5"/>
  <c r="AC64" i="2"/>
  <c r="I225" i="5"/>
  <c r="F294" i="4"/>
  <c r="H225" i="5"/>
  <c r="AD64" i="2"/>
  <c r="AE64" i="2"/>
  <c r="H294" i="4"/>
  <c r="K225" i="5"/>
  <c r="L225" i="5"/>
  <c r="AF64" i="2"/>
  <c r="AG64" i="2"/>
  <c r="AH64" i="2"/>
  <c r="AI64" i="2"/>
  <c r="AJ64" i="2"/>
  <c r="N225" i="5"/>
  <c r="O225" i="5"/>
  <c r="AK64" i="2"/>
  <c r="M294" i="4"/>
  <c r="R225" i="5"/>
  <c r="L294" i="4"/>
  <c r="Q225" i="5"/>
  <c r="AL64" i="2"/>
  <c r="AM64" i="2"/>
  <c r="AG171" i="5"/>
  <c r="AF171" i="5"/>
  <c r="B291" i="4"/>
  <c r="C291" i="4"/>
  <c r="C171" i="5"/>
  <c r="D291" i="4"/>
  <c r="E171" i="5"/>
  <c r="K171" i="5"/>
  <c r="L291" i="4"/>
  <c r="Q171" i="5"/>
  <c r="M291" i="4"/>
  <c r="R171" i="5"/>
  <c r="T171" i="5"/>
  <c r="U171" i="5"/>
  <c r="P291" i="4"/>
  <c r="W171" i="5"/>
  <c r="Q291" i="4"/>
  <c r="X171" i="5"/>
  <c r="AA171" i="5"/>
  <c r="AI291" i="4"/>
  <c r="T291" i="4" a="1"/>
  <c r="T291" i="4"/>
  <c r="AC171" i="5"/>
  <c r="H6" i="3"/>
  <c r="U291" i="4" a="1"/>
  <c r="U291" i="4"/>
  <c r="AD171" i="5"/>
  <c r="X291" i="4"/>
  <c r="AI171" i="5"/>
  <c r="Y291" i="4"/>
  <c r="AJ171" i="5"/>
  <c r="Z291" i="4"/>
  <c r="AL171" i="5"/>
  <c r="AN171" i="5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D78" i="5"/>
  <c r="AI187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87" i="4" a="1"/>
  <c r="T187" i="4"/>
  <c r="AC78" i="5"/>
  <c r="AI242" i="4"/>
  <c r="H10" i="3"/>
  <c r="U242" i="4" a="1"/>
  <c r="U242" i="4"/>
  <c r="AD85" i="5"/>
  <c r="T242" i="4" a="1"/>
  <c r="T242" i="4"/>
  <c r="AC85" i="5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AZ342" i="1"/>
  <c r="BA342" i="1"/>
  <c r="BB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BC342" i="1"/>
  <c r="CT342" i="1"/>
  <c r="AZ341" i="1"/>
  <c r="BA341" i="1"/>
  <c r="BB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BC341" i="1"/>
  <c r="CT341" i="1"/>
  <c r="AZ343" i="1"/>
  <c r="BA343" i="1"/>
  <c r="BB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BC343" i="1"/>
  <c r="CT343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A65" i="2"/>
  <c r="AB65" i="2"/>
  <c r="D169" i="4"/>
  <c r="E281" i="5"/>
  <c r="AC65" i="2"/>
  <c r="AD65" i="2"/>
  <c r="AE65" i="2"/>
  <c r="H169" i="4"/>
  <c r="K281" i="5"/>
  <c r="AF65" i="2"/>
  <c r="AG65" i="2"/>
  <c r="AH65" i="2"/>
  <c r="AI65" i="2"/>
  <c r="AJ65" i="2"/>
  <c r="AK65" i="2"/>
  <c r="M169" i="4"/>
  <c r="R281" i="5"/>
  <c r="L169" i="4"/>
  <c r="Q281" i="5"/>
  <c r="AL65" i="2"/>
  <c r="AM65" i="2"/>
  <c r="AZ345" i="1"/>
  <c r="BA345" i="1"/>
  <c r="BB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BC345" i="1"/>
  <c r="CT345" i="1"/>
  <c r="AZ340" i="1"/>
  <c r="BA340" i="1"/>
  <c r="BB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BC340" i="1"/>
  <c r="CT340" i="1"/>
  <c r="AA63" i="2"/>
  <c r="AB63" i="2"/>
  <c r="D315" i="4"/>
  <c r="E311" i="5"/>
  <c r="AC63" i="2"/>
  <c r="AD63" i="2"/>
  <c r="AE63" i="2"/>
  <c r="I315" i="4"/>
  <c r="L311" i="5"/>
  <c r="K311" i="5"/>
  <c r="AF63" i="2"/>
  <c r="AG63" i="2"/>
  <c r="AH63" i="2"/>
  <c r="AI63" i="2"/>
  <c r="AJ63" i="2"/>
  <c r="O311" i="5"/>
  <c r="J315" i="4"/>
  <c r="N311" i="5"/>
  <c r="AK63" i="2"/>
  <c r="M315" i="4"/>
  <c r="R311" i="5"/>
  <c r="L315" i="4"/>
  <c r="Q311" i="5"/>
  <c r="AL63" i="2"/>
  <c r="AM63" i="2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85" i="1"/>
  <c r="BA85" i="1"/>
  <c r="BB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BC85" i="1"/>
  <c r="CT85" i="1"/>
  <c r="AZ84" i="1"/>
  <c r="BA84" i="1"/>
  <c r="BB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BC84" i="1"/>
  <c r="CT84" i="1"/>
  <c r="AZ83" i="1"/>
  <c r="BA83" i="1"/>
  <c r="BB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BC83" i="1"/>
  <c r="CT83" i="1"/>
  <c r="AZ82" i="1"/>
  <c r="BA82" i="1"/>
  <c r="BB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BC82" i="1"/>
  <c r="CT82" i="1"/>
  <c r="AZ81" i="1"/>
  <c r="BA81" i="1"/>
  <c r="BB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BC81" i="1"/>
  <c r="CT81" i="1"/>
  <c r="AZ212" i="1"/>
  <c r="BA212" i="1"/>
  <c r="BB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BC212" i="1"/>
  <c r="CT212" i="1"/>
  <c r="AZ211" i="1"/>
  <c r="BA211" i="1"/>
  <c r="BB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BC211" i="1"/>
  <c r="CT211" i="1"/>
  <c r="AA62" i="2"/>
  <c r="AB62" i="2"/>
  <c r="B199" i="4"/>
  <c r="E199" i="4"/>
  <c r="F222" i="5"/>
  <c r="D199" i="4"/>
  <c r="E222" i="5"/>
  <c r="AC62" i="2"/>
  <c r="I222" i="5"/>
  <c r="F199" i="4"/>
  <c r="H222" i="5"/>
  <c r="AD62" i="2"/>
  <c r="AE62" i="2"/>
  <c r="H199" i="4"/>
  <c r="K222" i="5"/>
  <c r="AF62" i="2"/>
  <c r="AG62" i="2"/>
  <c r="AH62" i="2"/>
  <c r="AI62" i="2"/>
  <c r="AJ62" i="2"/>
  <c r="AK62" i="2"/>
  <c r="M199" i="4"/>
  <c r="R222" i="5"/>
  <c r="L199" i="4"/>
  <c r="Q222" i="5"/>
  <c r="AL62" i="2"/>
  <c r="AM62" i="2"/>
  <c r="AZ396" i="1"/>
  <c r="BA396" i="1"/>
  <c r="BB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BC396" i="1"/>
  <c r="CT396" i="1"/>
  <c r="AZ395" i="1"/>
  <c r="BA395" i="1"/>
  <c r="BB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BC395" i="1"/>
  <c r="CT395" i="1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AZ114" i="1"/>
  <c r="BA114" i="1"/>
  <c r="BB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BC114" i="1"/>
  <c r="CT114" i="1"/>
  <c r="AZ113" i="1"/>
  <c r="BA113" i="1"/>
  <c r="BB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BC113" i="1"/>
  <c r="CT113" i="1"/>
  <c r="AZ112" i="1"/>
  <c r="BA112" i="1"/>
  <c r="BB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BC112" i="1"/>
  <c r="CT112" i="1"/>
  <c r="AZ111" i="1"/>
  <c r="BA111" i="1"/>
  <c r="BB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BC111" i="1"/>
  <c r="CT111" i="1"/>
  <c r="AZ110" i="1"/>
  <c r="BA110" i="1"/>
  <c r="BB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BC110" i="1"/>
  <c r="CT110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AZ344" i="1"/>
  <c r="BA344" i="1"/>
  <c r="BB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BC344" i="1"/>
  <c r="CT344" i="1"/>
  <c r="X199" i="4"/>
  <c r="AA61" i="2"/>
  <c r="AB61" i="2"/>
  <c r="D306" i="4"/>
  <c r="E301" i="5"/>
  <c r="AC61" i="2"/>
  <c r="AD61" i="2"/>
  <c r="AE61" i="2"/>
  <c r="I306" i="4"/>
  <c r="L301" i="5"/>
  <c r="K301" i="5"/>
  <c r="L222" i="5"/>
  <c r="AF61" i="2"/>
  <c r="AG61" i="2"/>
  <c r="AH61" i="2"/>
  <c r="AI61" i="2"/>
  <c r="AJ61" i="2"/>
  <c r="O301" i="5"/>
  <c r="J306" i="4"/>
  <c r="N301" i="5"/>
  <c r="N222" i="5"/>
  <c r="O222" i="5"/>
  <c r="AK61" i="2"/>
  <c r="M306" i="4"/>
  <c r="R301" i="5"/>
  <c r="L306" i="4"/>
  <c r="Q301" i="5"/>
  <c r="AL61" i="2"/>
  <c r="AM61" i="2"/>
  <c r="AZ339" i="1"/>
  <c r="BA339" i="1"/>
  <c r="BB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BC339" i="1"/>
  <c r="CT339" i="1"/>
  <c r="AZ338" i="1"/>
  <c r="BA338" i="1"/>
  <c r="BB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BC338" i="1"/>
  <c r="CT338" i="1"/>
  <c r="AA60" i="2"/>
  <c r="AB60" i="2"/>
  <c r="B283" i="4"/>
  <c r="D283" i="4"/>
  <c r="E299" i="5"/>
  <c r="AC60" i="2"/>
  <c r="AD60" i="2"/>
  <c r="AE60" i="2"/>
  <c r="I283" i="4"/>
  <c r="L299" i="5"/>
  <c r="K299" i="5"/>
  <c r="AF60" i="2"/>
  <c r="AG60" i="2"/>
  <c r="AH60" i="2"/>
  <c r="AI60" i="2"/>
  <c r="AJ60" i="2"/>
  <c r="O299" i="5"/>
  <c r="J283" i="4"/>
  <c r="N299" i="5"/>
  <c r="AK60" i="2"/>
  <c r="M283" i="4"/>
  <c r="R299" i="5"/>
  <c r="L283" i="4"/>
  <c r="Q299" i="5"/>
  <c r="AL60" i="2"/>
  <c r="AM60" i="2"/>
  <c r="AZ372" i="1"/>
  <c r="BA372" i="1"/>
  <c r="BB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BC372" i="1"/>
  <c r="CT372" i="1"/>
  <c r="AZ371" i="1"/>
  <c r="BA371" i="1"/>
  <c r="BB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BC371" i="1"/>
  <c r="CT371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4" i="1"/>
  <c r="BA154" i="1"/>
  <c r="BB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BC154" i="1"/>
  <c r="CT154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9" i="9"/>
  <c r="H410" i="9"/>
  <c r="H411" i="9"/>
  <c r="H412" i="9"/>
  <c r="H413" i="9"/>
  <c r="H2" i="9"/>
  <c r="AL35" i="4"/>
  <c r="A6" i="14"/>
  <c r="H6" i="14"/>
  <c r="G6" i="14"/>
  <c r="F6" i="14"/>
  <c r="AD381" i="5"/>
  <c r="AC381" i="5"/>
  <c r="E6" i="14"/>
  <c r="C6" i="14"/>
  <c r="B6" i="14"/>
  <c r="A8" i="13"/>
  <c r="H8" i="13"/>
  <c r="G8" i="13"/>
  <c r="F8" i="13"/>
  <c r="U310" i="4"/>
  <c r="AD304" i="5"/>
  <c r="T310" i="4"/>
  <c r="AC304" i="5"/>
  <c r="E8" i="13"/>
  <c r="C8" i="13"/>
  <c r="B8" i="13"/>
  <c r="A7" i="13"/>
  <c r="H7" i="13"/>
  <c r="G7" i="13"/>
  <c r="F7" i="13"/>
  <c r="U314" i="4"/>
  <c r="AD309" i="5"/>
  <c r="T314" i="4"/>
  <c r="AC309" i="5"/>
  <c r="E7" i="13"/>
  <c r="C7" i="13"/>
  <c r="B7" i="13"/>
  <c r="A6" i="13"/>
  <c r="H6" i="13"/>
  <c r="G6" i="13"/>
  <c r="F6" i="13"/>
  <c r="U312" i="4"/>
  <c r="AD307" i="5"/>
  <c r="T312" i="4"/>
  <c r="AC307" i="5"/>
  <c r="E6" i="13"/>
  <c r="C6" i="13"/>
  <c r="B6" i="13"/>
  <c r="B299" i="6"/>
  <c r="C299" i="6"/>
  <c r="D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F299" i="5"/>
  <c r="B299" i="5"/>
  <c r="B288" i="4"/>
  <c r="C288" i="4"/>
  <c r="C283" i="4"/>
  <c r="C299" i="5"/>
  <c r="D288" i="4"/>
  <c r="H299" i="5"/>
  <c r="I299" i="5"/>
  <c r="I288" i="4"/>
  <c r="J288" i="4"/>
  <c r="L288" i="4"/>
  <c r="M288" i="4"/>
  <c r="N288" i="4"/>
  <c r="N283" i="4"/>
  <c r="T299" i="5"/>
  <c r="O288" i="4"/>
  <c r="O283" i="4"/>
  <c r="U299" i="5"/>
  <c r="P288" i="4"/>
  <c r="P283" i="4"/>
  <c r="W299" i="5"/>
  <c r="Q288" i="4"/>
  <c r="Q283" i="4"/>
  <c r="X299" i="5"/>
  <c r="Z299" i="5"/>
  <c r="S288" i="4"/>
  <c r="S283" i="4"/>
  <c r="AA299" i="5"/>
  <c r="AI288" i="4"/>
  <c r="T288" i="4" a="1"/>
  <c r="T288" i="4"/>
  <c r="AI283" i="4"/>
  <c r="T283" i="4" a="1"/>
  <c r="T283" i="4"/>
  <c r="AC299" i="5"/>
  <c r="AD299" i="5"/>
  <c r="AF299" i="5"/>
  <c r="AG299" i="5"/>
  <c r="X288" i="4"/>
  <c r="X283" i="4"/>
  <c r="AI299" i="5"/>
  <c r="Y288" i="4"/>
  <c r="Y283" i="4"/>
  <c r="AJ299" i="5"/>
  <c r="Z288" i="4"/>
  <c r="Z283" i="4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E283" i="4"/>
  <c r="F283" i="4"/>
  <c r="R283" i="4"/>
  <c r="AA283" i="4"/>
  <c r="AB283" i="4"/>
  <c r="AC283" i="4"/>
  <c r="AD283" i="4"/>
  <c r="AE283" i="4"/>
  <c r="AF283" i="4"/>
  <c r="AG283" i="4"/>
  <c r="AH283" i="4"/>
  <c r="AJ283" i="4"/>
  <c r="AK283" i="4"/>
  <c r="AL283" i="4"/>
  <c r="AA59" i="2"/>
  <c r="AB59" i="2"/>
  <c r="B231" i="4"/>
  <c r="E231" i="4"/>
  <c r="F230" i="5"/>
  <c r="D231" i="4"/>
  <c r="E230" i="5"/>
  <c r="AC59" i="2"/>
  <c r="I230" i="5"/>
  <c r="F231" i="4"/>
  <c r="H230" i="5"/>
  <c r="AD59" i="2"/>
  <c r="AE59" i="2"/>
  <c r="H231" i="4"/>
  <c r="K230" i="5"/>
  <c r="AF59" i="2"/>
  <c r="AG59" i="2"/>
  <c r="AH59" i="2"/>
  <c r="AI59" i="2"/>
  <c r="AJ59" i="2"/>
  <c r="AK59" i="2"/>
  <c r="M231" i="4"/>
  <c r="R230" i="5"/>
  <c r="L231" i="4"/>
  <c r="Q230" i="5"/>
  <c r="AL59" i="2"/>
  <c r="AM59" i="2"/>
  <c r="D413" i="9"/>
  <c r="E413" i="9"/>
  <c r="F413" i="9"/>
  <c r="G413" i="9"/>
  <c r="AZ364" i="1"/>
  <c r="BA364" i="1"/>
  <c r="BB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BC364" i="1"/>
  <c r="CT364" i="1"/>
  <c r="AZ363" i="1"/>
  <c r="BA363" i="1"/>
  <c r="BB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BC363" i="1"/>
  <c r="CT363" i="1"/>
  <c r="AZ362" i="1"/>
  <c r="BA362" i="1"/>
  <c r="BB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BC362" i="1"/>
  <c r="CT362" i="1"/>
  <c r="C124" i="7"/>
  <c r="D124" i="7"/>
  <c r="E124" i="7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B26" i="4"/>
  <c r="AB289" i="4"/>
  <c r="AB4" i="4"/>
  <c r="AB5" i="4"/>
  <c r="AB204" i="4"/>
  <c r="AB6" i="4"/>
  <c r="AB130" i="4"/>
  <c r="AB132" i="4"/>
  <c r="AB133" i="4"/>
  <c r="AB278" i="4"/>
  <c r="AB128" i="4"/>
  <c r="AB129" i="4"/>
  <c r="AB253" i="4"/>
  <c r="AB59" i="4"/>
  <c r="AB105" i="4"/>
  <c r="AB120" i="4"/>
  <c r="AB14" i="4"/>
  <c r="AB233" i="4"/>
  <c r="AB266" i="4"/>
  <c r="AB267" i="4"/>
  <c r="AB239" i="4"/>
  <c r="AB241" i="4"/>
  <c r="AB242" i="4"/>
  <c r="AB268" i="4"/>
  <c r="AB244" i="4"/>
  <c r="AB269" i="4"/>
  <c r="AB247" i="4"/>
  <c r="AB270" i="4"/>
  <c r="AB271" i="4"/>
  <c r="AB272" i="4"/>
  <c r="AB273" i="4"/>
  <c r="AB274" i="4"/>
  <c r="AB151" i="4"/>
  <c r="AB2" i="4"/>
  <c r="AB296" i="4"/>
  <c r="AB288" i="4"/>
  <c r="AB264" i="4"/>
  <c r="AB238" i="4"/>
  <c r="AB240" i="4"/>
  <c r="AB243" i="4"/>
  <c r="AB64" i="4"/>
  <c r="AB65" i="4"/>
  <c r="AB203" i="4"/>
  <c r="AB275" i="4"/>
  <c r="AB153" i="4"/>
  <c r="AB190" i="4"/>
  <c r="AB249" i="4"/>
  <c r="AB73" i="4"/>
  <c r="AB213" i="4"/>
  <c r="AB110" i="4"/>
  <c r="AB47" i="4"/>
  <c r="AB85" i="4"/>
  <c r="AB86" i="4"/>
  <c r="AB255" i="4"/>
  <c r="AB282" i="4"/>
  <c r="AB256" i="4"/>
  <c r="AB291" i="4"/>
  <c r="AB292" i="4"/>
  <c r="AB113" i="4"/>
  <c r="AB134" i="4"/>
  <c r="AB135" i="4"/>
  <c r="AB176" i="4"/>
  <c r="AB177" i="4"/>
  <c r="AB137" i="4"/>
  <c r="AB138" i="4"/>
  <c r="AB139" i="4"/>
  <c r="AB140" i="4"/>
  <c r="AB258" i="4"/>
  <c r="AB98" i="4"/>
  <c r="AB262" i="4"/>
  <c r="AB232" i="4"/>
  <c r="AB115" i="4"/>
  <c r="AB116" i="4"/>
  <c r="AB117" i="4"/>
  <c r="AB142" i="4"/>
  <c r="AB118" i="4"/>
  <c r="AB27" i="4"/>
  <c r="AB143" i="4"/>
  <c r="AB144" i="4"/>
  <c r="AB28" i="4"/>
  <c r="AB145" i="4"/>
  <c r="AB286" i="4"/>
  <c r="AB183" i="4"/>
  <c r="AB102" i="4"/>
  <c r="AB103" i="4"/>
  <c r="AB104" i="4"/>
  <c r="AB29" i="4"/>
  <c r="AB58" i="4"/>
  <c r="AB30" i="4"/>
  <c r="AB13" i="4"/>
  <c r="AB265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4" i="4"/>
  <c r="AB235" i="4"/>
  <c r="AB219" i="4"/>
  <c r="AB236" i="4"/>
  <c r="AB237" i="4"/>
  <c r="AB202" i="4"/>
  <c r="AB186" i="4"/>
  <c r="AB187" i="4"/>
  <c r="AB188" i="4"/>
  <c r="AB150" i="4"/>
  <c r="AB246" i="4"/>
  <c r="AB189" i="4"/>
  <c r="AB121" i="4"/>
  <c r="AB41" i="4"/>
  <c r="AB277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25" i="4"/>
  <c r="AB108" i="4"/>
  <c r="AB69" i="4"/>
  <c r="AB297" i="4"/>
  <c r="AB127" i="4"/>
  <c r="AB191" i="4"/>
  <c r="AB70" i="4"/>
  <c r="AB248" i="4"/>
  <c r="AB250" i="4"/>
  <c r="AB290" i="4"/>
  <c r="AB192" i="4"/>
  <c r="AB222" i="4"/>
  <c r="AB251" i="4"/>
  <c r="AB74" i="4"/>
  <c r="AB20" i="4"/>
  <c r="AB75" i="4"/>
  <c r="AB279" i="4"/>
  <c r="AB43" i="4"/>
  <c r="AB212" i="4"/>
  <c r="AB77" i="4"/>
  <c r="AB223" i="4"/>
  <c r="AB158" i="4"/>
  <c r="AB252" i="4"/>
  <c r="AB10" i="4"/>
  <c r="AB159" i="4"/>
  <c r="AB21" i="4"/>
  <c r="AB160" i="4"/>
  <c r="AB44" i="4"/>
  <c r="AB45" i="4"/>
  <c r="AB11" i="4"/>
  <c r="AB254" i="4"/>
  <c r="AB193" i="4"/>
  <c r="AB194" i="4"/>
  <c r="AB280" i="4"/>
  <c r="AB281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9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3" i="4"/>
  <c r="AB229" i="4"/>
  <c r="AB230" i="4"/>
  <c r="AB257" i="4"/>
  <c r="AB141" i="4"/>
  <c r="AB298" i="4"/>
  <c r="AB259" i="4"/>
  <c r="AB260" i="4"/>
  <c r="AB261" i="4"/>
  <c r="AB197" i="4"/>
  <c r="AB178" i="4"/>
  <c r="AB179" i="4"/>
  <c r="AB180" i="4"/>
  <c r="AB199" i="4"/>
  <c r="AB181" i="4"/>
  <c r="AB295" i="4"/>
  <c r="AB231" i="4"/>
  <c r="AB209" i="4"/>
  <c r="AB284" i="4"/>
  <c r="AB285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72" i="4"/>
  <c r="AB3" i="4"/>
  <c r="AB18" i="4"/>
  <c r="AB76" i="4"/>
  <c r="AB214" i="4"/>
  <c r="AB12" i="4"/>
  <c r="AB294" i="4"/>
  <c r="AB114" i="4"/>
  <c r="AB287" i="4"/>
  <c r="AB276" i="4"/>
  <c r="AB19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8" i="4"/>
  <c r="AB307" i="4"/>
  <c r="AB305" i="4"/>
  <c r="AB306" i="4"/>
  <c r="AB301" i="4"/>
  <c r="AB302" i="4"/>
  <c r="AB300" i="4"/>
  <c r="AB303" i="4"/>
  <c r="AB304" i="4"/>
  <c r="AB311" i="4"/>
  <c r="AB310" i="4"/>
  <c r="AB312" i="4"/>
  <c r="AB313" i="4"/>
  <c r="AB314" i="4"/>
  <c r="AB309" i="4"/>
  <c r="AB315" i="4"/>
  <c r="AB336" i="4"/>
  <c r="AB337" i="4"/>
  <c r="AB319" i="4"/>
  <c r="AB316" i="4"/>
  <c r="AB320" i="4"/>
  <c r="AB321" i="4"/>
  <c r="AB322" i="4"/>
  <c r="AB348" i="4"/>
  <c r="AB327" i="4"/>
  <c r="AB328" i="4"/>
  <c r="AB329" i="4"/>
  <c r="AB330" i="4"/>
  <c r="AB342" i="4"/>
  <c r="AB332" i="4"/>
  <c r="AB333" i="4"/>
  <c r="AB334" i="4"/>
  <c r="AB344" i="4"/>
  <c r="AB345" i="4"/>
  <c r="AB346" i="4"/>
  <c r="AB343" i="4"/>
  <c r="AB323" i="4"/>
  <c r="AB318" i="4"/>
  <c r="AB324" i="4"/>
  <c r="AB326" i="4"/>
  <c r="AB331" i="4"/>
  <c r="AB335" i="4"/>
  <c r="AB325" i="4"/>
  <c r="AB339" i="4"/>
  <c r="AB338" i="4"/>
  <c r="AB317" i="4"/>
  <c r="AB340" i="4"/>
  <c r="AB341" i="4"/>
  <c r="AB347" i="4"/>
  <c r="AB351" i="4"/>
  <c r="AB362" i="4"/>
  <c r="AB363" i="4"/>
  <c r="AB369" i="4"/>
  <c r="AB364" i="4"/>
  <c r="AB370" i="4"/>
  <c r="AB352" i="4"/>
  <c r="AB349" i="4"/>
  <c r="AB359" i="4"/>
  <c r="AB360" i="4"/>
  <c r="AB365" i="4"/>
  <c r="AB350" i="4"/>
  <c r="AB366" i="4"/>
  <c r="AB367" i="4"/>
  <c r="AB368" i="4"/>
  <c r="AB361" i="4"/>
  <c r="AB353" i="4"/>
  <c r="AB354" i="4"/>
  <c r="AB355" i="4"/>
  <c r="AB356" i="4"/>
  <c r="AB357" i="4"/>
  <c r="AB358" i="4"/>
  <c r="AB372" i="4"/>
  <c r="AB378" i="4"/>
  <c r="AB379" i="4"/>
  <c r="AB380" i="4"/>
  <c r="AB374" i="4"/>
  <c r="AB371" i="4"/>
  <c r="AB377" i="4"/>
  <c r="AB382" i="4"/>
  <c r="AB381" i="4"/>
  <c r="AB375" i="4"/>
  <c r="AB376" i="4"/>
  <c r="AB373" i="4"/>
  <c r="AB385" i="4"/>
  <c r="AB387" i="4"/>
  <c r="AB388" i="4"/>
  <c r="AB386" i="4"/>
  <c r="AB384" i="4"/>
  <c r="AB392" i="4"/>
  <c r="AB397" i="4"/>
  <c r="AB410" i="4"/>
  <c r="AB399" i="4"/>
  <c r="AB400" i="4"/>
  <c r="AB401" i="4"/>
  <c r="AB402" i="4"/>
  <c r="AB405" i="4"/>
  <c r="AB389" i="4"/>
  <c r="AB406" i="4"/>
  <c r="AB407" i="4"/>
  <c r="AB409" i="4"/>
  <c r="AB398" i="4"/>
  <c r="AB390" i="4"/>
  <c r="AB391" i="4"/>
  <c r="AB393" i="4"/>
  <c r="AB394" i="4"/>
  <c r="AB395" i="4"/>
  <c r="AB404" i="4"/>
  <c r="AB396" i="4"/>
  <c r="AB408" i="4"/>
  <c r="AB411" i="4"/>
  <c r="AB412" i="4"/>
  <c r="AB413" i="4"/>
  <c r="AB403" i="4"/>
  <c r="AB245" i="4"/>
  <c r="AA58" i="2"/>
  <c r="AB58" i="2"/>
  <c r="D172" i="4"/>
  <c r="E288" i="5"/>
  <c r="AC58" i="2"/>
  <c r="AD58" i="2"/>
  <c r="AE58" i="2"/>
  <c r="H172" i="4"/>
  <c r="K288" i="5"/>
  <c r="L230" i="5"/>
  <c r="AF58" i="2"/>
  <c r="AG58" i="2"/>
  <c r="AH58" i="2"/>
  <c r="AI58" i="2"/>
  <c r="AJ58" i="2"/>
  <c r="N230" i="5"/>
  <c r="O230" i="5"/>
  <c r="AK58" i="2"/>
  <c r="M172" i="4"/>
  <c r="R288" i="5"/>
  <c r="L172" i="4"/>
  <c r="Q288" i="5"/>
  <c r="AL58" i="2"/>
  <c r="AM58" i="2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B383" i="6"/>
  <c r="C383" i="6"/>
  <c r="D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Z427" i="1"/>
  <c r="BA427" i="1"/>
  <c r="BB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BC427" i="1"/>
  <c r="CT427" i="1"/>
  <c r="H383" i="5"/>
  <c r="B381" i="4"/>
  <c r="H381" i="4"/>
  <c r="K383" i="5"/>
  <c r="B383" i="5"/>
  <c r="C381" i="4"/>
  <c r="C383" i="5"/>
  <c r="D381" i="4"/>
  <c r="E383" i="5"/>
  <c r="F383" i="5"/>
  <c r="I383" i="5"/>
  <c r="I381" i="4"/>
  <c r="L383" i="5"/>
  <c r="J381" i="4"/>
  <c r="N383" i="5"/>
  <c r="K381" i="4"/>
  <c r="O383" i="5"/>
  <c r="L381" i="4"/>
  <c r="Q383" i="5"/>
  <c r="M381" i="4"/>
  <c r="R383" i="5"/>
  <c r="N381" i="4"/>
  <c r="T383" i="5"/>
  <c r="O381" i="4"/>
  <c r="U383" i="5"/>
  <c r="P381" i="4"/>
  <c r="W383" i="5"/>
  <c r="Q381" i="4"/>
  <c r="X383" i="5"/>
  <c r="Z383" i="5"/>
  <c r="S381" i="4"/>
  <c r="AA383" i="5"/>
  <c r="T381" i="4"/>
  <c r="AC383" i="5"/>
  <c r="U381" i="4"/>
  <c r="AD383" i="5"/>
  <c r="V381" i="4"/>
  <c r="AF383" i="5"/>
  <c r="W381" i="4"/>
  <c r="AG383" i="5"/>
  <c r="X381" i="4"/>
  <c r="AI383" i="5"/>
  <c r="Y381" i="4"/>
  <c r="AJ383" i="5"/>
  <c r="Z381" i="4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D412" i="9"/>
  <c r="E412" i="9"/>
  <c r="F412" i="9"/>
  <c r="G412" i="9"/>
  <c r="E381" i="4"/>
  <c r="F381" i="4"/>
  <c r="R381" i="4"/>
  <c r="AA381" i="4"/>
  <c r="AC381" i="4"/>
  <c r="AD381" i="4"/>
  <c r="AE381" i="4"/>
  <c r="AF381" i="4"/>
  <c r="AG381" i="4"/>
  <c r="AH381" i="4"/>
  <c r="AI381" i="4"/>
  <c r="AJ381" i="4"/>
  <c r="AK381" i="4"/>
  <c r="AL381" i="4"/>
  <c r="AA53" i="2"/>
  <c r="AB53" i="2"/>
  <c r="E381" i="5"/>
  <c r="AC53" i="2"/>
  <c r="AD53" i="2"/>
  <c r="AE53" i="2"/>
  <c r="L381" i="5"/>
  <c r="K381" i="5"/>
  <c r="AF53" i="2"/>
  <c r="AG53" i="2"/>
  <c r="AH53" i="2"/>
  <c r="AI53" i="2"/>
  <c r="AJ53" i="2"/>
  <c r="O381" i="5"/>
  <c r="N381" i="5"/>
  <c r="AK53" i="2"/>
  <c r="R381" i="5"/>
  <c r="Q381" i="5"/>
  <c r="AL53" i="2"/>
  <c r="AM53" i="2"/>
  <c r="AZ426" i="1"/>
  <c r="BA426" i="1"/>
  <c r="BB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BC426" i="1"/>
  <c r="CT426" i="1"/>
  <c r="AZ425" i="1"/>
  <c r="BA425" i="1"/>
  <c r="BB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BC425" i="1"/>
  <c r="CT425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A57" i="2"/>
  <c r="AB57" i="2"/>
  <c r="B187" i="4"/>
  <c r="E187" i="4"/>
  <c r="F78" i="5"/>
  <c r="D187" i="4"/>
  <c r="E78" i="5"/>
  <c r="F288" i="5"/>
  <c r="AC57" i="2"/>
  <c r="I78" i="5"/>
  <c r="F187" i="4"/>
  <c r="H78" i="5"/>
  <c r="H288" i="5"/>
  <c r="I288" i="5"/>
  <c r="AD57" i="2"/>
  <c r="AE57" i="2"/>
  <c r="H187" i="4"/>
  <c r="K78" i="5"/>
  <c r="L288" i="5"/>
  <c r="AF57" i="2"/>
  <c r="AG57" i="2"/>
  <c r="AH57" i="2"/>
  <c r="AI57" i="2"/>
  <c r="AJ57" i="2"/>
  <c r="N288" i="5"/>
  <c r="O288" i="5"/>
  <c r="AK57" i="2"/>
  <c r="M187" i="4"/>
  <c r="R78" i="5"/>
  <c r="L187" i="4"/>
  <c r="Q78" i="5"/>
  <c r="AL57" i="2"/>
  <c r="AM57" i="2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B262" i="4"/>
  <c r="X262" i="4"/>
  <c r="AK3" i="4"/>
  <c r="AK7" i="4"/>
  <c r="AK4" i="4"/>
  <c r="AK5" i="4"/>
  <c r="AK6" i="4"/>
  <c r="AK9" i="4"/>
  <c r="AK10" i="4"/>
  <c r="AK8" i="4"/>
  <c r="AK12" i="4"/>
  <c r="AK11" i="4"/>
  <c r="AK26" i="4"/>
  <c r="AK23" i="4"/>
  <c r="AK24" i="4"/>
  <c r="AK25" i="4"/>
  <c r="AK16" i="4"/>
  <c r="AK27" i="4"/>
  <c r="AK28" i="4"/>
  <c r="AK14" i="4"/>
  <c r="AK22" i="4"/>
  <c r="AK20" i="4"/>
  <c r="AK21" i="4"/>
  <c r="AK18" i="4"/>
  <c r="AK13" i="4"/>
  <c r="AK19" i="4"/>
  <c r="AK17" i="4"/>
  <c r="AK15" i="4"/>
  <c r="AK49" i="4"/>
  <c r="AK50" i="4"/>
  <c r="AK45" i="4"/>
  <c r="AK47" i="4"/>
  <c r="AK52" i="4"/>
  <c r="AK54" i="4"/>
  <c r="AK48" i="4"/>
  <c r="AK42" i="4"/>
  <c r="AK53" i="4"/>
  <c r="AK51" i="4"/>
  <c r="AK55" i="4"/>
  <c r="AK56" i="4"/>
  <c r="AK57" i="4"/>
  <c r="AK30" i="4"/>
  <c r="AK43" i="4"/>
  <c r="AK44" i="4"/>
  <c r="AK40" i="4"/>
  <c r="AK39" i="4"/>
  <c r="AK31" i="4"/>
  <c r="AK38" i="4"/>
  <c r="AK29" i="4"/>
  <c r="AK32" i="4"/>
  <c r="AK41" i="4"/>
  <c r="AK33" i="4"/>
  <c r="AK36" i="4"/>
  <c r="AK46" i="4"/>
  <c r="AK37" i="4"/>
  <c r="AK34" i="4"/>
  <c r="AK35" i="4"/>
  <c r="AK77" i="4"/>
  <c r="AK82" i="4"/>
  <c r="AK83" i="4"/>
  <c r="AK84" i="4"/>
  <c r="AK68" i="4"/>
  <c r="AK87" i="4"/>
  <c r="AK100" i="4"/>
  <c r="AK73" i="4"/>
  <c r="AK91" i="4"/>
  <c r="AK92" i="4"/>
  <c r="AK93" i="4"/>
  <c r="AK95" i="4"/>
  <c r="AK96" i="4"/>
  <c r="AK80" i="4"/>
  <c r="AK74" i="4"/>
  <c r="AK85" i="4"/>
  <c r="AK86" i="4"/>
  <c r="AK88" i="4"/>
  <c r="AK90" i="4"/>
  <c r="AK59" i="4"/>
  <c r="AK65" i="4"/>
  <c r="AK69" i="4"/>
  <c r="AK72" i="4"/>
  <c r="AK89" i="4"/>
  <c r="AK94" i="4"/>
  <c r="AK71" i="4"/>
  <c r="AK79" i="4"/>
  <c r="AK101" i="4"/>
  <c r="AK64" i="4"/>
  <c r="AK97" i="4"/>
  <c r="AK99" i="4"/>
  <c r="AK78" i="4"/>
  <c r="AK70" i="4"/>
  <c r="AK60" i="4"/>
  <c r="AK63" i="4"/>
  <c r="AK61" i="4"/>
  <c r="AK98" i="4"/>
  <c r="AK62" i="4"/>
  <c r="AK75" i="4"/>
  <c r="AK76" i="4"/>
  <c r="AK58" i="4"/>
  <c r="AK66" i="4"/>
  <c r="AK81" i="4"/>
  <c r="AK67" i="4"/>
  <c r="AK113" i="4"/>
  <c r="AK116" i="4"/>
  <c r="AK114" i="4"/>
  <c r="AK111" i="4"/>
  <c r="AK117" i="4"/>
  <c r="AK112" i="4"/>
  <c r="AK115" i="4"/>
  <c r="AK105" i="4"/>
  <c r="AK118" i="4"/>
  <c r="AK104" i="4"/>
  <c r="AK103" i="4"/>
  <c r="AK109" i="4"/>
  <c r="AK110" i="4"/>
  <c r="AK102" i="4"/>
  <c r="AK107" i="4"/>
  <c r="AK106" i="4"/>
  <c r="AK108" i="4"/>
  <c r="AK130" i="4"/>
  <c r="AK131" i="4"/>
  <c r="AK132" i="4"/>
  <c r="AK133" i="4"/>
  <c r="AK121" i="4"/>
  <c r="AK141" i="4"/>
  <c r="AK129" i="4"/>
  <c r="AK122" i="4"/>
  <c r="AK145" i="4"/>
  <c r="AK127" i="4"/>
  <c r="AK134" i="4"/>
  <c r="AK135" i="4"/>
  <c r="AK137" i="4"/>
  <c r="AK138" i="4"/>
  <c r="AK139" i="4"/>
  <c r="AK140" i="4"/>
  <c r="AK142" i="4"/>
  <c r="AK143" i="4"/>
  <c r="AK123" i="4"/>
  <c r="AK124" i="4"/>
  <c r="AK144" i="4"/>
  <c r="AK120" i="4"/>
  <c r="AK126" i="4"/>
  <c r="AK125" i="4"/>
  <c r="AK128" i="4"/>
  <c r="AK136" i="4"/>
  <c r="AK119" i="4"/>
  <c r="AK149" i="4"/>
  <c r="AK179" i="4"/>
  <c r="AK180" i="4"/>
  <c r="AK151" i="4"/>
  <c r="AK162" i="4"/>
  <c r="AK163" i="4"/>
  <c r="AK156" i="4"/>
  <c r="AK164" i="4"/>
  <c r="AK155" i="4"/>
  <c r="AK161" i="4"/>
  <c r="AK178" i="4"/>
  <c r="AK183" i="4"/>
  <c r="AK176" i="4"/>
  <c r="AK177" i="4"/>
  <c r="AK168" i="4"/>
  <c r="AK173" i="4"/>
  <c r="AK152" i="4"/>
  <c r="AK158" i="4"/>
  <c r="AK165" i="4"/>
  <c r="AK166" i="4"/>
  <c r="AK167" i="4"/>
  <c r="AK174" i="4"/>
  <c r="AK169" i="4"/>
  <c r="AK171" i="4"/>
  <c r="AK172" i="4"/>
  <c r="AK170" i="4"/>
  <c r="AK182" i="4"/>
  <c r="AK157" i="4"/>
  <c r="AK159" i="4"/>
  <c r="AK160" i="4"/>
  <c r="AK153" i="4"/>
  <c r="AK184" i="4"/>
  <c r="AK185" i="4"/>
  <c r="AK181" i="4"/>
  <c r="AK148" i="4"/>
  <c r="AK146" i="4"/>
  <c r="AK147" i="4"/>
  <c r="AK150" i="4"/>
  <c r="AK154" i="4"/>
  <c r="AK175" i="4"/>
  <c r="AK188" i="4"/>
  <c r="AK187" i="4"/>
  <c r="AK192" i="4"/>
  <c r="AK199" i="4"/>
  <c r="AK186" i="4"/>
  <c r="AK190" i="4"/>
  <c r="AK196" i="4"/>
  <c r="AK197" i="4"/>
  <c r="AK194" i="4"/>
  <c r="AK191" i="4"/>
  <c r="AK189" i="4"/>
  <c r="AK200" i="4"/>
  <c r="AK201" i="4"/>
  <c r="AK193" i="4"/>
  <c r="AK195" i="4"/>
  <c r="AK198" i="4"/>
  <c r="AK204" i="4"/>
  <c r="AK206" i="4"/>
  <c r="AK202" i="4"/>
  <c r="AK207" i="4"/>
  <c r="AK208" i="4"/>
  <c r="AK209" i="4"/>
  <c r="AK205" i="4"/>
  <c r="AK203" i="4"/>
  <c r="AK210" i="4"/>
  <c r="AK213" i="4"/>
  <c r="AK218" i="4"/>
  <c r="AK212" i="4"/>
  <c r="AK214" i="4"/>
  <c r="AK211" i="4"/>
  <c r="AK215" i="4"/>
  <c r="AK217" i="4"/>
  <c r="AK216" i="4"/>
  <c r="AK220" i="4"/>
  <c r="AK221" i="4"/>
  <c r="AK232" i="4"/>
  <c r="AK228" i="4"/>
  <c r="AK230" i="4"/>
  <c r="AK222" i="4"/>
  <c r="AK231" i="4"/>
  <c r="AK219" i="4"/>
  <c r="AK229" i="4"/>
  <c r="AK223" i="4"/>
  <c r="AK224" i="4"/>
  <c r="AK225" i="4"/>
  <c r="AK226" i="4"/>
  <c r="AK227" i="4"/>
  <c r="AK245" i="4"/>
  <c r="AK233" i="4"/>
  <c r="AK238" i="4"/>
  <c r="AK240" i="4"/>
  <c r="AK241" i="4"/>
  <c r="AK243" i="4"/>
  <c r="AK244" i="4"/>
  <c r="AK247" i="4"/>
  <c r="AK250" i="4"/>
  <c r="AK264" i="4"/>
  <c r="AK239" i="4"/>
  <c r="AK242" i="4"/>
  <c r="AK251" i="4"/>
  <c r="AK252" i="4"/>
  <c r="AK246" i="4"/>
  <c r="AK248" i="4"/>
  <c r="AK234" i="4"/>
  <c r="AK235" i="4"/>
  <c r="AK249" i="4"/>
  <c r="AK253" i="4"/>
  <c r="AK255" i="4"/>
  <c r="AK256" i="4"/>
  <c r="AK258" i="4"/>
  <c r="AK237" i="4"/>
  <c r="AK254" i="4"/>
  <c r="AK262" i="4"/>
  <c r="AK257" i="4"/>
  <c r="AK259" i="4"/>
  <c r="AK260" i="4"/>
  <c r="AK261" i="4"/>
  <c r="AK236" i="4"/>
  <c r="AK287" i="4"/>
  <c r="AK265" i="4"/>
  <c r="AK266" i="4"/>
  <c r="AK267" i="4"/>
  <c r="AK268" i="4"/>
  <c r="AK269" i="4"/>
  <c r="AK270" i="4"/>
  <c r="AK271" i="4"/>
  <c r="AK272" i="4"/>
  <c r="AK273" i="4"/>
  <c r="AK288" i="4"/>
  <c r="AK274" i="4"/>
  <c r="AK279" i="4"/>
  <c r="AK285" i="4"/>
  <c r="AK280" i="4"/>
  <c r="AK281" i="4"/>
  <c r="AK282" i="4"/>
  <c r="AK286" i="4"/>
  <c r="AK278" i="4"/>
  <c r="AK277" i="4"/>
  <c r="AK276" i="4"/>
  <c r="AK284" i="4"/>
  <c r="AK275" i="4"/>
  <c r="AK289" i="4"/>
  <c r="AK291" i="4"/>
  <c r="AK292" i="4"/>
  <c r="AK293" i="4"/>
  <c r="AK295" i="4"/>
  <c r="AK290" i="4"/>
  <c r="AK294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34" i="4"/>
  <c r="AK332" i="4"/>
  <c r="AK333" i="4"/>
  <c r="AK325" i="4"/>
  <c r="AK335" i="4"/>
  <c r="AK324" i="4"/>
  <c r="AK323" i="4"/>
  <c r="AK326" i="4"/>
  <c r="AK319" i="4"/>
  <c r="AK320" i="4"/>
  <c r="AK321" i="4"/>
  <c r="AK322" i="4"/>
  <c r="AK327" i="4"/>
  <c r="AK328" i="4"/>
  <c r="AK329" i="4"/>
  <c r="AK330" i="4"/>
  <c r="AK331" i="4"/>
  <c r="AK342" i="4"/>
  <c r="AK340" i="4"/>
  <c r="AK338" i="4"/>
  <c r="AK339" i="4"/>
  <c r="AK341" i="4"/>
  <c r="AK336" i="4"/>
  <c r="AK337" i="4"/>
  <c r="AK343" i="4"/>
  <c r="AK347" i="4"/>
  <c r="AK346" i="4"/>
  <c r="AK344" i="4"/>
  <c r="AK345" i="4"/>
  <c r="AK348" i="4"/>
  <c r="AK349" i="4"/>
  <c r="AK350" i="4"/>
  <c r="AK352" i="4"/>
  <c r="AK351" i="4"/>
  <c r="AK353" i="4"/>
  <c r="AK354" i="4"/>
  <c r="AK355" i="4"/>
  <c r="AK356" i="4"/>
  <c r="AK359" i="4"/>
  <c r="AK360" i="4"/>
  <c r="AK357" i="4"/>
  <c r="AK358" i="4"/>
  <c r="AK361" i="4"/>
  <c r="AK362" i="4"/>
  <c r="AK363" i="4"/>
  <c r="AK365" i="4"/>
  <c r="AK366" i="4"/>
  <c r="AK367" i="4"/>
  <c r="AK368" i="4"/>
  <c r="AK364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2" i="4"/>
  <c r="AK384" i="4"/>
  <c r="AK385" i="4"/>
  <c r="AK386" i="4"/>
  <c r="AK387" i="4"/>
  <c r="AK388" i="4"/>
  <c r="AK389" i="4"/>
  <c r="AK392" i="4"/>
  <c r="AK391" i="4"/>
  <c r="AK390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2" i="4"/>
  <c r="B7" i="3"/>
  <c r="C7" i="3"/>
  <c r="AI273" i="4"/>
  <c r="H7" i="3"/>
  <c r="H8" i="3"/>
  <c r="H9" i="3"/>
  <c r="H11" i="3"/>
  <c r="H12" i="3"/>
  <c r="H13" i="3"/>
  <c r="H15" i="3"/>
  <c r="H16" i="3"/>
  <c r="H17" i="3"/>
  <c r="H18" i="3"/>
  <c r="H19" i="3"/>
  <c r="H20" i="3"/>
  <c r="H21" i="3"/>
  <c r="H22" i="3"/>
  <c r="H23" i="3"/>
  <c r="H25" i="3"/>
  <c r="H26" i="3"/>
  <c r="H27" i="3"/>
  <c r="H28" i="3"/>
  <c r="H29" i="3"/>
  <c r="H30" i="3"/>
  <c r="H31" i="3"/>
  <c r="H32" i="3"/>
  <c r="H33" i="3"/>
  <c r="H34" i="3"/>
  <c r="H35" i="3"/>
  <c r="H36" i="3"/>
  <c r="U273" i="4" a="1"/>
  <c r="U273" i="4"/>
  <c r="AD94" i="5"/>
  <c r="T273" i="4" a="1"/>
  <c r="T273" i="4"/>
  <c r="AC94" i="5"/>
  <c r="E7" i="3"/>
  <c r="AA56" i="2"/>
  <c r="AB56" i="2"/>
  <c r="D232" i="4"/>
  <c r="E20" i="5"/>
  <c r="AC56" i="2"/>
  <c r="AD56" i="2"/>
  <c r="AE56" i="2"/>
  <c r="H232" i="4"/>
  <c r="K20" i="5"/>
  <c r="L78" i="5"/>
  <c r="AF56" i="2"/>
  <c r="AG56" i="2"/>
  <c r="AH56" i="2"/>
  <c r="AI56" i="2"/>
  <c r="AJ56" i="2"/>
  <c r="N78" i="5"/>
  <c r="O78" i="5"/>
  <c r="AK56" i="2"/>
  <c r="M232" i="4"/>
  <c r="R20" i="5"/>
  <c r="L232" i="4"/>
  <c r="Q20" i="5"/>
  <c r="AL56" i="2"/>
  <c r="AM56" i="2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421" i="1"/>
  <c r="BA421" i="1"/>
  <c r="BB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BC421" i="1"/>
  <c r="CT421" i="1"/>
  <c r="AZ420" i="1"/>
  <c r="BA420" i="1"/>
  <c r="BB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BC420" i="1"/>
  <c r="CT420" i="1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B362" i="4"/>
  <c r="S362" i="4"/>
  <c r="AZ407" i="1"/>
  <c r="BA407" i="1"/>
  <c r="BB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BC407" i="1"/>
  <c r="CT407" i="1"/>
  <c r="AZ406" i="1"/>
  <c r="BA406" i="1"/>
  <c r="BB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BC406" i="1"/>
  <c r="CT406" i="1"/>
  <c r="AZ389" i="1"/>
  <c r="BA389" i="1"/>
  <c r="BB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BC389" i="1"/>
  <c r="CT389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57" i="4"/>
  <c r="H57" i="4"/>
  <c r="B147" i="4"/>
  <c r="S147" i="4"/>
  <c r="B227" i="4"/>
  <c r="N227" i="4"/>
  <c r="N181" i="4"/>
  <c r="B31" i="4"/>
  <c r="N31" i="4"/>
  <c r="AA9" i="2"/>
  <c r="AB9" i="2"/>
  <c r="B119" i="4"/>
  <c r="D119" i="4"/>
  <c r="E44" i="5"/>
  <c r="D147" i="4"/>
  <c r="E45" i="5"/>
  <c r="F45" i="5"/>
  <c r="AC9" i="2"/>
  <c r="H45" i="5"/>
  <c r="I45" i="5"/>
  <c r="AD9" i="2"/>
  <c r="AE9" i="2"/>
  <c r="H119" i="4"/>
  <c r="K44" i="5"/>
  <c r="H147" i="4"/>
  <c r="K45" i="5"/>
  <c r="L45" i="5"/>
  <c r="AF9" i="2"/>
  <c r="AG9" i="2"/>
  <c r="AH9" i="2"/>
  <c r="AI9" i="2"/>
  <c r="AJ9" i="2"/>
  <c r="N45" i="5"/>
  <c r="O45" i="5"/>
  <c r="AK9" i="2"/>
  <c r="M119" i="4"/>
  <c r="R44" i="5"/>
  <c r="L119" i="4"/>
  <c r="Q44" i="5"/>
  <c r="M147" i="4"/>
  <c r="R45" i="5"/>
  <c r="L147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B41" i="4"/>
  <c r="S41" i="4"/>
  <c r="B38" i="4"/>
  <c r="S38" i="4"/>
  <c r="B39" i="4"/>
  <c r="S39" i="4"/>
  <c r="B40" i="4"/>
  <c r="S40" i="4"/>
  <c r="B35" i="4"/>
  <c r="S35" i="4"/>
  <c r="B36" i="4"/>
  <c r="S36" i="4"/>
  <c r="S37" i="4"/>
  <c r="B32" i="4"/>
  <c r="S32" i="4"/>
  <c r="B33" i="4"/>
  <c r="S33" i="4"/>
  <c r="B34" i="4"/>
  <c r="S34" i="4"/>
  <c r="S31" i="4"/>
  <c r="B30" i="4"/>
  <c r="S30" i="4"/>
  <c r="B29" i="4"/>
  <c r="S29" i="4"/>
  <c r="N41" i="4"/>
  <c r="AA4" i="2"/>
  <c r="AB4" i="2"/>
  <c r="B66" i="4"/>
  <c r="D66" i="4"/>
  <c r="E263" i="5"/>
  <c r="D41" i="4"/>
  <c r="E254" i="5"/>
  <c r="F254" i="5"/>
  <c r="AC4" i="2"/>
  <c r="H254" i="5"/>
  <c r="I254" i="5"/>
  <c r="AD4" i="2"/>
  <c r="AE4" i="2"/>
  <c r="H66" i="4"/>
  <c r="K263" i="5"/>
  <c r="H41" i="4"/>
  <c r="K254" i="5"/>
  <c r="L254" i="5"/>
  <c r="AF4" i="2"/>
  <c r="AG4" i="2"/>
  <c r="AH4" i="2"/>
  <c r="AI4" i="2"/>
  <c r="AJ4" i="2"/>
  <c r="N254" i="5"/>
  <c r="O254" i="5"/>
  <c r="AK4" i="2"/>
  <c r="M66" i="4"/>
  <c r="R263" i="5"/>
  <c r="L66" i="4"/>
  <c r="Q263" i="5"/>
  <c r="M41" i="4"/>
  <c r="R254" i="5"/>
  <c r="L41" i="4"/>
  <c r="Q254" i="5"/>
  <c r="AL4" i="2"/>
  <c r="AM4" i="2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384" i="1"/>
  <c r="BA384" i="1"/>
  <c r="BB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BC384" i="1"/>
  <c r="CT384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B237" i="4"/>
  <c r="M237" i="4"/>
  <c r="B238" i="4"/>
  <c r="M238" i="4"/>
  <c r="B236" i="4"/>
  <c r="N236" i="4"/>
  <c r="N238" i="4"/>
  <c r="B239" i="4"/>
  <c r="N239" i="4"/>
  <c r="B240" i="4"/>
  <c r="N240" i="4"/>
  <c r="B241" i="4"/>
  <c r="N241" i="4"/>
  <c r="B242" i="4"/>
  <c r="N242" i="4"/>
  <c r="B235" i="4"/>
  <c r="N235" i="4"/>
  <c r="B218" i="4"/>
  <c r="N218" i="4"/>
  <c r="B219" i="4"/>
  <c r="N219" i="4"/>
  <c r="B220" i="4"/>
  <c r="N220" i="4"/>
  <c r="B221" i="4"/>
  <c r="N221" i="4"/>
  <c r="B222" i="4"/>
  <c r="N222" i="4"/>
  <c r="N223" i="4"/>
  <c r="B224" i="4"/>
  <c r="N224" i="4"/>
  <c r="N225" i="4"/>
  <c r="B226" i="4"/>
  <c r="N226" i="4"/>
  <c r="B228" i="4"/>
  <c r="N228" i="4"/>
  <c r="B229" i="4"/>
  <c r="N229" i="4"/>
  <c r="B230" i="4"/>
  <c r="N230" i="4"/>
  <c r="N231" i="4"/>
  <c r="B233" i="4"/>
  <c r="N233" i="4"/>
  <c r="B234" i="4"/>
  <c r="N234" i="4"/>
  <c r="O230" i="4"/>
  <c r="O232" i="4"/>
  <c r="O233" i="4"/>
  <c r="N2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262" i="4"/>
  <c r="C232" i="4"/>
  <c r="C20" i="5"/>
  <c r="D262" i="4"/>
  <c r="F20" i="5"/>
  <c r="H20" i="5"/>
  <c r="I20" i="5"/>
  <c r="H262" i="4"/>
  <c r="L20" i="5"/>
  <c r="N20" i="5"/>
  <c r="O20" i="5"/>
  <c r="L262" i="4"/>
  <c r="M262" i="4"/>
  <c r="N262" i="4"/>
  <c r="T20" i="5"/>
  <c r="O262" i="4"/>
  <c r="U20" i="5"/>
  <c r="P262" i="4"/>
  <c r="P232" i="4"/>
  <c r="W20" i="5"/>
  <c r="Q262" i="4"/>
  <c r="Q232" i="4"/>
  <c r="X20" i="5"/>
  <c r="R262" i="4"/>
  <c r="R232" i="4"/>
  <c r="Z20" i="5"/>
  <c r="S262" i="4"/>
  <c r="S232" i="4"/>
  <c r="AA20" i="5"/>
  <c r="AI262" i="4"/>
  <c r="T262" i="4" a="1"/>
  <c r="T262" i="4"/>
  <c r="AI232" i="4"/>
  <c r="T232" i="4" a="1"/>
  <c r="T232" i="4"/>
  <c r="AC20" i="5"/>
  <c r="U262" i="4" a="1"/>
  <c r="U262" i="4"/>
  <c r="U232" i="4" a="1"/>
  <c r="U232" i="4"/>
  <c r="AD20" i="5"/>
  <c r="AF20" i="5"/>
  <c r="AG20" i="5"/>
  <c r="X232" i="4"/>
  <c r="AI20" i="5"/>
  <c r="Y262" i="4"/>
  <c r="Y232" i="4"/>
  <c r="AJ20" i="5"/>
  <c r="Z262" i="4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232" i="4"/>
  <c r="F232" i="4"/>
  <c r="I232" i="4"/>
  <c r="J232" i="4"/>
  <c r="K232" i="4"/>
  <c r="AA232" i="4"/>
  <c r="AC232" i="4"/>
  <c r="AD232" i="4"/>
  <c r="AE232" i="4"/>
  <c r="AF232" i="4"/>
  <c r="AG232" i="4"/>
  <c r="AH232" i="4"/>
  <c r="AJ232" i="4"/>
  <c r="AL232" i="4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352" i="1"/>
  <c r="BA352" i="1"/>
  <c r="BB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BC352" i="1"/>
  <c r="CT352" i="1"/>
  <c r="D348" i="9"/>
  <c r="E348" i="9"/>
  <c r="F348" i="9"/>
  <c r="G348" i="9"/>
  <c r="C125" i="7"/>
  <c r="D125" i="7"/>
  <c r="E125" i="7"/>
  <c r="AZ353" i="1"/>
  <c r="BA353" i="1"/>
  <c r="BB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BC353" i="1"/>
  <c r="CT353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B115" i="4"/>
  <c r="X115" i="4"/>
  <c r="N115" i="4"/>
  <c r="B109" i="4"/>
  <c r="X109" i="4"/>
  <c r="B95" i="4"/>
  <c r="N95" i="4"/>
  <c r="B96" i="4"/>
  <c r="N96" i="4"/>
  <c r="B92" i="4"/>
  <c r="N92" i="4"/>
  <c r="B93" i="4"/>
  <c r="N93" i="4"/>
  <c r="B85" i="4"/>
  <c r="O85" i="4"/>
  <c r="B86" i="4"/>
  <c r="O86" i="4"/>
  <c r="B47" i="4"/>
  <c r="O47" i="4"/>
  <c r="N47" i="4"/>
  <c r="B370" i="4"/>
  <c r="Y370" i="4"/>
  <c r="AJ357" i="5"/>
  <c r="Q185" i="4"/>
  <c r="AZ205" i="1"/>
  <c r="BA205" i="1"/>
  <c r="BB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BC205" i="1"/>
  <c r="CT205" i="1"/>
  <c r="V66" i="4"/>
  <c r="B67" i="4"/>
  <c r="V67" i="4"/>
  <c r="C67" i="4"/>
  <c r="D67" i="4"/>
  <c r="E67" i="4"/>
  <c r="F67" i="4"/>
  <c r="H67" i="4"/>
  <c r="I67" i="4"/>
  <c r="J67" i="4"/>
  <c r="L67" i="4"/>
  <c r="M67" i="4"/>
  <c r="N67" i="4"/>
  <c r="O67" i="4"/>
  <c r="P67" i="4"/>
  <c r="Q67" i="4"/>
  <c r="R67" i="4"/>
  <c r="AI67" i="4"/>
  <c r="T67" i="4" a="1"/>
  <c r="T67" i="4"/>
  <c r="U67" i="4" a="1"/>
  <c r="U67" i="4"/>
  <c r="X67" i="4"/>
  <c r="Y67" i="4"/>
  <c r="Z67" i="4"/>
  <c r="AA67" i="4"/>
  <c r="AC67" i="4"/>
  <c r="AD67" i="4"/>
  <c r="AE67" i="4"/>
  <c r="AF67" i="4"/>
  <c r="AG67" i="4"/>
  <c r="AH67" i="4"/>
  <c r="AJ67" i="4"/>
  <c r="AL67" i="4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204" i="1"/>
  <c r="BA204" i="1"/>
  <c r="BB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BC204" i="1"/>
  <c r="CT204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86" i="4"/>
  <c r="C19" i="5"/>
  <c r="D86" i="4"/>
  <c r="F19" i="5"/>
  <c r="H19" i="5"/>
  <c r="I19" i="5"/>
  <c r="H86" i="4"/>
  <c r="O19" i="5"/>
  <c r="L86" i="4"/>
  <c r="M86" i="4"/>
  <c r="T19" i="5"/>
  <c r="U19" i="5"/>
  <c r="P86" i="4"/>
  <c r="W19" i="5"/>
  <c r="Q86" i="4"/>
  <c r="X19" i="5"/>
  <c r="R86" i="4"/>
  <c r="Z19" i="5"/>
  <c r="S86" i="4"/>
  <c r="AA19" i="5"/>
  <c r="AI86" i="4"/>
  <c r="T86" i="4" a="1"/>
  <c r="T86" i="4"/>
  <c r="AC19" i="5"/>
  <c r="U86" i="4" a="1"/>
  <c r="U86" i="4"/>
  <c r="AD19" i="5"/>
  <c r="AF19" i="5"/>
  <c r="AG19" i="5"/>
  <c r="X86" i="4"/>
  <c r="AI19" i="5"/>
  <c r="Y86" i="4"/>
  <c r="AJ19" i="5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62" i="4"/>
  <c r="F262" i="4"/>
  <c r="I262" i="4"/>
  <c r="J262" i="4"/>
  <c r="K262" i="4"/>
  <c r="AA262" i="4"/>
  <c r="AC262" i="4"/>
  <c r="AD262" i="4"/>
  <c r="AE262" i="4"/>
  <c r="AF262" i="4"/>
  <c r="AG262" i="4"/>
  <c r="AH262" i="4"/>
  <c r="AJ262" i="4"/>
  <c r="AL262" i="4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351" i="1"/>
  <c r="BA351" i="1"/>
  <c r="BB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BC351" i="1"/>
  <c r="CT351" i="1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D347" i="9"/>
  <c r="E347" i="9"/>
  <c r="F347" i="9"/>
  <c r="G347" i="9"/>
  <c r="C123" i="7"/>
  <c r="E123" i="7"/>
  <c r="D123" i="7"/>
  <c r="AG3" i="5"/>
  <c r="AF3" i="5"/>
  <c r="B74" i="4"/>
  <c r="C74" i="4"/>
  <c r="C3" i="5"/>
  <c r="D74" i="4"/>
  <c r="E3" i="5"/>
  <c r="H74" i="4"/>
  <c r="K3" i="5"/>
  <c r="L74" i="4"/>
  <c r="Q3" i="5"/>
  <c r="M74" i="4"/>
  <c r="R3" i="5"/>
  <c r="T3" i="5"/>
  <c r="O74" i="4"/>
  <c r="U3" i="5"/>
  <c r="P74" i="4"/>
  <c r="W3" i="5"/>
  <c r="Q74" i="4"/>
  <c r="X3" i="5"/>
  <c r="S74" i="4"/>
  <c r="AA3" i="5"/>
  <c r="AI74" i="4"/>
  <c r="T74" i="4" a="1"/>
  <c r="T74" i="4"/>
  <c r="AC3" i="5"/>
  <c r="U74" i="4" a="1"/>
  <c r="U74" i="4"/>
  <c r="AD3" i="5"/>
  <c r="X74" i="4"/>
  <c r="AI3" i="5"/>
  <c r="Y74" i="4"/>
  <c r="AJ3" i="5"/>
  <c r="Z74" i="4"/>
  <c r="AL3" i="5"/>
  <c r="F3" i="5"/>
  <c r="L3" i="5"/>
  <c r="N3" i="5"/>
  <c r="O3" i="5"/>
  <c r="H3" i="5"/>
  <c r="I3" i="5"/>
  <c r="Z3" i="5"/>
  <c r="AN3" i="5"/>
  <c r="O4" i="5"/>
  <c r="B75" i="4"/>
  <c r="H75" i="4"/>
  <c r="K4" i="5"/>
  <c r="AG4" i="5"/>
  <c r="AF4" i="5"/>
  <c r="C75" i="4"/>
  <c r="C4" i="5"/>
  <c r="D75" i="4"/>
  <c r="E4" i="5"/>
  <c r="I75" i="4"/>
  <c r="L4" i="5"/>
  <c r="J75" i="4"/>
  <c r="N4" i="5"/>
  <c r="L75" i="4"/>
  <c r="Q4" i="5"/>
  <c r="M75" i="4"/>
  <c r="R4" i="5"/>
  <c r="T4" i="5"/>
  <c r="O75" i="4"/>
  <c r="U4" i="5"/>
  <c r="W4" i="5"/>
  <c r="Q75" i="4"/>
  <c r="X4" i="5"/>
  <c r="AA4" i="5"/>
  <c r="AI75" i="4"/>
  <c r="T75" i="4" a="1"/>
  <c r="T75" i="4"/>
  <c r="AC4" i="5"/>
  <c r="U75" i="4" a="1"/>
  <c r="U75" i="4"/>
  <c r="AD4" i="5"/>
  <c r="X75" i="4"/>
  <c r="AI4" i="5"/>
  <c r="Y75" i="4"/>
  <c r="AJ4" i="5"/>
  <c r="Z75" i="4"/>
  <c r="AL4" i="5"/>
  <c r="F4" i="5"/>
  <c r="H4" i="5"/>
  <c r="I4" i="5"/>
  <c r="Z4" i="5"/>
  <c r="AN4" i="5"/>
  <c r="AG5" i="5"/>
  <c r="AF5" i="5"/>
  <c r="C136" i="4"/>
  <c r="C5" i="5"/>
  <c r="D136" i="4"/>
  <c r="E5" i="5"/>
  <c r="E136" i="4"/>
  <c r="F5" i="5"/>
  <c r="F136" i="4"/>
  <c r="H5" i="5"/>
  <c r="I5" i="5"/>
  <c r="H136" i="4"/>
  <c r="K5" i="5"/>
  <c r="L136" i="4"/>
  <c r="Q5" i="5"/>
  <c r="M136" i="4"/>
  <c r="R5" i="5"/>
  <c r="T5" i="5"/>
  <c r="U5" i="5"/>
  <c r="P136" i="4"/>
  <c r="W5" i="5"/>
  <c r="Q136" i="4"/>
  <c r="X5" i="5"/>
  <c r="S136" i="4"/>
  <c r="AA5" i="5"/>
  <c r="AI136" i="4"/>
  <c r="T136" i="4" a="1"/>
  <c r="T136" i="4"/>
  <c r="AC5" i="5"/>
  <c r="U136" i="4" a="1"/>
  <c r="U136" i="4"/>
  <c r="AD5" i="5"/>
  <c r="X136" i="4"/>
  <c r="AI5" i="5"/>
  <c r="Y136" i="4"/>
  <c r="AJ5" i="5"/>
  <c r="Z136" i="4"/>
  <c r="AL5" i="5"/>
  <c r="L5" i="5"/>
  <c r="N5" i="5"/>
  <c r="O5" i="5"/>
  <c r="Z5" i="5"/>
  <c r="AN5" i="5"/>
  <c r="AG6" i="5"/>
  <c r="AF6" i="5"/>
  <c r="C216" i="4"/>
  <c r="C6" i="5"/>
  <c r="D216" i="4"/>
  <c r="E6" i="5"/>
  <c r="H216" i="4"/>
  <c r="K6" i="5"/>
  <c r="L216" i="4"/>
  <c r="Q6" i="5"/>
  <c r="M216" i="4"/>
  <c r="R6" i="5"/>
  <c r="T6" i="5"/>
  <c r="O216" i="4"/>
  <c r="U6" i="5"/>
  <c r="P216" i="4"/>
  <c r="W6" i="5"/>
  <c r="Q216" i="4"/>
  <c r="X6" i="5"/>
  <c r="S216" i="4"/>
  <c r="AA6" i="5"/>
  <c r="AD6" i="5"/>
  <c r="X216" i="4"/>
  <c r="AI6" i="5"/>
  <c r="Y216" i="4"/>
  <c r="AJ6" i="5"/>
  <c r="Z216" i="4"/>
  <c r="AL6" i="5"/>
  <c r="F6" i="5"/>
  <c r="H6" i="5"/>
  <c r="I6" i="5"/>
  <c r="L6" i="5"/>
  <c r="N6" i="5"/>
  <c r="O6" i="5"/>
  <c r="Z6" i="5"/>
  <c r="AN6" i="5"/>
  <c r="AG7" i="5"/>
  <c r="AF7" i="5"/>
  <c r="C217" i="4"/>
  <c r="C7" i="5"/>
  <c r="D217" i="4"/>
  <c r="E7" i="5"/>
  <c r="H217" i="4"/>
  <c r="K7" i="5"/>
  <c r="L217" i="4"/>
  <c r="Q7" i="5"/>
  <c r="M217" i="4"/>
  <c r="R7" i="5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H7" i="5"/>
  <c r="I7" i="5"/>
  <c r="L7" i="5"/>
  <c r="N7" i="5"/>
  <c r="O7" i="5"/>
  <c r="Z7" i="5"/>
  <c r="AN7" i="5"/>
  <c r="AG8" i="5"/>
  <c r="AF8" i="5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I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H8" i="5"/>
  <c r="I8" i="5"/>
  <c r="L8" i="5"/>
  <c r="N8" i="5"/>
  <c r="O8" i="5"/>
  <c r="Z8" i="5"/>
  <c r="AN8" i="5"/>
  <c r="AG9" i="5"/>
  <c r="AF9" i="5"/>
  <c r="C235" i="4"/>
  <c r="C9" i="5"/>
  <c r="D235" i="4"/>
  <c r="E9" i="5"/>
  <c r="E235" i="4"/>
  <c r="F9" i="5"/>
  <c r="F235" i="4"/>
  <c r="H9" i="5"/>
  <c r="I9" i="5"/>
  <c r="H235" i="4"/>
  <c r="K9" i="5"/>
  <c r="L235" i="4"/>
  <c r="Q9" i="5"/>
  <c r="M235" i="4"/>
  <c r="R9" i="5"/>
  <c r="T9" i="5"/>
  <c r="O235" i="4"/>
  <c r="U9" i="5"/>
  <c r="P235" i="4"/>
  <c r="W9" i="5"/>
  <c r="Q235" i="4"/>
  <c r="X9" i="5"/>
  <c r="S235" i="4"/>
  <c r="AA9" i="5"/>
  <c r="AI235" i="4"/>
  <c r="T235" i="4" a="1"/>
  <c r="T235" i="4"/>
  <c r="AC9" i="5"/>
  <c r="U235" i="4" a="1"/>
  <c r="U235" i="4"/>
  <c r="AD9" i="5"/>
  <c r="X235" i="4"/>
  <c r="AI9" i="5"/>
  <c r="Y235" i="4"/>
  <c r="AJ9" i="5"/>
  <c r="Z235" i="4"/>
  <c r="AL9" i="5"/>
  <c r="L9" i="5"/>
  <c r="N9" i="5"/>
  <c r="O9" i="5"/>
  <c r="Z9" i="5"/>
  <c r="AN9" i="5"/>
  <c r="AG10" i="5"/>
  <c r="AF10" i="5"/>
  <c r="B270" i="4"/>
  <c r="C270" i="4"/>
  <c r="C10" i="5"/>
  <c r="D270" i="4"/>
  <c r="E10" i="5"/>
  <c r="K10" i="5"/>
  <c r="L270" i="4"/>
  <c r="Q10" i="5"/>
  <c r="M270" i="4"/>
  <c r="R10" i="5"/>
  <c r="T10" i="5"/>
  <c r="O270" i="4"/>
  <c r="U10" i="5"/>
  <c r="P270" i="4"/>
  <c r="W10" i="5"/>
  <c r="Q270" i="4"/>
  <c r="X10" i="5"/>
  <c r="S270" i="4"/>
  <c r="AA10" i="5"/>
  <c r="AI270" i="4"/>
  <c r="T270" i="4" a="1"/>
  <c r="T270" i="4"/>
  <c r="AC10" i="5"/>
  <c r="U270" i="4" a="1"/>
  <c r="U270" i="4"/>
  <c r="AD10" i="5"/>
  <c r="X270" i="4"/>
  <c r="AI10" i="5"/>
  <c r="Y270" i="4"/>
  <c r="AJ10" i="5"/>
  <c r="Z270" i="4"/>
  <c r="AL10" i="5"/>
  <c r="F10" i="5"/>
  <c r="H10" i="5"/>
  <c r="I10" i="5"/>
  <c r="L10" i="5"/>
  <c r="N10" i="5"/>
  <c r="O10" i="5"/>
  <c r="Z10" i="5"/>
  <c r="AN10" i="5"/>
  <c r="AG11" i="5"/>
  <c r="AF11" i="5"/>
  <c r="B271" i="4"/>
  <c r="C271" i="4"/>
  <c r="C11" i="5"/>
  <c r="D271" i="4"/>
  <c r="E11" i="5"/>
  <c r="K11" i="5"/>
  <c r="L271" i="4"/>
  <c r="Q11" i="5"/>
  <c r="M271" i="4"/>
  <c r="R11" i="5"/>
  <c r="T11" i="5"/>
  <c r="U11" i="5"/>
  <c r="P271" i="4"/>
  <c r="W11" i="5"/>
  <c r="Q271" i="4"/>
  <c r="X11" i="5"/>
  <c r="S271" i="4"/>
  <c r="AA11" i="5"/>
  <c r="AI271" i="4"/>
  <c r="T271" i="4" a="1"/>
  <c r="T271" i="4"/>
  <c r="AC11" i="5"/>
  <c r="U271" i="4" a="1"/>
  <c r="U271" i="4"/>
  <c r="AD11" i="5"/>
  <c r="X271" i="4"/>
  <c r="AI11" i="5"/>
  <c r="Y271" i="4"/>
  <c r="AJ11" i="5"/>
  <c r="Z271" i="4"/>
  <c r="AL11" i="5"/>
  <c r="F11" i="5"/>
  <c r="H11" i="5"/>
  <c r="I11" i="5"/>
  <c r="L11" i="5"/>
  <c r="N11" i="5"/>
  <c r="O11" i="5"/>
  <c r="Z11" i="5"/>
  <c r="AN11" i="5"/>
  <c r="S155" i="4"/>
  <c r="AA12" i="5"/>
  <c r="P155" i="4"/>
  <c r="W12" i="5"/>
  <c r="O12" i="5"/>
  <c r="K12" i="5"/>
  <c r="AG12" i="5"/>
  <c r="AF12" i="5"/>
  <c r="C155" i="4"/>
  <c r="C12" i="5"/>
  <c r="D155" i="4"/>
  <c r="E12" i="5"/>
  <c r="E155" i="4"/>
  <c r="F12" i="5"/>
  <c r="F155" i="4"/>
  <c r="H12" i="5"/>
  <c r="I12" i="5"/>
  <c r="L155" i="4"/>
  <c r="Q12" i="5"/>
  <c r="M155" i="4"/>
  <c r="R12" i="5"/>
  <c r="T12" i="5"/>
  <c r="O155" i="4"/>
  <c r="U12" i="5"/>
  <c r="Q155" i="4"/>
  <c r="X12" i="5"/>
  <c r="R155" i="4"/>
  <c r="Z12" i="5"/>
  <c r="AI155" i="4"/>
  <c r="T155" i="4" a="1"/>
  <c r="T155" i="4"/>
  <c r="AC12" i="5"/>
  <c r="U155" i="4" a="1"/>
  <c r="U155" i="4"/>
  <c r="AD12" i="5"/>
  <c r="X155" i="4"/>
  <c r="AI12" i="5"/>
  <c r="Y155" i="4"/>
  <c r="AJ12" i="5"/>
  <c r="Z155" i="4"/>
  <c r="AL12" i="5"/>
  <c r="AN12" i="5"/>
  <c r="S156" i="4"/>
  <c r="AA13" i="5"/>
  <c r="P156" i="4"/>
  <c r="W13" i="5"/>
  <c r="O13" i="5"/>
  <c r="K13" i="5"/>
  <c r="AG13" i="5"/>
  <c r="AF13" i="5"/>
  <c r="C156" i="4"/>
  <c r="C13" i="5"/>
  <c r="D156" i="4"/>
  <c r="E13" i="5"/>
  <c r="E156" i="4"/>
  <c r="F13" i="5"/>
  <c r="F156" i="4"/>
  <c r="H13" i="5"/>
  <c r="I13" i="5"/>
  <c r="I156" i="4"/>
  <c r="L13" i="5"/>
  <c r="J156" i="4"/>
  <c r="N13" i="5"/>
  <c r="L156" i="4"/>
  <c r="Q13" i="5"/>
  <c r="M156" i="4"/>
  <c r="R13" i="5"/>
  <c r="T13" i="5"/>
  <c r="O156" i="4"/>
  <c r="U13" i="5"/>
  <c r="Q156" i="4"/>
  <c r="X13" i="5"/>
  <c r="R156" i="4"/>
  <c r="Z13" i="5"/>
  <c r="AI156" i="4"/>
  <c r="T156" i="4" a="1"/>
  <c r="T156" i="4"/>
  <c r="AC13" i="5"/>
  <c r="U156" i="4" a="1"/>
  <c r="U156" i="4"/>
  <c r="AD13" i="5"/>
  <c r="X156" i="4"/>
  <c r="AI13" i="5"/>
  <c r="Y156" i="4"/>
  <c r="AJ13" i="5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I127" i="4"/>
  <c r="T127" i="4" a="1"/>
  <c r="T127" i="4"/>
  <c r="AC14" i="5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B249" i="4"/>
  <c r="C249" i="4"/>
  <c r="C15" i="5"/>
  <c r="D249" i="4"/>
  <c r="E15" i="5"/>
  <c r="E249" i="4"/>
  <c r="F15" i="5"/>
  <c r="F249" i="4"/>
  <c r="H15" i="5"/>
  <c r="I15" i="5"/>
  <c r="K15" i="5"/>
  <c r="L249" i="4"/>
  <c r="Q15" i="5"/>
  <c r="M249" i="4"/>
  <c r="R15" i="5"/>
  <c r="T15" i="5"/>
  <c r="O249" i="4"/>
  <c r="U15" i="5"/>
  <c r="P249" i="4"/>
  <c r="W15" i="5"/>
  <c r="Q249" i="4"/>
  <c r="X15" i="5"/>
  <c r="S249" i="4"/>
  <c r="AA15" i="5"/>
  <c r="AI249" i="4"/>
  <c r="T249" i="4" a="1"/>
  <c r="T249" i="4"/>
  <c r="AC15" i="5"/>
  <c r="U249" i="4" a="1"/>
  <c r="U249" i="4"/>
  <c r="AD15" i="5"/>
  <c r="X249" i="4"/>
  <c r="AI15" i="5"/>
  <c r="Y249" i="4"/>
  <c r="AJ15" i="5"/>
  <c r="Z249" i="4"/>
  <c r="AL15" i="5"/>
  <c r="L15" i="5"/>
  <c r="N15" i="5"/>
  <c r="O15" i="5"/>
  <c r="Z15" i="5"/>
  <c r="AN15" i="5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I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F16" i="5"/>
  <c r="H16" i="5"/>
  <c r="I16" i="5"/>
  <c r="AN16" i="5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I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B90" i="4"/>
  <c r="C90" i="4"/>
  <c r="C21" i="5"/>
  <c r="D90" i="4"/>
  <c r="E21" i="5"/>
  <c r="L90" i="4"/>
  <c r="Q21" i="5"/>
  <c r="M90" i="4"/>
  <c r="R21" i="5"/>
  <c r="T21" i="5"/>
  <c r="O90" i="4"/>
  <c r="U21" i="5"/>
  <c r="P90" i="4"/>
  <c r="W21" i="5"/>
  <c r="Q90" i="4"/>
  <c r="X21" i="5"/>
  <c r="S90" i="4"/>
  <c r="AA21" i="5"/>
  <c r="AI90" i="4"/>
  <c r="T90" i="4" a="1"/>
  <c r="T90" i="4"/>
  <c r="AC21" i="5"/>
  <c r="U90" i="4" a="1"/>
  <c r="U90" i="4"/>
  <c r="AD21" i="5"/>
  <c r="X90" i="4"/>
  <c r="AI21" i="5"/>
  <c r="Y90" i="4"/>
  <c r="AJ21" i="5"/>
  <c r="Z90" i="4"/>
  <c r="AL21" i="5"/>
  <c r="L21" i="5"/>
  <c r="N21" i="5"/>
  <c r="O21" i="5"/>
  <c r="F21" i="5"/>
  <c r="H21" i="5"/>
  <c r="I21" i="5"/>
  <c r="Z21" i="5"/>
  <c r="AN21" i="5"/>
  <c r="AG22" i="5"/>
  <c r="AF22" i="5"/>
  <c r="B91" i="4"/>
  <c r="C91" i="4"/>
  <c r="C22" i="5"/>
  <c r="D91" i="4"/>
  <c r="E22" i="5"/>
  <c r="H91" i="4"/>
  <c r="K22" i="5"/>
  <c r="L91" i="4"/>
  <c r="Q22" i="5"/>
  <c r="M91" i="4"/>
  <c r="R22" i="5"/>
  <c r="T22" i="5"/>
  <c r="O91" i="4"/>
  <c r="U22" i="5"/>
  <c r="P91" i="4"/>
  <c r="W22" i="5"/>
  <c r="Q91" i="4"/>
  <c r="X22" i="5"/>
  <c r="S91" i="4"/>
  <c r="AA22" i="5"/>
  <c r="AI91" i="4"/>
  <c r="T91" i="4" a="1"/>
  <c r="T91" i="4"/>
  <c r="AC22" i="5"/>
  <c r="U91" i="4" a="1"/>
  <c r="U91" i="4"/>
  <c r="AD22" i="5"/>
  <c r="X91" i="4"/>
  <c r="AI22" i="5"/>
  <c r="Y91" i="4"/>
  <c r="AJ22" i="5"/>
  <c r="Z91" i="4"/>
  <c r="AL22" i="5"/>
  <c r="L22" i="5"/>
  <c r="N22" i="5"/>
  <c r="O22" i="5"/>
  <c r="F22" i="5"/>
  <c r="H22" i="5"/>
  <c r="I22" i="5"/>
  <c r="Z22" i="5"/>
  <c r="AN22" i="5"/>
  <c r="AG23" i="5"/>
  <c r="AF23" i="5"/>
  <c r="C92" i="4"/>
  <c r="C23" i="5"/>
  <c r="D92" i="4"/>
  <c r="E23" i="5"/>
  <c r="H92" i="4"/>
  <c r="K23" i="5"/>
  <c r="I92" i="4"/>
  <c r="L23" i="5"/>
  <c r="J92" i="4"/>
  <c r="N23" i="5"/>
  <c r="O23" i="5"/>
  <c r="L92" i="4"/>
  <c r="Q23" i="5"/>
  <c r="M92" i="4"/>
  <c r="R23" i="5"/>
  <c r="T23" i="5"/>
  <c r="O92" i="4"/>
  <c r="U23" i="5"/>
  <c r="P92" i="4"/>
  <c r="W23" i="5"/>
  <c r="Q92" i="4"/>
  <c r="X23" i="5"/>
  <c r="S92" i="4"/>
  <c r="AA23" i="5"/>
  <c r="AI92" i="4"/>
  <c r="T92" i="4" a="1"/>
  <c r="T92" i="4"/>
  <c r="AC23" i="5"/>
  <c r="U92" i="4" a="1"/>
  <c r="U92" i="4"/>
  <c r="AD23" i="5"/>
  <c r="X92" i="4"/>
  <c r="AI23" i="5"/>
  <c r="Y92" i="4"/>
  <c r="AJ23" i="5"/>
  <c r="Z92" i="4"/>
  <c r="AL23" i="5"/>
  <c r="F23" i="5"/>
  <c r="H23" i="5"/>
  <c r="I23" i="5"/>
  <c r="Z23" i="5"/>
  <c r="AN23" i="5"/>
  <c r="AG24" i="5"/>
  <c r="AF24" i="5"/>
  <c r="C93" i="4"/>
  <c r="C24" i="5"/>
  <c r="D93" i="4"/>
  <c r="E24" i="5"/>
  <c r="H93" i="4"/>
  <c r="K24" i="5"/>
  <c r="L93" i="4"/>
  <c r="Q24" i="5"/>
  <c r="M93" i="4"/>
  <c r="R24" i="5"/>
  <c r="T24" i="5"/>
  <c r="O93" i="4"/>
  <c r="U24" i="5"/>
  <c r="P93" i="4"/>
  <c r="W24" i="5"/>
  <c r="Q93" i="4"/>
  <c r="X24" i="5"/>
  <c r="S93" i="4"/>
  <c r="AA24" i="5"/>
  <c r="AI93" i="4"/>
  <c r="T93" i="4" a="1"/>
  <c r="T93" i="4"/>
  <c r="AC24" i="5"/>
  <c r="U93" i="4" a="1"/>
  <c r="U93" i="4"/>
  <c r="AD24" i="5"/>
  <c r="X93" i="4"/>
  <c r="AI24" i="5"/>
  <c r="Y93" i="4"/>
  <c r="AJ24" i="5"/>
  <c r="Z93" i="4"/>
  <c r="AL24" i="5"/>
  <c r="L24" i="5"/>
  <c r="N24" i="5"/>
  <c r="O24" i="5"/>
  <c r="F24" i="5"/>
  <c r="H24" i="5"/>
  <c r="I24" i="5"/>
  <c r="Z24" i="5"/>
  <c r="AN24" i="5"/>
  <c r="AG25" i="5"/>
  <c r="AF25" i="5"/>
  <c r="C95" i="4"/>
  <c r="C25" i="5"/>
  <c r="D95" i="4"/>
  <c r="E25" i="5"/>
  <c r="H95" i="4"/>
  <c r="K25" i="5"/>
  <c r="L95" i="4"/>
  <c r="Q25" i="5"/>
  <c r="M95" i="4"/>
  <c r="R25" i="5"/>
  <c r="T25" i="5"/>
  <c r="O95" i="4"/>
  <c r="U25" i="5"/>
  <c r="P95" i="4"/>
  <c r="W25" i="5"/>
  <c r="Q95" i="4"/>
  <c r="X25" i="5"/>
  <c r="S95" i="4"/>
  <c r="AA25" i="5"/>
  <c r="AI95" i="4"/>
  <c r="T95" i="4" a="1"/>
  <c r="T95" i="4"/>
  <c r="AC25" i="5"/>
  <c r="U95" i="4" a="1"/>
  <c r="U95" i="4"/>
  <c r="AD25" i="5"/>
  <c r="X95" i="4"/>
  <c r="AI25" i="5"/>
  <c r="Y95" i="4"/>
  <c r="AJ25" i="5"/>
  <c r="Z95" i="4"/>
  <c r="AL25" i="5"/>
  <c r="L25" i="5"/>
  <c r="N25" i="5"/>
  <c r="O25" i="5"/>
  <c r="F25" i="5"/>
  <c r="H25" i="5"/>
  <c r="I25" i="5"/>
  <c r="Z25" i="5"/>
  <c r="AN25" i="5"/>
  <c r="AG26" i="5"/>
  <c r="AF26" i="5"/>
  <c r="C96" i="4"/>
  <c r="C26" i="5"/>
  <c r="D96" i="4"/>
  <c r="E26" i="5"/>
  <c r="H96" i="4"/>
  <c r="K26" i="5"/>
  <c r="L96" i="4"/>
  <c r="Q26" i="5"/>
  <c r="M96" i="4"/>
  <c r="R26" i="5"/>
  <c r="T26" i="5"/>
  <c r="O96" i="4"/>
  <c r="U26" i="5"/>
  <c r="P96" i="4"/>
  <c r="W26" i="5"/>
  <c r="Q96" i="4"/>
  <c r="X26" i="5"/>
  <c r="S96" i="4"/>
  <c r="AA26" i="5"/>
  <c r="AI96" i="4"/>
  <c r="T96" i="4" a="1"/>
  <c r="T96" i="4"/>
  <c r="AC26" i="5"/>
  <c r="U96" i="4" a="1"/>
  <c r="U96" i="4"/>
  <c r="AD26" i="5"/>
  <c r="X96" i="4"/>
  <c r="AI26" i="5"/>
  <c r="Y96" i="4"/>
  <c r="AJ26" i="5"/>
  <c r="Z96" i="4"/>
  <c r="AL26" i="5"/>
  <c r="L26" i="5"/>
  <c r="N26" i="5"/>
  <c r="O26" i="5"/>
  <c r="F26" i="5"/>
  <c r="H26" i="5"/>
  <c r="I26" i="5"/>
  <c r="Z26" i="5"/>
  <c r="AN26" i="5"/>
  <c r="AG27" i="5"/>
  <c r="AF27" i="5"/>
  <c r="B258" i="4"/>
  <c r="C258" i="4"/>
  <c r="C27" i="5"/>
  <c r="D258" i="4"/>
  <c r="E27" i="5"/>
  <c r="E258" i="4"/>
  <c r="F27" i="5"/>
  <c r="F258" i="4"/>
  <c r="H27" i="5"/>
  <c r="I27" i="5"/>
  <c r="K27" i="5"/>
  <c r="L258" i="4"/>
  <c r="Q27" i="5"/>
  <c r="M258" i="4"/>
  <c r="R27" i="5"/>
  <c r="T27" i="5"/>
  <c r="O258" i="4"/>
  <c r="U27" i="5"/>
  <c r="P258" i="4"/>
  <c r="W27" i="5"/>
  <c r="Q258" i="4"/>
  <c r="X27" i="5"/>
  <c r="S258" i="4"/>
  <c r="AA27" i="5"/>
  <c r="AI258" i="4"/>
  <c r="T258" i="4" a="1"/>
  <c r="T258" i="4"/>
  <c r="AC27" i="5"/>
  <c r="U258" i="4" a="1"/>
  <c r="U258" i="4"/>
  <c r="AD27" i="5"/>
  <c r="X258" i="4"/>
  <c r="AI27" i="5"/>
  <c r="Y258" i="4"/>
  <c r="AJ27" i="5"/>
  <c r="Z258" i="4"/>
  <c r="AL27" i="5"/>
  <c r="L27" i="5"/>
  <c r="N27" i="5"/>
  <c r="O27" i="5"/>
  <c r="Z27" i="5"/>
  <c r="AN27" i="5"/>
  <c r="AG28" i="5"/>
  <c r="AF28" i="5"/>
  <c r="C178" i="4"/>
  <c r="C28" i="5"/>
  <c r="D178" i="4"/>
  <c r="E28" i="5"/>
  <c r="E178" i="4"/>
  <c r="F28" i="5"/>
  <c r="F178" i="4"/>
  <c r="H28" i="5"/>
  <c r="I28" i="5"/>
  <c r="H178" i="4"/>
  <c r="K28" i="5"/>
  <c r="L178" i="4"/>
  <c r="Q28" i="5"/>
  <c r="M178" i="4"/>
  <c r="R28" i="5"/>
  <c r="N178" i="4"/>
  <c r="T28" i="5"/>
  <c r="O178" i="4"/>
  <c r="U28" i="5"/>
  <c r="P178" i="4"/>
  <c r="W28" i="5"/>
  <c r="Q178" i="4"/>
  <c r="X28" i="5"/>
  <c r="S178" i="4"/>
  <c r="AA28" i="5"/>
  <c r="AI178" i="4"/>
  <c r="T178" i="4" a="1"/>
  <c r="T178" i="4"/>
  <c r="AC28" i="5"/>
  <c r="U178" i="4" a="1"/>
  <c r="U178" i="4"/>
  <c r="AD28" i="5"/>
  <c r="X178" i="4"/>
  <c r="AI28" i="5"/>
  <c r="Y178" i="4"/>
  <c r="AJ28" i="5"/>
  <c r="Z178" i="4"/>
  <c r="AL28" i="5"/>
  <c r="L28" i="5"/>
  <c r="N28" i="5"/>
  <c r="O28" i="5"/>
  <c r="Z28" i="5"/>
  <c r="AN28" i="5"/>
  <c r="O29" i="5"/>
  <c r="B49" i="4"/>
  <c r="H49" i="4"/>
  <c r="K29" i="5"/>
  <c r="AG29" i="5"/>
  <c r="AF29" i="5"/>
  <c r="C49" i="4"/>
  <c r="C29" i="5"/>
  <c r="D49" i="4"/>
  <c r="E29" i="5"/>
  <c r="I49" i="4"/>
  <c r="L29" i="5"/>
  <c r="J49" i="4"/>
  <c r="N29" i="5"/>
  <c r="L49" i="4"/>
  <c r="Q29" i="5"/>
  <c r="M49" i="4"/>
  <c r="R29" i="5"/>
  <c r="T29" i="5"/>
  <c r="O49" i="4"/>
  <c r="U29" i="5"/>
  <c r="P49" i="4"/>
  <c r="W29" i="5"/>
  <c r="Q49" i="4"/>
  <c r="X29" i="5"/>
  <c r="AA29" i="5"/>
  <c r="AI49" i="4"/>
  <c r="T49" i="4" a="1"/>
  <c r="T49" i="4"/>
  <c r="AC29" i="5"/>
  <c r="U49" i="4" a="1"/>
  <c r="U49" i="4"/>
  <c r="AD29" i="5"/>
  <c r="Y49" i="4"/>
  <c r="AJ29" i="5"/>
  <c r="Z49" i="4"/>
  <c r="AL29" i="5"/>
  <c r="F29" i="5"/>
  <c r="H29" i="5"/>
  <c r="I29" i="5"/>
  <c r="Z29" i="5"/>
  <c r="AN29" i="5"/>
  <c r="AG30" i="5"/>
  <c r="AF30" i="5"/>
  <c r="B50" i="4"/>
  <c r="C50" i="4"/>
  <c r="C30" i="5"/>
  <c r="D50" i="4"/>
  <c r="E30" i="5"/>
  <c r="H50" i="4"/>
  <c r="K30" i="5"/>
  <c r="L50" i="4"/>
  <c r="Q30" i="5"/>
  <c r="M50" i="4"/>
  <c r="R30" i="5"/>
  <c r="T30" i="5"/>
  <c r="O50" i="4"/>
  <c r="U30" i="5"/>
  <c r="P50" i="4"/>
  <c r="W30" i="5"/>
  <c r="Q50" i="4"/>
  <c r="X30" i="5"/>
  <c r="AA30" i="5"/>
  <c r="AI50" i="4"/>
  <c r="T50" i="4" a="1"/>
  <c r="T50" i="4"/>
  <c r="AC30" i="5"/>
  <c r="U50" i="4" a="1"/>
  <c r="U50" i="4"/>
  <c r="AD30" i="5"/>
  <c r="Y50" i="4"/>
  <c r="AJ30" i="5"/>
  <c r="Z50" i="4"/>
  <c r="AL30" i="5"/>
  <c r="L30" i="5"/>
  <c r="N30" i="5"/>
  <c r="O30" i="5"/>
  <c r="F30" i="5"/>
  <c r="H30" i="5"/>
  <c r="I30" i="5"/>
  <c r="Z30" i="5"/>
  <c r="AN30" i="5"/>
  <c r="S115" i="4"/>
  <c r="AA31" i="5"/>
  <c r="P115" i="4"/>
  <c r="W31" i="5"/>
  <c r="AG31" i="5"/>
  <c r="AF31" i="5"/>
  <c r="C115" i="4"/>
  <c r="C31" i="5"/>
  <c r="D115" i="4"/>
  <c r="E31" i="5"/>
  <c r="K31" i="5"/>
  <c r="L115" i="4"/>
  <c r="Q31" i="5"/>
  <c r="M115" i="4"/>
  <c r="R31" i="5"/>
  <c r="T31" i="5"/>
  <c r="O115" i="4"/>
  <c r="U31" i="5"/>
  <c r="Q115" i="4"/>
  <c r="X31" i="5"/>
  <c r="R115" i="4"/>
  <c r="Z31" i="5"/>
  <c r="AI115" i="4"/>
  <c r="T115" i="4" a="1"/>
  <c r="T115" i="4"/>
  <c r="AC31" i="5"/>
  <c r="U115" i="4" a="1"/>
  <c r="U115" i="4"/>
  <c r="AD31" i="5"/>
  <c r="AI31" i="5"/>
  <c r="Y115" i="4"/>
  <c r="AJ31" i="5"/>
  <c r="Z115" i="4"/>
  <c r="AL31" i="5"/>
  <c r="L31" i="5"/>
  <c r="N31" i="5"/>
  <c r="O31" i="5"/>
  <c r="F31" i="5"/>
  <c r="H31" i="5"/>
  <c r="I31" i="5"/>
  <c r="AN31" i="5"/>
  <c r="B116" i="4"/>
  <c r="S116" i="4"/>
  <c r="AA32" i="5"/>
  <c r="P116" i="4"/>
  <c r="W32" i="5"/>
  <c r="AG32" i="5"/>
  <c r="AF32" i="5"/>
  <c r="C116" i="4"/>
  <c r="C32" i="5"/>
  <c r="D116" i="4"/>
  <c r="E32" i="5"/>
  <c r="K32" i="5"/>
  <c r="L116" i="4"/>
  <c r="Q32" i="5"/>
  <c r="M116" i="4"/>
  <c r="R32" i="5"/>
  <c r="T32" i="5"/>
  <c r="O116" i="4"/>
  <c r="U32" i="5"/>
  <c r="Q116" i="4"/>
  <c r="X32" i="5"/>
  <c r="R116" i="4"/>
  <c r="Z32" i="5"/>
  <c r="AI116" i="4"/>
  <c r="T116" i="4" a="1"/>
  <c r="T116" i="4"/>
  <c r="AC32" i="5"/>
  <c r="U116" i="4" a="1"/>
  <c r="U116" i="4"/>
  <c r="AD32" i="5"/>
  <c r="X116" i="4"/>
  <c r="AI32" i="5"/>
  <c r="Y116" i="4"/>
  <c r="AJ32" i="5"/>
  <c r="Z116" i="4"/>
  <c r="AL32" i="5"/>
  <c r="L32" i="5"/>
  <c r="N32" i="5"/>
  <c r="O32" i="5"/>
  <c r="F32" i="5"/>
  <c r="H32" i="5"/>
  <c r="I32" i="5"/>
  <c r="AN32" i="5"/>
  <c r="B117" i="4"/>
  <c r="S117" i="4"/>
  <c r="AA33" i="5"/>
  <c r="P117" i="4"/>
  <c r="W33" i="5"/>
  <c r="AG33" i="5"/>
  <c r="AF33" i="5"/>
  <c r="C117" i="4"/>
  <c r="C33" i="5"/>
  <c r="D117" i="4"/>
  <c r="E33" i="5"/>
  <c r="K33" i="5"/>
  <c r="L117" i="4"/>
  <c r="Q33" i="5"/>
  <c r="M117" i="4"/>
  <c r="R33" i="5"/>
  <c r="T33" i="5"/>
  <c r="O117" i="4"/>
  <c r="U33" i="5"/>
  <c r="Q117" i="4"/>
  <c r="X33" i="5"/>
  <c r="R117" i="4"/>
  <c r="Z33" i="5"/>
  <c r="AI117" i="4"/>
  <c r="T117" i="4" a="1"/>
  <c r="T117" i="4"/>
  <c r="AC33" i="5"/>
  <c r="U117" i="4" a="1"/>
  <c r="U117" i="4"/>
  <c r="AD33" i="5"/>
  <c r="X117" i="4"/>
  <c r="AI33" i="5"/>
  <c r="Y117" i="4"/>
  <c r="AJ33" i="5"/>
  <c r="Z117" i="4"/>
  <c r="AL33" i="5"/>
  <c r="L33" i="5"/>
  <c r="N33" i="5"/>
  <c r="O33" i="5"/>
  <c r="F33" i="5"/>
  <c r="H33" i="5"/>
  <c r="I33" i="5"/>
  <c r="AN33" i="5"/>
  <c r="B118" i="4"/>
  <c r="S118" i="4"/>
  <c r="AA34" i="5"/>
  <c r="P118" i="4"/>
  <c r="W34" i="5"/>
  <c r="AG34" i="5"/>
  <c r="AF34" i="5"/>
  <c r="C118" i="4"/>
  <c r="C34" i="5"/>
  <c r="D118" i="4"/>
  <c r="E34" i="5"/>
  <c r="K34" i="5"/>
  <c r="L118" i="4"/>
  <c r="Q34" i="5"/>
  <c r="M118" i="4"/>
  <c r="R34" i="5"/>
  <c r="T34" i="5"/>
  <c r="O118" i="4"/>
  <c r="U34" i="5"/>
  <c r="Q118" i="4"/>
  <c r="X34" i="5"/>
  <c r="R118" i="4"/>
  <c r="Z34" i="5"/>
  <c r="AI118" i="4"/>
  <c r="T118" i="4" a="1"/>
  <c r="T118" i="4"/>
  <c r="AC34" i="5"/>
  <c r="U118" i="4" a="1"/>
  <c r="U118" i="4"/>
  <c r="AD34" i="5"/>
  <c r="X118" i="4"/>
  <c r="AI34" i="5"/>
  <c r="Y118" i="4"/>
  <c r="AJ34" i="5"/>
  <c r="Z118" i="4"/>
  <c r="AL34" i="5"/>
  <c r="L34" i="5"/>
  <c r="N34" i="5"/>
  <c r="O34" i="5"/>
  <c r="F34" i="5"/>
  <c r="H34" i="5"/>
  <c r="I34" i="5"/>
  <c r="AN34" i="5"/>
  <c r="AG35" i="5"/>
  <c r="AF35" i="5"/>
  <c r="C183" i="4"/>
  <c r="C35" i="5"/>
  <c r="D183" i="4"/>
  <c r="E35" i="5"/>
  <c r="K35" i="5"/>
  <c r="L183" i="4"/>
  <c r="Q35" i="5"/>
  <c r="M183" i="4"/>
  <c r="R35" i="5"/>
  <c r="T35" i="5"/>
  <c r="O183" i="4"/>
  <c r="U35" i="5"/>
  <c r="P183" i="4"/>
  <c r="W35" i="5"/>
  <c r="Q183" i="4"/>
  <c r="X35" i="5"/>
  <c r="S183" i="4"/>
  <c r="AA35" i="5"/>
  <c r="AI183" i="4"/>
  <c r="T183" i="4" a="1"/>
  <c r="T183" i="4"/>
  <c r="AC35" i="5"/>
  <c r="U183" i="4" a="1"/>
  <c r="U183" i="4"/>
  <c r="AD35" i="5"/>
  <c r="AI35" i="5"/>
  <c r="Y183" i="4"/>
  <c r="AJ35" i="5"/>
  <c r="Z183" i="4"/>
  <c r="AL35" i="5"/>
  <c r="L35" i="5"/>
  <c r="F35" i="5"/>
  <c r="H35" i="5"/>
  <c r="I35" i="5"/>
  <c r="N35" i="5"/>
  <c r="O35" i="5"/>
  <c r="Z35" i="5"/>
  <c r="AN35" i="5"/>
  <c r="AG36" i="5"/>
  <c r="AF36" i="5"/>
  <c r="C184" i="4"/>
  <c r="C36" i="5"/>
  <c r="D184" i="4"/>
  <c r="E36" i="5"/>
  <c r="K36" i="5"/>
  <c r="L184" i="4"/>
  <c r="Q36" i="5"/>
  <c r="M184" i="4"/>
  <c r="R36" i="5"/>
  <c r="T36" i="5"/>
  <c r="O184" i="4"/>
  <c r="U36" i="5"/>
  <c r="P184" i="4"/>
  <c r="W36" i="5"/>
  <c r="Q184" i="4"/>
  <c r="X36" i="5"/>
  <c r="S184" i="4"/>
  <c r="AA36" i="5"/>
  <c r="AI184" i="4"/>
  <c r="T184" i="4" a="1"/>
  <c r="T184" i="4"/>
  <c r="AC36" i="5"/>
  <c r="U184" i="4" a="1"/>
  <c r="U184" i="4"/>
  <c r="AD36" i="5"/>
  <c r="X184" i="4"/>
  <c r="AI36" i="5"/>
  <c r="Y184" i="4"/>
  <c r="AJ36" i="5"/>
  <c r="Z184" i="4"/>
  <c r="AL36" i="5"/>
  <c r="L36" i="5"/>
  <c r="F36" i="5"/>
  <c r="H36" i="5"/>
  <c r="I36" i="5"/>
  <c r="N36" i="5"/>
  <c r="O36" i="5"/>
  <c r="Z36" i="5"/>
  <c r="AN36" i="5"/>
  <c r="AG37" i="5"/>
  <c r="AF37" i="5"/>
  <c r="C185" i="4"/>
  <c r="C37" i="5"/>
  <c r="D185" i="4"/>
  <c r="E37" i="5"/>
  <c r="K37" i="5"/>
  <c r="L185" i="4"/>
  <c r="Q37" i="5"/>
  <c r="M185" i="4"/>
  <c r="R37" i="5"/>
  <c r="T37" i="5"/>
  <c r="O185" i="4"/>
  <c r="U37" i="5"/>
  <c r="P185" i="4"/>
  <c r="W37" i="5"/>
  <c r="S185" i="4"/>
  <c r="AA37" i="5"/>
  <c r="AI185" i="4"/>
  <c r="T185" i="4" a="1"/>
  <c r="T185" i="4"/>
  <c r="AC37" i="5"/>
  <c r="U185" i="4" a="1"/>
  <c r="U185" i="4"/>
  <c r="AD37" i="5"/>
  <c r="X185" i="4"/>
  <c r="AI37" i="5"/>
  <c r="Y185" i="4"/>
  <c r="AJ37" i="5"/>
  <c r="Z185" i="4"/>
  <c r="AL37" i="5"/>
  <c r="L37" i="5"/>
  <c r="F37" i="5"/>
  <c r="H37" i="5"/>
  <c r="I37" i="5"/>
  <c r="N37" i="5"/>
  <c r="O37" i="5"/>
  <c r="Z37" i="5"/>
  <c r="AN37" i="5"/>
  <c r="AG38" i="5"/>
  <c r="AF38" i="5"/>
  <c r="B102" i="4"/>
  <c r="C102" i="4"/>
  <c r="C38" i="5"/>
  <c r="D102" i="4"/>
  <c r="E38" i="5"/>
  <c r="H102" i="4"/>
  <c r="K38" i="5"/>
  <c r="L102" i="4"/>
  <c r="Q38" i="5"/>
  <c r="M102" i="4"/>
  <c r="R38" i="5"/>
  <c r="T38" i="5"/>
  <c r="U38" i="5"/>
  <c r="P102" i="4"/>
  <c r="W38" i="5"/>
  <c r="Q102" i="4"/>
  <c r="X38" i="5"/>
  <c r="AA38" i="5"/>
  <c r="AI102" i="4"/>
  <c r="T102" i="4" a="1"/>
  <c r="T102" i="4"/>
  <c r="AC38" i="5"/>
  <c r="U102" i="4" a="1"/>
  <c r="U102" i="4"/>
  <c r="AD38" i="5"/>
  <c r="X102" i="4"/>
  <c r="AI38" i="5"/>
  <c r="Y102" i="4"/>
  <c r="AJ38" i="5"/>
  <c r="Z102" i="4"/>
  <c r="AL38" i="5"/>
  <c r="F38" i="5"/>
  <c r="H38" i="5"/>
  <c r="I38" i="5"/>
  <c r="L38" i="5"/>
  <c r="N38" i="5"/>
  <c r="O38" i="5"/>
  <c r="Z38" i="5"/>
  <c r="AN38" i="5"/>
  <c r="AG39" i="5"/>
  <c r="AF39" i="5"/>
  <c r="B103" i="4"/>
  <c r="C103" i="4"/>
  <c r="C39" i="5"/>
  <c r="D103" i="4"/>
  <c r="E39" i="5"/>
  <c r="H103" i="4"/>
  <c r="K39" i="5"/>
  <c r="L103" i="4"/>
  <c r="Q39" i="5"/>
  <c r="M103" i="4"/>
  <c r="R39" i="5"/>
  <c r="N103" i="4"/>
  <c r="T39" i="5"/>
  <c r="O103" i="4"/>
  <c r="U39" i="5"/>
  <c r="P103" i="4"/>
  <c r="W39" i="5"/>
  <c r="Q103" i="4"/>
  <c r="X39" i="5"/>
  <c r="AA39" i="5"/>
  <c r="AI103" i="4"/>
  <c r="T103" i="4" a="1"/>
  <c r="T103" i="4"/>
  <c r="AC39" i="5"/>
  <c r="U103" i="4" a="1"/>
  <c r="U103" i="4"/>
  <c r="AD39" i="5"/>
  <c r="X103" i="4"/>
  <c r="AI39" i="5"/>
  <c r="Y103" i="4"/>
  <c r="AJ39" i="5"/>
  <c r="Z103" i="4"/>
  <c r="AL39" i="5"/>
  <c r="F39" i="5"/>
  <c r="H39" i="5"/>
  <c r="I39" i="5"/>
  <c r="L39" i="5"/>
  <c r="N39" i="5"/>
  <c r="O39" i="5"/>
  <c r="Z39" i="5"/>
  <c r="AN39" i="5"/>
  <c r="AG40" i="5"/>
  <c r="AF40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I104" i="4"/>
  <c r="T104" i="4" a="1"/>
  <c r="T104" i="4"/>
  <c r="AC40" i="5"/>
  <c r="U104" i="4" a="1"/>
  <c r="U104" i="4"/>
  <c r="AD40" i="5"/>
  <c r="X104" i="4"/>
  <c r="AI40" i="5"/>
  <c r="Y104" i="4"/>
  <c r="AJ40" i="5"/>
  <c r="Z104" i="4"/>
  <c r="AL40" i="5"/>
  <c r="F40" i="5"/>
  <c r="H40" i="5"/>
  <c r="I40" i="5"/>
  <c r="L40" i="5"/>
  <c r="N40" i="5"/>
  <c r="O40" i="5"/>
  <c r="Z40" i="5"/>
  <c r="AN40" i="5"/>
  <c r="AG41" i="5"/>
  <c r="AF41" i="5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I29" i="4"/>
  <c r="T29" i="4" a="1"/>
  <c r="T29" i="4"/>
  <c r="AC41" i="5"/>
  <c r="U29" i="4" a="1"/>
  <c r="U29" i="4"/>
  <c r="AD41" i="5"/>
  <c r="X29" i="4"/>
  <c r="AI41" i="5"/>
  <c r="Y29" i="4"/>
  <c r="AJ41" i="5"/>
  <c r="Z29" i="4"/>
  <c r="AL41" i="5"/>
  <c r="F41" i="5"/>
  <c r="H41" i="5"/>
  <c r="I41" i="5"/>
  <c r="L41" i="5"/>
  <c r="N41" i="5"/>
  <c r="O41" i="5"/>
  <c r="Z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I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F42" i="5"/>
  <c r="H42" i="5"/>
  <c r="I42" i="5"/>
  <c r="L42" i="5"/>
  <c r="N42" i="5"/>
  <c r="O42" i="5"/>
  <c r="Z42" i="5"/>
  <c r="AN42" i="5"/>
  <c r="AG43" i="5"/>
  <c r="AF43" i="5"/>
  <c r="C146" i="4"/>
  <c r="C43" i="5"/>
  <c r="T43" i="5"/>
  <c r="O146" i="4"/>
  <c r="U43" i="5"/>
  <c r="P146" i="4"/>
  <c r="W43" i="5"/>
  <c r="Q146" i="4"/>
  <c r="X43" i="5"/>
  <c r="AA43" i="5"/>
  <c r="AI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F43" i="5"/>
  <c r="H43" i="5"/>
  <c r="I43" i="5"/>
  <c r="L43" i="5"/>
  <c r="N43" i="5"/>
  <c r="O43" i="5"/>
  <c r="Z43" i="5"/>
  <c r="AN43" i="5"/>
  <c r="AG44" i="5"/>
  <c r="AF44" i="5"/>
  <c r="C119" i="4"/>
  <c r="C44" i="5"/>
  <c r="N119" i="4"/>
  <c r="T44" i="5"/>
  <c r="O119" i="4"/>
  <c r="U44" i="5"/>
  <c r="P119" i="4"/>
  <c r="W44" i="5"/>
  <c r="Q119" i="4"/>
  <c r="X44" i="5"/>
  <c r="AA44" i="5"/>
  <c r="AI119" i="4"/>
  <c r="T119" i="4" a="1"/>
  <c r="T119" i="4"/>
  <c r="AC44" i="5"/>
  <c r="U119" i="4" a="1"/>
  <c r="U119" i="4"/>
  <c r="AD44" i="5"/>
  <c r="X119" i="4"/>
  <c r="AI44" i="5"/>
  <c r="Y119" i="4"/>
  <c r="AJ44" i="5"/>
  <c r="Z119" i="4"/>
  <c r="AL44" i="5"/>
  <c r="F44" i="5"/>
  <c r="H44" i="5"/>
  <c r="I44" i="5"/>
  <c r="L44" i="5"/>
  <c r="N44" i="5"/>
  <c r="O44" i="5"/>
  <c r="Z44" i="5"/>
  <c r="AN44" i="5"/>
  <c r="AG45" i="5"/>
  <c r="AF45" i="5"/>
  <c r="C147" i="4"/>
  <c r="C45" i="5"/>
  <c r="T45" i="5"/>
  <c r="O147" i="4"/>
  <c r="U45" i="5"/>
  <c r="P147" i="4"/>
  <c r="W45" i="5"/>
  <c r="Q147" i="4"/>
  <c r="X45" i="5"/>
  <c r="AA45" i="5"/>
  <c r="AI147" i="4"/>
  <c r="T147" i="4" a="1"/>
  <c r="T147" i="4"/>
  <c r="AC45" i="5"/>
  <c r="U147" i="4" a="1"/>
  <c r="U147" i="4"/>
  <c r="AD45" i="5"/>
  <c r="X147" i="4"/>
  <c r="AI45" i="5"/>
  <c r="Y147" i="4"/>
  <c r="AJ45" i="5"/>
  <c r="Z147" i="4"/>
  <c r="AL45" i="5"/>
  <c r="Z45" i="5"/>
  <c r="AN45" i="5"/>
  <c r="AG46" i="5"/>
  <c r="AF46" i="5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I30" i="4"/>
  <c r="T30" i="4" a="1"/>
  <c r="T30" i="4"/>
  <c r="AC46" i="5"/>
  <c r="U30" i="4" a="1"/>
  <c r="U30" i="4"/>
  <c r="AD46" i="5"/>
  <c r="Y30" i="4"/>
  <c r="AJ46" i="5"/>
  <c r="Z30" i="4"/>
  <c r="AL46" i="5"/>
  <c r="F46" i="5"/>
  <c r="H46" i="5"/>
  <c r="I46" i="5"/>
  <c r="L46" i="5"/>
  <c r="N46" i="5"/>
  <c r="O46" i="5"/>
  <c r="Z46" i="5"/>
  <c r="AN46" i="5"/>
  <c r="AG47" i="5"/>
  <c r="AF47" i="5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I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F47" i="5"/>
  <c r="H47" i="5"/>
  <c r="I47" i="5"/>
  <c r="L47" i="5"/>
  <c r="N47" i="5"/>
  <c r="O47" i="5"/>
  <c r="Z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I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F48" i="5"/>
  <c r="H48" i="5"/>
  <c r="I48" i="5"/>
  <c r="L48" i="5"/>
  <c r="N48" i="5"/>
  <c r="O48" i="5"/>
  <c r="Z48" i="5"/>
  <c r="AN48" i="5"/>
  <c r="AG49" i="5"/>
  <c r="AF49" i="5"/>
  <c r="B148" i="4"/>
  <c r="C148" i="4"/>
  <c r="C49" i="5"/>
  <c r="D148" i="4"/>
  <c r="E49" i="5"/>
  <c r="H148" i="4"/>
  <c r="K49" i="5"/>
  <c r="L148" i="4"/>
  <c r="Q49" i="5"/>
  <c r="M148" i="4"/>
  <c r="R49" i="5"/>
  <c r="T49" i="5"/>
  <c r="O148" i="4"/>
  <c r="U49" i="5"/>
  <c r="P148" i="4"/>
  <c r="W49" i="5"/>
  <c r="Q148" i="4"/>
  <c r="X49" i="5"/>
  <c r="AA49" i="5"/>
  <c r="AI148" i="4"/>
  <c r="T148" i="4" a="1"/>
  <c r="T148" i="4"/>
  <c r="AC49" i="5"/>
  <c r="U148" i="4" a="1"/>
  <c r="U148" i="4"/>
  <c r="AD49" i="5"/>
  <c r="X148" i="4"/>
  <c r="AI49" i="5"/>
  <c r="Y148" i="4"/>
  <c r="AJ49" i="5"/>
  <c r="Z148" i="4"/>
  <c r="AL49" i="5"/>
  <c r="F49" i="5"/>
  <c r="H49" i="5"/>
  <c r="I49" i="5"/>
  <c r="L49" i="5"/>
  <c r="N49" i="5"/>
  <c r="O49" i="5"/>
  <c r="Z49" i="5"/>
  <c r="AN49" i="5"/>
  <c r="AG50" i="5"/>
  <c r="AF50" i="5"/>
  <c r="B59" i="4"/>
  <c r="C59" i="4"/>
  <c r="C50" i="5"/>
  <c r="D59" i="4"/>
  <c r="E50" i="5"/>
  <c r="L59" i="4"/>
  <c r="Q50" i="5"/>
  <c r="M59" i="4"/>
  <c r="R50" i="5"/>
  <c r="T50" i="5"/>
  <c r="U50" i="5"/>
  <c r="P59" i="4"/>
  <c r="W50" i="5"/>
  <c r="Q59" i="4"/>
  <c r="X50" i="5"/>
  <c r="S59" i="4"/>
  <c r="AA50" i="5"/>
  <c r="AI59" i="4"/>
  <c r="T59" i="4" a="1"/>
  <c r="T59" i="4"/>
  <c r="AC50" i="5"/>
  <c r="U59" i="4" a="1"/>
  <c r="U59" i="4"/>
  <c r="AD50" i="5"/>
  <c r="X59" i="4"/>
  <c r="AI50" i="5"/>
  <c r="Y59" i="4"/>
  <c r="AJ50" i="5"/>
  <c r="Z59" i="4"/>
  <c r="AL50" i="5"/>
  <c r="L50" i="5"/>
  <c r="F50" i="5"/>
  <c r="H50" i="5"/>
  <c r="I50" i="5"/>
  <c r="N50" i="5"/>
  <c r="O50" i="5"/>
  <c r="Z50" i="5"/>
  <c r="AN50" i="5"/>
  <c r="AG51" i="5"/>
  <c r="AF51" i="5"/>
  <c r="B105" i="4"/>
  <c r="C105" i="4"/>
  <c r="C51" i="5"/>
  <c r="D105" i="4"/>
  <c r="E51" i="5"/>
  <c r="L105" i="4"/>
  <c r="Q51" i="5"/>
  <c r="M105" i="4"/>
  <c r="R51" i="5"/>
  <c r="N105" i="4"/>
  <c r="T51" i="5"/>
  <c r="O105" i="4"/>
  <c r="U51" i="5"/>
  <c r="P105" i="4"/>
  <c r="W51" i="5"/>
  <c r="Q105" i="4"/>
  <c r="X51" i="5"/>
  <c r="S105" i="4"/>
  <c r="AA51" i="5"/>
  <c r="AI105" i="4"/>
  <c r="T105" i="4" a="1"/>
  <c r="T105" i="4"/>
  <c r="AC51" i="5"/>
  <c r="U105" i="4" a="1"/>
  <c r="U105" i="4"/>
  <c r="AD51" i="5"/>
  <c r="X105" i="4"/>
  <c r="AI51" i="5"/>
  <c r="Y105" i="4"/>
  <c r="AJ51" i="5"/>
  <c r="Z105" i="4"/>
  <c r="AL51" i="5"/>
  <c r="L51" i="5"/>
  <c r="F51" i="5"/>
  <c r="H51" i="5"/>
  <c r="I51" i="5"/>
  <c r="N51" i="5"/>
  <c r="O51" i="5"/>
  <c r="Z51" i="5"/>
  <c r="AN51" i="5"/>
  <c r="AG52" i="5"/>
  <c r="AF52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I120" i="4"/>
  <c r="T120" i="4" a="1"/>
  <c r="T120" i="4"/>
  <c r="AC52" i="5"/>
  <c r="U120" i="4" a="1"/>
  <c r="U120" i="4"/>
  <c r="AD52" i="5"/>
  <c r="X120" i="4"/>
  <c r="AI52" i="5"/>
  <c r="Y120" i="4"/>
  <c r="AJ52" i="5"/>
  <c r="Z120" i="4"/>
  <c r="AL52" i="5"/>
  <c r="L52" i="5"/>
  <c r="F52" i="5"/>
  <c r="H52" i="5"/>
  <c r="I52" i="5"/>
  <c r="N52" i="5"/>
  <c r="O52" i="5"/>
  <c r="Z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I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F53" i="5"/>
  <c r="H53" i="5"/>
  <c r="I53" i="5"/>
  <c r="N53" i="5"/>
  <c r="O53" i="5"/>
  <c r="Z53" i="5"/>
  <c r="AN53" i="5"/>
  <c r="AG54" i="5"/>
  <c r="AF54" i="5"/>
  <c r="C233" i="4"/>
  <c r="C54" i="5"/>
  <c r="D233" i="4"/>
  <c r="E54" i="5"/>
  <c r="K54" i="5"/>
  <c r="I233" i="4"/>
  <c r="L54" i="5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I233" i="4"/>
  <c r="T233" i="4" a="1"/>
  <c r="T233" i="4"/>
  <c r="AC54" i="5"/>
  <c r="U233" i="4" a="1"/>
  <c r="U233" i="4"/>
  <c r="AD54" i="5"/>
  <c r="X233" i="4"/>
  <c r="AI54" i="5"/>
  <c r="Y233" i="4"/>
  <c r="AJ54" i="5"/>
  <c r="Z233" i="4"/>
  <c r="AL54" i="5"/>
  <c r="F54" i="5"/>
  <c r="H54" i="5"/>
  <c r="I54" i="5"/>
  <c r="Z54" i="5"/>
  <c r="AN54" i="5"/>
  <c r="AG55" i="5"/>
  <c r="AF55" i="5"/>
  <c r="C32" i="4"/>
  <c r="C55" i="5"/>
  <c r="D32" i="4"/>
  <c r="E55" i="5"/>
  <c r="H32" i="4"/>
  <c r="K55" i="5"/>
  <c r="L32" i="4"/>
  <c r="Q55" i="5"/>
  <c r="M32" i="4"/>
  <c r="R55" i="5"/>
  <c r="N32" i="4"/>
  <c r="T55" i="5"/>
  <c r="O32" i="4"/>
  <c r="U55" i="5"/>
  <c r="P32" i="4"/>
  <c r="W55" i="5"/>
  <c r="Q32" i="4"/>
  <c r="X55" i="5"/>
  <c r="AA55" i="5"/>
  <c r="AI32" i="4"/>
  <c r="T32" i="4" a="1"/>
  <c r="T32" i="4"/>
  <c r="AC55" i="5"/>
  <c r="U32" i="4" a="1"/>
  <c r="U32" i="4"/>
  <c r="AD55" i="5"/>
  <c r="X32" i="4"/>
  <c r="AI55" i="5"/>
  <c r="Y32" i="4"/>
  <c r="AJ55" i="5"/>
  <c r="Z32" i="4"/>
  <c r="AL55" i="5"/>
  <c r="L55" i="5"/>
  <c r="N55" i="5"/>
  <c r="O55" i="5"/>
  <c r="F55" i="5"/>
  <c r="H55" i="5"/>
  <c r="I55" i="5"/>
  <c r="Z55" i="5"/>
  <c r="AN55" i="5"/>
  <c r="AG56" i="5"/>
  <c r="AF56" i="5"/>
  <c r="C33" i="4"/>
  <c r="C56" i="5"/>
  <c r="D33" i="4"/>
  <c r="E56" i="5"/>
  <c r="H33" i="4"/>
  <c r="K56" i="5"/>
  <c r="L33" i="4"/>
  <c r="Q56" i="5"/>
  <c r="M33" i="4"/>
  <c r="R56" i="5"/>
  <c r="N33" i="4"/>
  <c r="T56" i="5"/>
  <c r="O33" i="4"/>
  <c r="U56" i="5"/>
  <c r="P33" i="4"/>
  <c r="W56" i="5"/>
  <c r="Q33" i="4"/>
  <c r="X56" i="5"/>
  <c r="AA56" i="5"/>
  <c r="AI33" i="4"/>
  <c r="T33" i="4" a="1"/>
  <c r="T33" i="4"/>
  <c r="AC56" i="5"/>
  <c r="U33" i="4" a="1"/>
  <c r="U33" i="4"/>
  <c r="AD56" i="5"/>
  <c r="X33" i="4"/>
  <c r="AI56" i="5"/>
  <c r="Y33" i="4"/>
  <c r="AJ56" i="5"/>
  <c r="Z33" i="4"/>
  <c r="AL56" i="5"/>
  <c r="L56" i="5"/>
  <c r="N56" i="5"/>
  <c r="O56" i="5"/>
  <c r="F56" i="5"/>
  <c r="H56" i="5"/>
  <c r="I56" i="5"/>
  <c r="Z56" i="5"/>
  <c r="AN56" i="5"/>
  <c r="AG57" i="5"/>
  <c r="AF57" i="5"/>
  <c r="C34" i="4"/>
  <c r="C57" i="5"/>
  <c r="D34" i="4"/>
  <c r="E57" i="5"/>
  <c r="H34" i="4"/>
  <c r="K57" i="5"/>
  <c r="L34" i="4"/>
  <c r="Q57" i="5"/>
  <c r="M34" i="4"/>
  <c r="R57" i="5"/>
  <c r="T57" i="5"/>
  <c r="U57" i="5"/>
  <c r="P34" i="4"/>
  <c r="W57" i="5"/>
  <c r="Q34" i="4"/>
  <c r="X57" i="5"/>
  <c r="AA57" i="5"/>
  <c r="AI34" i="4"/>
  <c r="T34" i="4" a="1"/>
  <c r="T34" i="4"/>
  <c r="AC57" i="5"/>
  <c r="U34" i="4" a="1"/>
  <c r="U34" i="4"/>
  <c r="AD57" i="5"/>
  <c r="X34" i="4"/>
  <c r="AI57" i="5"/>
  <c r="Y34" i="4"/>
  <c r="AJ57" i="5"/>
  <c r="Z34" i="4"/>
  <c r="AL57" i="5"/>
  <c r="L57" i="5"/>
  <c r="N57" i="5"/>
  <c r="O57" i="5"/>
  <c r="F57" i="5"/>
  <c r="H57" i="5"/>
  <c r="I57" i="5"/>
  <c r="Z57" i="5"/>
  <c r="AN57" i="5"/>
  <c r="AG58" i="5"/>
  <c r="AF58" i="5"/>
  <c r="C35" i="4"/>
  <c r="C58" i="5"/>
  <c r="D35" i="4"/>
  <c r="E58" i="5"/>
  <c r="H35" i="4"/>
  <c r="K58" i="5"/>
  <c r="I35" i="4"/>
  <c r="L58" i="5"/>
  <c r="J35" i="4"/>
  <c r="N58" i="5"/>
  <c r="O58" i="5"/>
  <c r="L35" i="4"/>
  <c r="Q58" i="5"/>
  <c r="M35" i="4"/>
  <c r="R58" i="5"/>
  <c r="N35" i="4"/>
  <c r="T58" i="5"/>
  <c r="O35" i="4"/>
  <c r="U58" i="5"/>
  <c r="P35" i="4"/>
  <c r="W58" i="5"/>
  <c r="Q35" i="4"/>
  <c r="X58" i="5"/>
  <c r="AA58" i="5"/>
  <c r="AI35" i="4"/>
  <c r="T35" i="4" a="1"/>
  <c r="T35" i="4"/>
  <c r="AC58" i="5"/>
  <c r="U35" i="4" a="1"/>
  <c r="U35" i="4"/>
  <c r="AD58" i="5"/>
  <c r="X35" i="4"/>
  <c r="AI58" i="5"/>
  <c r="Y35" i="4"/>
  <c r="AJ58" i="5"/>
  <c r="Z35" i="4"/>
  <c r="AL58" i="5"/>
  <c r="F58" i="5"/>
  <c r="H58" i="5"/>
  <c r="I58" i="5"/>
  <c r="Z58" i="5"/>
  <c r="AN58" i="5"/>
  <c r="AG59" i="5"/>
  <c r="AF59" i="5"/>
  <c r="C36" i="4"/>
  <c r="C59" i="5"/>
  <c r="D36" i="4"/>
  <c r="E59" i="5"/>
  <c r="H36" i="4"/>
  <c r="K59" i="5"/>
  <c r="L36" i="4"/>
  <c r="Q59" i="5"/>
  <c r="M36" i="4"/>
  <c r="R59" i="5"/>
  <c r="N36" i="4"/>
  <c r="T59" i="5"/>
  <c r="O36" i="4"/>
  <c r="U59" i="5"/>
  <c r="P36" i="4"/>
  <c r="W59" i="5"/>
  <c r="Q36" i="4"/>
  <c r="X59" i="5"/>
  <c r="AA59" i="5"/>
  <c r="AI36" i="4"/>
  <c r="T36" i="4" a="1"/>
  <c r="T36" i="4"/>
  <c r="AC59" i="5"/>
  <c r="U36" i="4" a="1"/>
  <c r="U36" i="4"/>
  <c r="AD59" i="5"/>
  <c r="X36" i="4"/>
  <c r="AI59" i="5"/>
  <c r="Y36" i="4"/>
  <c r="AJ59" i="5"/>
  <c r="Z36" i="4"/>
  <c r="AL59" i="5"/>
  <c r="L59" i="5"/>
  <c r="N59" i="5"/>
  <c r="O59" i="5"/>
  <c r="F59" i="5"/>
  <c r="H59" i="5"/>
  <c r="I59" i="5"/>
  <c r="Z59" i="5"/>
  <c r="AN59" i="5"/>
  <c r="AG60" i="5"/>
  <c r="AF60" i="5"/>
  <c r="C37" i="4"/>
  <c r="C60" i="5"/>
  <c r="T60" i="5"/>
  <c r="U60" i="5"/>
  <c r="P37" i="4"/>
  <c r="W60" i="5"/>
  <c r="Q37" i="4"/>
  <c r="X60" i="5"/>
  <c r="AA60" i="5"/>
  <c r="AI37" i="4"/>
  <c r="T37" i="4" a="1"/>
  <c r="T37" i="4"/>
  <c r="AC60" i="5"/>
  <c r="U37" i="4" a="1"/>
  <c r="U37" i="4"/>
  <c r="AD60" i="5"/>
  <c r="X37" i="4"/>
  <c r="AI60" i="5"/>
  <c r="Y37" i="4"/>
  <c r="AJ60" i="5"/>
  <c r="Z37" i="4"/>
  <c r="AL60" i="5"/>
  <c r="L60" i="5"/>
  <c r="N60" i="5"/>
  <c r="O60" i="5"/>
  <c r="F60" i="5"/>
  <c r="H60" i="5"/>
  <c r="I60" i="5"/>
  <c r="Z60" i="5"/>
  <c r="AN60" i="5"/>
  <c r="AA61" i="5"/>
  <c r="P149" i="4"/>
  <c r="W61" i="5"/>
  <c r="O61" i="5"/>
  <c r="K61" i="5"/>
  <c r="AG61" i="5"/>
  <c r="AF61" i="5"/>
  <c r="C149" i="4"/>
  <c r="C61" i="5"/>
  <c r="D149" i="4"/>
  <c r="E61" i="5"/>
  <c r="L61" i="5"/>
  <c r="N61" i="5"/>
  <c r="L149" i="4"/>
  <c r="Q61" i="5"/>
  <c r="O149" i="4"/>
  <c r="U61" i="5"/>
  <c r="Q149" i="4"/>
  <c r="X61" i="5"/>
  <c r="R149" i="4"/>
  <c r="Z61" i="5"/>
  <c r="AI149" i="4"/>
  <c r="T149" i="4" a="1"/>
  <c r="T149" i="4"/>
  <c r="AC61" i="5"/>
  <c r="U149" i="4" a="1"/>
  <c r="U149" i="4"/>
  <c r="AD61" i="5"/>
  <c r="X149" i="4"/>
  <c r="AI61" i="5"/>
  <c r="Y149" i="4"/>
  <c r="AJ61" i="5"/>
  <c r="Z149" i="4"/>
  <c r="AL61" i="5"/>
  <c r="R61" i="5"/>
  <c r="T61" i="5"/>
  <c r="F61" i="5"/>
  <c r="H61" i="5"/>
  <c r="I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I60" i="4"/>
  <c r="T60" i="4" a="1"/>
  <c r="T60" i="4"/>
  <c r="AC62" i="5"/>
  <c r="U60" i="4" a="1"/>
  <c r="U60" i="4"/>
  <c r="AD62" i="5"/>
  <c r="AI62" i="5"/>
  <c r="Y60" i="4"/>
  <c r="AJ62" i="5"/>
  <c r="Z60" i="4"/>
  <c r="AL62" i="5"/>
  <c r="F62" i="5"/>
  <c r="H62" i="5"/>
  <c r="I62" i="5"/>
  <c r="L62" i="5"/>
  <c r="N62" i="5"/>
  <c r="O62" i="5"/>
  <c r="Z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I61" i="4"/>
  <c r="T61" i="4" a="1"/>
  <c r="T61" i="4"/>
  <c r="AC63" i="5"/>
  <c r="U61" i="4" a="1"/>
  <c r="U61" i="4"/>
  <c r="AD63" i="5"/>
  <c r="Y61" i="4"/>
  <c r="AJ63" i="5"/>
  <c r="Z61" i="4"/>
  <c r="AL63" i="5"/>
  <c r="F63" i="5"/>
  <c r="H63" i="5"/>
  <c r="I63" i="5"/>
  <c r="L63" i="5"/>
  <c r="N63" i="5"/>
  <c r="O63" i="5"/>
  <c r="Z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I62" i="4"/>
  <c r="T62" i="4" a="1"/>
  <c r="T62" i="4"/>
  <c r="AC64" i="5"/>
  <c r="U62" i="4" a="1"/>
  <c r="U62" i="4"/>
  <c r="AD64" i="5"/>
  <c r="Y62" i="4"/>
  <c r="AJ64" i="5"/>
  <c r="Z62" i="4"/>
  <c r="AL64" i="5"/>
  <c r="F64" i="5"/>
  <c r="H64" i="5"/>
  <c r="I64" i="5"/>
  <c r="L64" i="5"/>
  <c r="N64" i="5"/>
  <c r="O64" i="5"/>
  <c r="Z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I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F65" i="5"/>
  <c r="H65" i="5"/>
  <c r="I65" i="5"/>
  <c r="L65" i="5"/>
  <c r="N65" i="5"/>
  <c r="O65" i="5"/>
  <c r="Z65" i="5"/>
  <c r="AN65" i="5"/>
  <c r="AG66" i="5"/>
  <c r="AF66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I38" i="4"/>
  <c r="T38" i="4" a="1"/>
  <c r="T38" i="4"/>
  <c r="AC68" i="5"/>
  <c r="U38" i="4" a="1"/>
  <c r="U38" i="4"/>
  <c r="AD68" i="5"/>
  <c r="Y38" i="4"/>
  <c r="AJ68" i="5"/>
  <c r="Z38" i="4"/>
  <c r="AL68" i="5"/>
  <c r="F68" i="5"/>
  <c r="H68" i="5"/>
  <c r="I68" i="5"/>
  <c r="L68" i="5"/>
  <c r="N68" i="5"/>
  <c r="O68" i="5"/>
  <c r="Z68" i="5"/>
  <c r="AN68" i="5"/>
  <c r="AG69" i="5"/>
  <c r="AF69" i="5"/>
  <c r="C39" i="4"/>
  <c r="C69" i="5"/>
  <c r="D39" i="4"/>
  <c r="E69" i="5"/>
  <c r="H39" i="4"/>
  <c r="K69" i="5"/>
  <c r="I39" i="4"/>
  <c r="L69" i="5"/>
  <c r="J39" i="4"/>
  <c r="N69" i="5"/>
  <c r="O69" i="5"/>
  <c r="L39" i="4"/>
  <c r="Q69" i="5"/>
  <c r="M39" i="4"/>
  <c r="R69" i="5"/>
  <c r="N39" i="4"/>
  <c r="T69" i="5"/>
  <c r="O39" i="4"/>
  <c r="U69" i="5"/>
  <c r="P39" i="4"/>
  <c r="W69" i="5"/>
  <c r="Q39" i="4"/>
  <c r="X69" i="5"/>
  <c r="AA69" i="5"/>
  <c r="AI39" i="4"/>
  <c r="T39" i="4" a="1"/>
  <c r="T39" i="4"/>
  <c r="AC69" i="5"/>
  <c r="AD69" i="5"/>
  <c r="X39" i="4"/>
  <c r="AI69" i="5"/>
  <c r="Y39" i="4"/>
  <c r="AJ69" i="5"/>
  <c r="Z39" i="4"/>
  <c r="AL69" i="5"/>
  <c r="F69" i="5"/>
  <c r="H69" i="5"/>
  <c r="I69" i="5"/>
  <c r="Z69" i="5"/>
  <c r="AN69" i="5"/>
  <c r="AG70" i="5"/>
  <c r="AF70" i="5"/>
  <c r="C40" i="4"/>
  <c r="C70" i="5"/>
  <c r="D40" i="4"/>
  <c r="E70" i="5"/>
  <c r="H40" i="4"/>
  <c r="K70" i="5"/>
  <c r="L40" i="4"/>
  <c r="Q70" i="5"/>
  <c r="M40" i="4"/>
  <c r="R70" i="5"/>
  <c r="N40" i="4"/>
  <c r="T70" i="5"/>
  <c r="O40" i="4"/>
  <c r="U70" i="5"/>
  <c r="P40" i="4"/>
  <c r="W70" i="5"/>
  <c r="Q40" i="4"/>
  <c r="X70" i="5"/>
  <c r="AA70" i="5"/>
  <c r="AI40" i="4"/>
  <c r="T40" i="4" a="1"/>
  <c r="T40" i="4"/>
  <c r="AC70" i="5"/>
  <c r="U40" i="4" a="1"/>
  <c r="U40" i="4"/>
  <c r="AD70" i="5"/>
  <c r="Y40" i="4"/>
  <c r="AJ70" i="5"/>
  <c r="Z40" i="4"/>
  <c r="AL70" i="5"/>
  <c r="F70" i="5"/>
  <c r="H70" i="5"/>
  <c r="I70" i="5"/>
  <c r="L70" i="5"/>
  <c r="N70" i="5"/>
  <c r="O70" i="5"/>
  <c r="Z70" i="5"/>
  <c r="AN70" i="5"/>
  <c r="AG71" i="5"/>
  <c r="AF71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I63" i="4"/>
  <c r="T63" i="4" a="1"/>
  <c r="T63" i="4"/>
  <c r="AC71" i="5"/>
  <c r="U63" i="4" a="1"/>
  <c r="U63" i="4"/>
  <c r="AD71" i="5"/>
  <c r="Y63" i="4"/>
  <c r="AJ71" i="5"/>
  <c r="Z63" i="4"/>
  <c r="AL71" i="5"/>
  <c r="F71" i="5"/>
  <c r="H71" i="5"/>
  <c r="I71" i="5"/>
  <c r="L71" i="5"/>
  <c r="N71" i="5"/>
  <c r="O71" i="5"/>
  <c r="Z71" i="5"/>
  <c r="AN71" i="5"/>
  <c r="AG72" i="5"/>
  <c r="AF72" i="5"/>
  <c r="C234" i="4"/>
  <c r="C72" i="5"/>
  <c r="D234" i="4"/>
  <c r="E72" i="5"/>
  <c r="H234" i="4"/>
  <c r="K72" i="5"/>
  <c r="L234" i="4"/>
  <c r="Q72" i="5"/>
  <c r="M234" i="4"/>
  <c r="R72" i="5"/>
  <c r="T72" i="5"/>
  <c r="O234" i="4"/>
  <c r="U72" i="5"/>
  <c r="P234" i="4"/>
  <c r="W72" i="5"/>
  <c r="Q234" i="4"/>
  <c r="X72" i="5"/>
  <c r="S234" i="4"/>
  <c r="AA72" i="5"/>
  <c r="AI234" i="4"/>
  <c r="T234" i="4" a="1"/>
  <c r="T234" i="4"/>
  <c r="AC72" i="5"/>
  <c r="U234" i="4" a="1"/>
  <c r="U234" i="4"/>
  <c r="AD72" i="5"/>
  <c r="X234" i="4"/>
  <c r="AI72" i="5"/>
  <c r="Y234" i="4"/>
  <c r="AJ72" i="5"/>
  <c r="Z234" i="4"/>
  <c r="AL72" i="5"/>
  <c r="F72" i="5"/>
  <c r="H72" i="5"/>
  <c r="I72" i="5"/>
  <c r="L72" i="5"/>
  <c r="N72" i="5"/>
  <c r="O72" i="5"/>
  <c r="Z72" i="5"/>
  <c r="AN72" i="5"/>
  <c r="AG73" i="5"/>
  <c r="AF73" i="5"/>
  <c r="C219" i="4"/>
  <c r="C73" i="5"/>
  <c r="D219" i="4"/>
  <c r="E73" i="5"/>
  <c r="E219" i="4"/>
  <c r="F73" i="5"/>
  <c r="F219" i="4"/>
  <c r="H73" i="5"/>
  <c r="I73" i="5"/>
  <c r="H219" i="4"/>
  <c r="K73" i="5"/>
  <c r="L219" i="4"/>
  <c r="Q73" i="5"/>
  <c r="M219" i="4"/>
  <c r="R73" i="5"/>
  <c r="T73" i="5"/>
  <c r="U73" i="5"/>
  <c r="P219" i="4"/>
  <c r="W73" i="5"/>
  <c r="Q219" i="4"/>
  <c r="X73" i="5"/>
  <c r="S219" i="4"/>
  <c r="AA73" i="5"/>
  <c r="AI219" i="4"/>
  <c r="T219" i="4" a="1"/>
  <c r="T219" i="4"/>
  <c r="AC73" i="5"/>
  <c r="U219" i="4" a="1"/>
  <c r="U219" i="4"/>
  <c r="AD73" i="5"/>
  <c r="X219" i="4"/>
  <c r="AI73" i="5"/>
  <c r="Y219" i="4"/>
  <c r="AJ73" i="5"/>
  <c r="Z219" i="4"/>
  <c r="AL73" i="5"/>
  <c r="L73" i="5"/>
  <c r="N73" i="5"/>
  <c r="O73" i="5"/>
  <c r="Z73" i="5"/>
  <c r="AN73" i="5"/>
  <c r="AG74" i="5"/>
  <c r="AF74" i="5"/>
  <c r="C236" i="4"/>
  <c r="C74" i="5"/>
  <c r="D236" i="4"/>
  <c r="E74" i="5"/>
  <c r="H236" i="4"/>
  <c r="K74" i="5"/>
  <c r="L236" i="4"/>
  <c r="Q74" i="5"/>
  <c r="M236" i="4"/>
  <c r="R74" i="5"/>
  <c r="T74" i="5"/>
  <c r="U74" i="5"/>
  <c r="P236" i="4"/>
  <c r="W74" i="5"/>
  <c r="Q236" i="4"/>
  <c r="X74" i="5"/>
  <c r="S236" i="4"/>
  <c r="AA74" i="5"/>
  <c r="AI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H74" i="5"/>
  <c r="I74" i="5"/>
  <c r="L74" i="5"/>
  <c r="N74" i="5"/>
  <c r="O74" i="5"/>
  <c r="Z74" i="5"/>
  <c r="AN74" i="5"/>
  <c r="AG75" i="5"/>
  <c r="AF75" i="5"/>
  <c r="C237" i="4"/>
  <c r="C75" i="5"/>
  <c r="D237" i="4"/>
  <c r="E75" i="5"/>
  <c r="H237" i="4"/>
  <c r="K75" i="5"/>
  <c r="L237" i="4"/>
  <c r="Q75" i="5"/>
  <c r="R75" i="5"/>
  <c r="T75" i="5"/>
  <c r="O237" i="4"/>
  <c r="U75" i="5"/>
  <c r="P237" i="4"/>
  <c r="W75" i="5"/>
  <c r="Q237" i="4"/>
  <c r="X75" i="5"/>
  <c r="S237" i="4"/>
  <c r="AA75" i="5"/>
  <c r="AI237" i="4"/>
  <c r="T237" i="4" a="1"/>
  <c r="T237" i="4"/>
  <c r="AC75" i="5"/>
  <c r="U237" i="4" a="1"/>
  <c r="U237" i="4"/>
  <c r="AD75" i="5"/>
  <c r="X237" i="4"/>
  <c r="AI75" i="5"/>
  <c r="Y237" i="4"/>
  <c r="AJ75" i="5"/>
  <c r="Z237" i="4"/>
  <c r="AL75" i="5"/>
  <c r="F75" i="5"/>
  <c r="H75" i="5"/>
  <c r="I75" i="5"/>
  <c r="L75" i="5"/>
  <c r="N75" i="5"/>
  <c r="O75" i="5"/>
  <c r="Z75" i="5"/>
  <c r="AN75" i="5"/>
  <c r="AG76" i="5"/>
  <c r="AF76" i="5"/>
  <c r="B202" i="4"/>
  <c r="C202" i="4"/>
  <c r="C76" i="5"/>
  <c r="D202" i="4"/>
  <c r="E76" i="5"/>
  <c r="H202" i="4"/>
  <c r="K76" i="5"/>
  <c r="L202" i="4"/>
  <c r="Q76" i="5"/>
  <c r="M202" i="4"/>
  <c r="R76" i="5"/>
  <c r="T76" i="5"/>
  <c r="U76" i="5"/>
  <c r="P202" i="4"/>
  <c r="W76" i="5"/>
  <c r="Q202" i="4"/>
  <c r="X76" i="5"/>
  <c r="S202" i="4"/>
  <c r="AA76" i="5"/>
  <c r="AI202" i="4"/>
  <c r="T202" i="4" a="1"/>
  <c r="T202" i="4"/>
  <c r="AC76" i="5"/>
  <c r="U202" i="4" a="1"/>
  <c r="U202" i="4"/>
  <c r="AD76" i="5"/>
  <c r="X202" i="4"/>
  <c r="AI76" i="5"/>
  <c r="Y202" i="4"/>
  <c r="AJ76" i="5"/>
  <c r="Z202" i="4"/>
  <c r="AL76" i="5"/>
  <c r="F76" i="5"/>
  <c r="H76" i="5"/>
  <c r="I76" i="5"/>
  <c r="L76" i="5"/>
  <c r="N76" i="5"/>
  <c r="O76" i="5"/>
  <c r="Z76" i="5"/>
  <c r="AN76" i="5"/>
  <c r="AG77" i="5"/>
  <c r="AF77" i="5"/>
  <c r="C186" i="4"/>
  <c r="C77" i="5"/>
  <c r="D186" i="4"/>
  <c r="E77" i="5"/>
  <c r="E186" i="4"/>
  <c r="F77" i="5"/>
  <c r="F186" i="4"/>
  <c r="H77" i="5"/>
  <c r="I77" i="5"/>
  <c r="H186" i="4"/>
  <c r="K77" i="5"/>
  <c r="L186" i="4"/>
  <c r="Q77" i="5"/>
  <c r="M186" i="4"/>
  <c r="R77" i="5"/>
  <c r="T77" i="5"/>
  <c r="U77" i="5"/>
  <c r="P186" i="4"/>
  <c r="W77" i="5"/>
  <c r="Q186" i="4"/>
  <c r="X77" i="5"/>
  <c r="AA77" i="5"/>
  <c r="AI186" i="4"/>
  <c r="T186" i="4" a="1"/>
  <c r="T186" i="4"/>
  <c r="AC77" i="5"/>
  <c r="AD77" i="5"/>
  <c r="X186" i="4"/>
  <c r="AI77" i="5"/>
  <c r="Y186" i="4"/>
  <c r="AJ77" i="5"/>
  <c r="Z186" i="4"/>
  <c r="AL77" i="5"/>
  <c r="L77" i="5"/>
  <c r="N77" i="5"/>
  <c r="O77" i="5"/>
  <c r="Z77" i="5"/>
  <c r="AN77" i="5"/>
  <c r="AG78" i="5"/>
  <c r="AF78" i="5"/>
  <c r="C187" i="4"/>
  <c r="C78" i="5"/>
  <c r="T78" i="5"/>
  <c r="U78" i="5"/>
  <c r="P187" i="4"/>
  <c r="W78" i="5"/>
  <c r="Q187" i="4"/>
  <c r="X78" i="5"/>
  <c r="S187" i="4"/>
  <c r="AA78" i="5"/>
  <c r="X187" i="4"/>
  <c r="AI78" i="5"/>
  <c r="Y187" i="4"/>
  <c r="AJ78" i="5"/>
  <c r="Z187" i="4"/>
  <c r="AL78" i="5"/>
  <c r="Z78" i="5"/>
  <c r="AN78" i="5"/>
  <c r="AG79" i="5"/>
  <c r="AF79" i="5"/>
  <c r="B188" i="4"/>
  <c r="C188" i="4"/>
  <c r="C79" i="5"/>
  <c r="D188" i="4"/>
  <c r="E79" i="5"/>
  <c r="E188" i="4"/>
  <c r="F79" i="5"/>
  <c r="F188" i="4"/>
  <c r="H79" i="5"/>
  <c r="I79" i="5"/>
  <c r="H188" i="4"/>
  <c r="K79" i="5"/>
  <c r="L188" i="4"/>
  <c r="Q79" i="5"/>
  <c r="M188" i="4"/>
  <c r="R79" i="5"/>
  <c r="T79" i="5"/>
  <c r="U79" i="5"/>
  <c r="P188" i="4"/>
  <c r="W79" i="5"/>
  <c r="Q188" i="4"/>
  <c r="X79" i="5"/>
  <c r="S188" i="4"/>
  <c r="AA79" i="5"/>
  <c r="AI188" i="4"/>
  <c r="T188" i="4" a="1"/>
  <c r="T188" i="4"/>
  <c r="AC79" i="5"/>
  <c r="AD79" i="5"/>
  <c r="X188" i="4"/>
  <c r="AI79" i="5"/>
  <c r="Y188" i="4"/>
  <c r="AJ79" i="5"/>
  <c r="Z188" i="4"/>
  <c r="AL79" i="5"/>
  <c r="L79" i="5"/>
  <c r="N79" i="5"/>
  <c r="O79" i="5"/>
  <c r="Z79" i="5"/>
  <c r="AN79" i="5"/>
  <c r="AG80" i="5"/>
  <c r="AF80" i="5"/>
  <c r="C150" i="4"/>
  <c r="C80" i="5"/>
  <c r="D150" i="4"/>
  <c r="E80" i="5"/>
  <c r="H150" i="4"/>
  <c r="K80" i="5"/>
  <c r="L150" i="4"/>
  <c r="Q80" i="5"/>
  <c r="M150" i="4"/>
  <c r="R80" i="5"/>
  <c r="T80" i="5"/>
  <c r="O150" i="4"/>
  <c r="U80" i="5"/>
  <c r="P150" i="4"/>
  <c r="W80" i="5"/>
  <c r="Q150" i="4"/>
  <c r="X80" i="5"/>
  <c r="S150" i="4"/>
  <c r="AA80" i="5"/>
  <c r="AI150" i="4"/>
  <c r="T150" i="4" a="1"/>
  <c r="T150" i="4"/>
  <c r="AC80" i="5"/>
  <c r="U150" i="4" a="1"/>
  <c r="U150" i="4"/>
  <c r="AD80" i="5"/>
  <c r="X150" i="4"/>
  <c r="AI80" i="5"/>
  <c r="Y150" i="4"/>
  <c r="AJ80" i="5"/>
  <c r="Z150" i="4"/>
  <c r="AL80" i="5"/>
  <c r="F80" i="5"/>
  <c r="H80" i="5"/>
  <c r="I80" i="5"/>
  <c r="L80" i="5"/>
  <c r="N80" i="5"/>
  <c r="O80" i="5"/>
  <c r="Z80" i="5"/>
  <c r="AN80" i="5"/>
  <c r="AG81" i="5"/>
  <c r="AF81" i="5"/>
  <c r="C238" i="4"/>
  <c r="C81" i="5"/>
  <c r="D238" i="4"/>
  <c r="E81" i="5"/>
  <c r="K81" i="5"/>
  <c r="L238" i="4"/>
  <c r="Q81" i="5"/>
  <c r="R81" i="5"/>
  <c r="T81" i="5"/>
  <c r="O238" i="4"/>
  <c r="U81" i="5"/>
  <c r="P238" i="4"/>
  <c r="W81" i="5"/>
  <c r="Q238" i="4"/>
  <c r="X81" i="5"/>
  <c r="S238" i="4"/>
  <c r="AA81" i="5"/>
  <c r="AI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F81" i="5"/>
  <c r="H81" i="5"/>
  <c r="I81" i="5"/>
  <c r="L81" i="5"/>
  <c r="N81" i="5"/>
  <c r="O81" i="5"/>
  <c r="Z81" i="5"/>
  <c r="AN81" i="5"/>
  <c r="AG82" i="5"/>
  <c r="AF82" i="5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I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F82" i="5"/>
  <c r="H82" i="5"/>
  <c r="I82" i="5"/>
  <c r="L82" i="5"/>
  <c r="N82" i="5"/>
  <c r="O82" i="5"/>
  <c r="Z82" i="5"/>
  <c r="AN82" i="5"/>
  <c r="AG83" i="5"/>
  <c r="AF83" i="5"/>
  <c r="C240" i="4"/>
  <c r="C83" i="5"/>
  <c r="D240" i="4"/>
  <c r="E83" i="5"/>
  <c r="K83" i="5"/>
  <c r="L240" i="4"/>
  <c r="Q83" i="5"/>
  <c r="M240" i="4"/>
  <c r="R83" i="5"/>
  <c r="T83" i="5"/>
  <c r="O240" i="4"/>
  <c r="U83" i="5"/>
  <c r="P240" i="4"/>
  <c r="W83" i="5"/>
  <c r="Q240" i="4"/>
  <c r="X83" i="5"/>
  <c r="S240" i="4"/>
  <c r="AA83" i="5"/>
  <c r="AI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F83" i="5"/>
  <c r="H83" i="5"/>
  <c r="I83" i="5"/>
  <c r="L83" i="5"/>
  <c r="N83" i="5"/>
  <c r="O83" i="5"/>
  <c r="Z83" i="5"/>
  <c r="AN83" i="5"/>
  <c r="AG84" i="5"/>
  <c r="AF84" i="5"/>
  <c r="C241" i="4"/>
  <c r="C84" i="5"/>
  <c r="D241" i="4"/>
  <c r="E84" i="5"/>
  <c r="K84" i="5"/>
  <c r="L241" i="4"/>
  <c r="Q84" i="5"/>
  <c r="M241" i="4"/>
  <c r="R84" i="5"/>
  <c r="T84" i="5"/>
  <c r="U84" i="5"/>
  <c r="P241" i="4"/>
  <c r="W84" i="5"/>
  <c r="Q241" i="4"/>
  <c r="X84" i="5"/>
  <c r="S241" i="4"/>
  <c r="AA84" i="5"/>
  <c r="AI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F84" i="5"/>
  <c r="H84" i="5"/>
  <c r="I84" i="5"/>
  <c r="L84" i="5"/>
  <c r="N84" i="5"/>
  <c r="O84" i="5"/>
  <c r="Z84" i="5"/>
  <c r="AN84" i="5"/>
  <c r="AG85" i="5"/>
  <c r="AF85" i="5"/>
  <c r="C242" i="4"/>
  <c r="C85" i="5"/>
  <c r="D242" i="4"/>
  <c r="E85" i="5"/>
  <c r="K85" i="5"/>
  <c r="L242" i="4"/>
  <c r="Q85" i="5"/>
  <c r="M242" i="4"/>
  <c r="R85" i="5"/>
  <c r="T85" i="5"/>
  <c r="O242" i="4"/>
  <c r="U85" i="5"/>
  <c r="P242" i="4"/>
  <c r="W85" i="5"/>
  <c r="Q242" i="4"/>
  <c r="X85" i="5"/>
  <c r="S242" i="4"/>
  <c r="AA85" i="5"/>
  <c r="X242" i="4"/>
  <c r="AI85" i="5"/>
  <c r="Y242" i="4"/>
  <c r="AJ85" i="5"/>
  <c r="Z242" i="4"/>
  <c r="AL85" i="5"/>
  <c r="F85" i="5"/>
  <c r="H85" i="5"/>
  <c r="I85" i="5"/>
  <c r="L85" i="5"/>
  <c r="N85" i="5"/>
  <c r="O85" i="5"/>
  <c r="Z85" i="5"/>
  <c r="AN85" i="5"/>
  <c r="AG86" i="5"/>
  <c r="AF86" i="5"/>
  <c r="B244" i="4"/>
  <c r="C244" i="4"/>
  <c r="C86" i="5"/>
  <c r="D244" i="4"/>
  <c r="E86" i="5"/>
  <c r="K86" i="5"/>
  <c r="L244" i="4"/>
  <c r="Q86" i="5"/>
  <c r="M244" i="4"/>
  <c r="R86" i="5"/>
  <c r="T86" i="5"/>
  <c r="U86" i="5"/>
  <c r="P244" i="4"/>
  <c r="W86" i="5"/>
  <c r="Q244" i="4"/>
  <c r="X86" i="5"/>
  <c r="S244" i="4"/>
  <c r="AA86" i="5"/>
  <c r="AI244" i="4"/>
  <c r="T244" i="4" a="1"/>
  <c r="T244" i="4"/>
  <c r="AC86" i="5"/>
  <c r="U244" i="4" a="1"/>
  <c r="U244" i="4"/>
  <c r="AD86" i="5"/>
  <c r="X244" i="4"/>
  <c r="AI86" i="5"/>
  <c r="Y244" i="4"/>
  <c r="AJ86" i="5"/>
  <c r="Z244" i="4"/>
  <c r="AL86" i="5"/>
  <c r="F86" i="5"/>
  <c r="H86" i="5"/>
  <c r="I86" i="5"/>
  <c r="L86" i="5"/>
  <c r="N86" i="5"/>
  <c r="O86" i="5"/>
  <c r="Z86" i="5"/>
  <c r="AN86" i="5"/>
  <c r="AG87" i="5"/>
  <c r="AF87" i="5"/>
  <c r="C246" i="4"/>
  <c r="C87" i="5"/>
  <c r="T87" i="5"/>
  <c r="O246" i="4"/>
  <c r="U87" i="5"/>
  <c r="P246" i="4"/>
  <c r="W87" i="5"/>
  <c r="Q246" i="4"/>
  <c r="X87" i="5"/>
  <c r="S246" i="4"/>
  <c r="AA87" i="5"/>
  <c r="AI246" i="4"/>
  <c r="T246" i="4" a="1"/>
  <c r="T246" i="4"/>
  <c r="AC87" i="5"/>
  <c r="U246" i="4" a="1"/>
  <c r="U246" i="4"/>
  <c r="AD87" i="5"/>
  <c r="X246" i="4"/>
  <c r="AI87" i="5"/>
  <c r="Y246" i="4"/>
  <c r="AJ87" i="5"/>
  <c r="Z246" i="4"/>
  <c r="AL87" i="5"/>
  <c r="L87" i="5"/>
  <c r="N87" i="5"/>
  <c r="O87" i="5"/>
  <c r="Z87" i="5"/>
  <c r="AN87" i="5"/>
  <c r="AG88" i="5"/>
  <c r="AF88" i="5"/>
  <c r="C189" i="4"/>
  <c r="C88" i="5"/>
  <c r="T88" i="5"/>
  <c r="O189" i="4"/>
  <c r="U88" i="5"/>
  <c r="P189" i="4"/>
  <c r="W88" i="5"/>
  <c r="Q189" i="4"/>
  <c r="X88" i="5"/>
  <c r="S189" i="4"/>
  <c r="AA88" i="5"/>
  <c r="AI189" i="4"/>
  <c r="T189" i="4" a="1"/>
  <c r="T189" i="4"/>
  <c r="AC88" i="5"/>
  <c r="U189" i="4" a="1"/>
  <c r="U189" i="4"/>
  <c r="AD88" i="5"/>
  <c r="X189" i="4"/>
  <c r="AI88" i="5"/>
  <c r="Y189" i="4"/>
  <c r="AJ88" i="5"/>
  <c r="Z189" i="4"/>
  <c r="AL88" i="5"/>
  <c r="L88" i="5"/>
  <c r="N88" i="5"/>
  <c r="O88" i="5"/>
  <c r="Z88" i="5"/>
  <c r="AN88" i="5"/>
  <c r="AG89" i="5"/>
  <c r="AF89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I121" i="4"/>
  <c r="T121" i="4" a="1"/>
  <c r="T121" i="4"/>
  <c r="AC89" i="5"/>
  <c r="U121" i="4" a="1"/>
  <c r="U121" i="4"/>
  <c r="AD89" i="5"/>
  <c r="X121" i="4"/>
  <c r="AI89" i="5"/>
  <c r="Y121" i="4"/>
  <c r="AJ89" i="5"/>
  <c r="Z121" i="4"/>
  <c r="AL89" i="5"/>
  <c r="L89" i="5"/>
  <c r="N89" i="5"/>
  <c r="O89" i="5"/>
  <c r="Z89" i="5"/>
  <c r="AN89" i="5"/>
  <c r="B64" i="4"/>
  <c r="S64" i="4"/>
  <c r="AA90" i="5"/>
  <c r="P64" i="4"/>
  <c r="W90" i="5"/>
  <c r="K64" i="4"/>
  <c r="O90" i="5"/>
  <c r="H64" i="4"/>
  <c r="K90" i="5"/>
  <c r="W64" i="4"/>
  <c r="AG90" i="5"/>
  <c r="V64" i="4"/>
  <c r="AF90" i="5"/>
  <c r="C64" i="4"/>
  <c r="C90" i="5"/>
  <c r="D64" i="4"/>
  <c r="E90" i="5"/>
  <c r="G64" i="4"/>
  <c r="I90" i="5"/>
  <c r="I64" i="4"/>
  <c r="L90" i="5"/>
  <c r="J64" i="4"/>
  <c r="N90" i="5"/>
  <c r="L64" i="4"/>
  <c r="Q90" i="5"/>
  <c r="O64" i="4"/>
  <c r="U90" i="5"/>
  <c r="Q64" i="4"/>
  <c r="X90" i="5"/>
  <c r="R64" i="4"/>
  <c r="Z90" i="5"/>
  <c r="AI64" i="4"/>
  <c r="T64" i="4" a="1"/>
  <c r="T64" i="4"/>
  <c r="AC90" i="5"/>
  <c r="U64" i="4" a="1"/>
  <c r="U64" i="4"/>
  <c r="AD90" i="5"/>
  <c r="X64" i="4"/>
  <c r="AI90" i="5"/>
  <c r="Y64" i="4"/>
  <c r="AJ90" i="5"/>
  <c r="Z64" i="4"/>
  <c r="AL90" i="5"/>
  <c r="R90" i="5"/>
  <c r="T90" i="5"/>
  <c r="F90" i="5"/>
  <c r="H90" i="5"/>
  <c r="AN90" i="5"/>
  <c r="S65" i="4"/>
  <c r="AA91" i="5"/>
  <c r="P65" i="4"/>
  <c r="W91" i="5"/>
  <c r="AG91" i="5"/>
  <c r="AF91" i="5"/>
  <c r="C65" i="4"/>
  <c r="C91" i="5"/>
  <c r="O65" i="4"/>
  <c r="U91" i="5"/>
  <c r="Q65" i="4"/>
  <c r="X91" i="5"/>
  <c r="R65" i="4"/>
  <c r="Z91" i="5"/>
  <c r="AI65" i="4"/>
  <c r="T65" i="4" a="1"/>
  <c r="T65" i="4"/>
  <c r="AC91" i="5"/>
  <c r="U65" i="4" a="1"/>
  <c r="U65" i="4"/>
  <c r="AD91" i="5"/>
  <c r="X65" i="4"/>
  <c r="AI91" i="5"/>
  <c r="Y65" i="4"/>
  <c r="AJ91" i="5"/>
  <c r="Z65" i="4"/>
  <c r="AL91" i="5"/>
  <c r="T91" i="5"/>
  <c r="F91" i="5"/>
  <c r="H91" i="5"/>
  <c r="AN91" i="5"/>
  <c r="O92" i="5"/>
  <c r="K92" i="5"/>
  <c r="AG92" i="5"/>
  <c r="AF92" i="5"/>
  <c r="B247" i="4"/>
  <c r="C247" i="4"/>
  <c r="C92" i="5"/>
  <c r="D247" i="4"/>
  <c r="E92" i="5"/>
  <c r="I247" i="4"/>
  <c r="L92" i="5"/>
  <c r="J247" i="4"/>
  <c r="N92" i="5"/>
  <c r="L247" i="4"/>
  <c r="Q92" i="5"/>
  <c r="M247" i="4"/>
  <c r="R92" i="5"/>
  <c r="T92" i="5"/>
  <c r="U92" i="5"/>
  <c r="P247" i="4"/>
  <c r="W92" i="5"/>
  <c r="Q247" i="4"/>
  <c r="X92" i="5"/>
  <c r="S247" i="4"/>
  <c r="AA92" i="5"/>
  <c r="AI247" i="4"/>
  <c r="T247" i="4" a="1"/>
  <c r="T247" i="4"/>
  <c r="AC92" i="5"/>
  <c r="U247" i="4" a="1"/>
  <c r="U247" i="4"/>
  <c r="AD92" i="5"/>
  <c r="X247" i="4"/>
  <c r="AI92" i="5"/>
  <c r="Y247" i="4"/>
  <c r="AJ92" i="5"/>
  <c r="Z247" i="4"/>
  <c r="AL92" i="5"/>
  <c r="F92" i="5"/>
  <c r="H92" i="5"/>
  <c r="I92" i="5"/>
  <c r="Z92" i="5"/>
  <c r="AN92" i="5"/>
  <c r="AG93" i="5"/>
  <c r="AF93" i="5"/>
  <c r="B272" i="4"/>
  <c r="C272" i="4"/>
  <c r="C93" i="5"/>
  <c r="D272" i="4"/>
  <c r="E93" i="5"/>
  <c r="K93" i="5"/>
  <c r="L272" i="4"/>
  <c r="Q93" i="5"/>
  <c r="M272" i="4"/>
  <c r="R93" i="5"/>
  <c r="T93" i="5"/>
  <c r="U93" i="5"/>
  <c r="P272" i="4"/>
  <c r="W93" i="5"/>
  <c r="Q272" i="4"/>
  <c r="X93" i="5"/>
  <c r="S272" i="4"/>
  <c r="AA93" i="5"/>
  <c r="AI272" i="4"/>
  <c r="T272" i="4" a="1"/>
  <c r="T272" i="4"/>
  <c r="AC93" i="5"/>
  <c r="U272" i="4" a="1"/>
  <c r="U272" i="4"/>
  <c r="AD93" i="5"/>
  <c r="X272" i="4"/>
  <c r="AI93" i="5"/>
  <c r="Y272" i="4"/>
  <c r="AJ93" i="5"/>
  <c r="Z272" i="4"/>
  <c r="AL93" i="5"/>
  <c r="F93" i="5"/>
  <c r="H93" i="5"/>
  <c r="I93" i="5"/>
  <c r="L93" i="5"/>
  <c r="N93" i="5"/>
  <c r="O93" i="5"/>
  <c r="Z93" i="5"/>
  <c r="AN93" i="5"/>
  <c r="AG94" i="5"/>
  <c r="AF94" i="5"/>
  <c r="B273" i="4"/>
  <c r="C273" i="4"/>
  <c r="C94" i="5"/>
  <c r="D273" i="4"/>
  <c r="E94" i="5"/>
  <c r="K94" i="5"/>
  <c r="L273" i="4"/>
  <c r="Q94" i="5"/>
  <c r="M273" i="4"/>
  <c r="R94" i="5"/>
  <c r="N273" i="4"/>
  <c r="T94" i="5"/>
  <c r="O273" i="4"/>
  <c r="U94" i="5"/>
  <c r="P273" i="4"/>
  <c r="W94" i="5"/>
  <c r="Q273" i="4"/>
  <c r="X94" i="5"/>
  <c r="S273" i="4"/>
  <c r="AA94" i="5"/>
  <c r="X273" i="4"/>
  <c r="AI94" i="5"/>
  <c r="Y273" i="4"/>
  <c r="AJ94" i="5"/>
  <c r="Z273" i="4"/>
  <c r="AL94" i="5"/>
  <c r="F94" i="5"/>
  <c r="H94" i="5"/>
  <c r="I94" i="5"/>
  <c r="L94" i="5"/>
  <c r="N94" i="5"/>
  <c r="O94" i="5"/>
  <c r="Z94" i="5"/>
  <c r="AN94" i="5"/>
  <c r="AG95" i="5"/>
  <c r="AF95" i="5"/>
  <c r="B274" i="4"/>
  <c r="C274" i="4"/>
  <c r="C95" i="5"/>
  <c r="D274" i="4"/>
  <c r="E95" i="5"/>
  <c r="K95" i="5"/>
  <c r="L274" i="4"/>
  <c r="Q95" i="5"/>
  <c r="M274" i="4"/>
  <c r="R95" i="5"/>
  <c r="T95" i="5"/>
  <c r="U95" i="5"/>
  <c r="P274" i="4"/>
  <c r="W95" i="5"/>
  <c r="Q274" i="4"/>
  <c r="X95" i="5"/>
  <c r="S274" i="4"/>
  <c r="AA95" i="5"/>
  <c r="AI274" i="4"/>
  <c r="T274" i="4" a="1"/>
  <c r="T274" i="4"/>
  <c r="AC95" i="5"/>
  <c r="U274" i="4" a="1"/>
  <c r="U274" i="4"/>
  <c r="AD95" i="5"/>
  <c r="X274" i="4"/>
  <c r="AI95" i="5"/>
  <c r="Y274" i="4"/>
  <c r="AJ95" i="5"/>
  <c r="Z274" i="4"/>
  <c r="AL95" i="5"/>
  <c r="F95" i="5"/>
  <c r="H95" i="5"/>
  <c r="I95" i="5"/>
  <c r="L95" i="5"/>
  <c r="N95" i="5"/>
  <c r="O95" i="5"/>
  <c r="Z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I203" i="4"/>
  <c r="T203" i="4" a="1"/>
  <c r="T203" i="4"/>
  <c r="AC96" i="5"/>
  <c r="U203" i="4" a="1"/>
  <c r="U203" i="4"/>
  <c r="AD96" i="5"/>
  <c r="Y203" i="4"/>
  <c r="AJ96" i="5"/>
  <c r="Z203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5" i="4"/>
  <c r="C275" i="4"/>
  <c r="C98" i="5"/>
  <c r="D275" i="4"/>
  <c r="E98" i="5"/>
  <c r="K98" i="5"/>
  <c r="L275" i="4"/>
  <c r="Q98" i="5"/>
  <c r="M275" i="4"/>
  <c r="R98" i="5"/>
  <c r="T98" i="5"/>
  <c r="U98" i="5"/>
  <c r="P275" i="4"/>
  <c r="W98" i="5"/>
  <c r="Q275" i="4"/>
  <c r="X98" i="5"/>
  <c r="AA98" i="5"/>
  <c r="AI275" i="4"/>
  <c r="T275" i="4" a="1"/>
  <c r="T275" i="4"/>
  <c r="AC98" i="5"/>
  <c r="U275" i="4" a="1"/>
  <c r="U275" i="4"/>
  <c r="AD98" i="5"/>
  <c r="Y275" i="4"/>
  <c r="AJ98" i="5"/>
  <c r="Z275" i="4"/>
  <c r="AL98" i="5"/>
  <c r="F98" i="5"/>
  <c r="H98" i="5"/>
  <c r="I98" i="5"/>
  <c r="L98" i="5"/>
  <c r="N98" i="5"/>
  <c r="O98" i="5"/>
  <c r="Z98" i="5"/>
  <c r="AN98" i="5"/>
  <c r="AG99" i="5"/>
  <c r="AF99" i="5"/>
  <c r="B276" i="4"/>
  <c r="C276" i="4"/>
  <c r="C99" i="5"/>
  <c r="D276" i="4"/>
  <c r="E99" i="5"/>
  <c r="K99" i="5"/>
  <c r="L276" i="4"/>
  <c r="Q99" i="5"/>
  <c r="M276" i="4"/>
  <c r="R99" i="5"/>
  <c r="T99" i="5"/>
  <c r="O276" i="4"/>
  <c r="U99" i="5"/>
  <c r="P276" i="4"/>
  <c r="W99" i="5"/>
  <c r="Q276" i="4"/>
  <c r="X99" i="5"/>
  <c r="S276" i="4"/>
  <c r="AA99" i="5"/>
  <c r="AI276" i="4"/>
  <c r="T276" i="4" a="1"/>
  <c r="T276" i="4"/>
  <c r="AC99" i="5"/>
  <c r="U276" i="4" a="1"/>
  <c r="U276" i="4"/>
  <c r="AD99" i="5"/>
  <c r="X276" i="4"/>
  <c r="AI99" i="5"/>
  <c r="Y276" i="4"/>
  <c r="AJ99" i="5"/>
  <c r="Z276" i="4"/>
  <c r="AL99" i="5"/>
  <c r="F99" i="5"/>
  <c r="I99" i="5"/>
  <c r="L99" i="5"/>
  <c r="N99" i="5"/>
  <c r="O99" i="5"/>
  <c r="Z99" i="5"/>
  <c r="AN99" i="5"/>
  <c r="AG100" i="5"/>
  <c r="AF100" i="5"/>
  <c r="B277" i="4"/>
  <c r="C277" i="4"/>
  <c r="C100" i="5"/>
  <c r="D277" i="4"/>
  <c r="E100" i="5"/>
  <c r="H277" i="4"/>
  <c r="K100" i="5"/>
  <c r="L277" i="4"/>
  <c r="Q100" i="5"/>
  <c r="M277" i="4"/>
  <c r="R100" i="5"/>
  <c r="N277" i="4"/>
  <c r="T100" i="5"/>
  <c r="O277" i="4"/>
  <c r="U100" i="5"/>
  <c r="P277" i="4"/>
  <c r="W100" i="5"/>
  <c r="Q277" i="4"/>
  <c r="X100" i="5"/>
  <c r="S277" i="4"/>
  <c r="AA100" i="5"/>
  <c r="AI277" i="4"/>
  <c r="T277" i="4" a="1"/>
  <c r="T277" i="4"/>
  <c r="AC100" i="5"/>
  <c r="U277" i="4" a="1"/>
  <c r="U277" i="4"/>
  <c r="AD100" i="5"/>
  <c r="X277" i="4"/>
  <c r="AI100" i="5"/>
  <c r="Y277" i="4"/>
  <c r="AJ100" i="5"/>
  <c r="Z277" i="4"/>
  <c r="AL100" i="5"/>
  <c r="F100" i="5"/>
  <c r="I100" i="5"/>
  <c r="L100" i="5"/>
  <c r="N100" i="5"/>
  <c r="O100" i="5"/>
  <c r="Z100" i="5"/>
  <c r="AN100" i="5"/>
  <c r="O101" i="5"/>
  <c r="H152" i="4"/>
  <c r="K101" i="5"/>
  <c r="AG101" i="5"/>
  <c r="AF101" i="5"/>
  <c r="C152" i="4"/>
  <c r="C101" i="5"/>
  <c r="D152" i="4"/>
  <c r="E101" i="5"/>
  <c r="I152" i="4"/>
  <c r="L101" i="5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I152" i="4"/>
  <c r="T152" i="4" a="1"/>
  <c r="T152" i="4"/>
  <c r="AC101" i="5"/>
  <c r="U152" i="4" a="1"/>
  <c r="U152" i="4"/>
  <c r="AD101" i="5"/>
  <c r="X152" i="4"/>
  <c r="AI101" i="5"/>
  <c r="Y152" i="4"/>
  <c r="AJ101" i="5"/>
  <c r="Z152" i="4"/>
  <c r="AL101" i="5"/>
  <c r="H101" i="5"/>
  <c r="I101" i="5"/>
  <c r="F101" i="5"/>
  <c r="Z101" i="5"/>
  <c r="AN101" i="5"/>
  <c r="AG102" i="5"/>
  <c r="AF102" i="5"/>
  <c r="B16" i="4"/>
  <c r="C16" i="4"/>
  <c r="C102" i="5"/>
  <c r="D16" i="4"/>
  <c r="E102" i="5"/>
  <c r="E16" i="4"/>
  <c r="F102" i="5"/>
  <c r="F16" i="4"/>
  <c r="H102" i="5"/>
  <c r="I102" i="5"/>
  <c r="H16" i="4"/>
  <c r="K102" i="5"/>
  <c r="L16" i="4"/>
  <c r="Q102" i="5"/>
  <c r="M16" i="4"/>
  <c r="R102" i="5"/>
  <c r="N16" i="4"/>
  <c r="T102" i="5"/>
  <c r="O16" i="4"/>
  <c r="U102" i="5"/>
  <c r="P16" i="4"/>
  <c r="W102" i="5"/>
  <c r="Q16" i="4"/>
  <c r="X102" i="5"/>
  <c r="S16" i="4"/>
  <c r="AA102" i="5"/>
  <c r="AI16" i="4"/>
  <c r="T16" i="4" a="1"/>
  <c r="T16" i="4"/>
  <c r="AC102" i="5"/>
  <c r="U16" i="4" a="1"/>
  <c r="U16" i="4"/>
  <c r="AD102" i="5"/>
  <c r="X16" i="4"/>
  <c r="AI102" i="5"/>
  <c r="Y16" i="4"/>
  <c r="AJ102" i="5"/>
  <c r="Z16" i="4"/>
  <c r="AL102" i="5"/>
  <c r="L102" i="5"/>
  <c r="N102" i="5"/>
  <c r="O102" i="5"/>
  <c r="Z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I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L103" i="5"/>
  <c r="N103" i="5"/>
  <c r="O103" i="5"/>
  <c r="Z103" i="5"/>
  <c r="AN103" i="5"/>
  <c r="AG104" i="5"/>
  <c r="AF104" i="5"/>
  <c r="B9" i="4"/>
  <c r="C9" i="4"/>
  <c r="C104" i="5"/>
  <c r="D9" i="4"/>
  <c r="E104" i="5"/>
  <c r="E9" i="4"/>
  <c r="F104" i="5"/>
  <c r="F9" i="4"/>
  <c r="H104" i="5"/>
  <c r="I104" i="5"/>
  <c r="H9" i="4"/>
  <c r="K104" i="5"/>
  <c r="L9" i="4"/>
  <c r="Q104" i="5"/>
  <c r="M9" i="4"/>
  <c r="R104" i="5"/>
  <c r="T104" i="5"/>
  <c r="O9" i="4"/>
  <c r="U104" i="5"/>
  <c r="P9" i="4"/>
  <c r="W104" i="5"/>
  <c r="Q9" i="4"/>
  <c r="X104" i="5"/>
  <c r="S9" i="4"/>
  <c r="AA104" i="5"/>
  <c r="AI9" i="4"/>
  <c r="T9" i="4" a="1"/>
  <c r="T9" i="4"/>
  <c r="AC104" i="5"/>
  <c r="U9" i="4" a="1"/>
  <c r="U9" i="4"/>
  <c r="AD104" i="5"/>
  <c r="X9" i="4"/>
  <c r="AI104" i="5"/>
  <c r="Y9" i="4"/>
  <c r="AJ104" i="5"/>
  <c r="Z9" i="4"/>
  <c r="AL104" i="5"/>
  <c r="L104" i="5"/>
  <c r="N104" i="5"/>
  <c r="O104" i="5"/>
  <c r="Z104" i="5"/>
  <c r="AN104" i="5"/>
  <c r="AG105" i="5"/>
  <c r="AF105" i="5"/>
  <c r="C153" i="4"/>
  <c r="C105" i="5"/>
  <c r="D153" i="4"/>
  <c r="E105" i="5"/>
  <c r="E153" i="4"/>
  <c r="F105" i="5"/>
  <c r="F153" i="4"/>
  <c r="H105" i="5"/>
  <c r="I105" i="5"/>
  <c r="K105" i="5"/>
  <c r="L153" i="4"/>
  <c r="Q105" i="5"/>
  <c r="M153" i="4"/>
  <c r="R105" i="5"/>
  <c r="T105" i="5"/>
  <c r="O153" i="4"/>
  <c r="U105" i="5"/>
  <c r="P153" i="4"/>
  <c r="W105" i="5"/>
  <c r="Q153" i="4"/>
  <c r="X105" i="5"/>
  <c r="S153" i="4"/>
  <c r="AA105" i="5"/>
  <c r="AI153" i="4"/>
  <c r="T153" i="4" a="1"/>
  <c r="T153" i="4"/>
  <c r="AC105" i="5"/>
  <c r="U153" i="4" a="1"/>
  <c r="U153" i="4"/>
  <c r="AD105" i="5"/>
  <c r="X153" i="4"/>
  <c r="AI105" i="5"/>
  <c r="Y153" i="4"/>
  <c r="AJ105" i="5"/>
  <c r="Z153" i="4"/>
  <c r="AL105" i="5"/>
  <c r="L105" i="5"/>
  <c r="N105" i="5"/>
  <c r="O105" i="5"/>
  <c r="Z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I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L106" i="5"/>
  <c r="N106" i="5"/>
  <c r="O106" i="5"/>
  <c r="Z106" i="5"/>
  <c r="AN106" i="5"/>
  <c r="AG107" i="5"/>
  <c r="AF107" i="5"/>
  <c r="C220" i="4"/>
  <c r="C107" i="5"/>
  <c r="D220" i="4"/>
  <c r="E107" i="5"/>
  <c r="E220" i="4"/>
  <c r="F107" i="5"/>
  <c r="F220" i="4"/>
  <c r="H107" i="5"/>
  <c r="I107" i="5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I220" i="4"/>
  <c r="T220" i="4" a="1"/>
  <c r="T220" i="4"/>
  <c r="AC107" i="5"/>
  <c r="U220" i="4" a="1"/>
  <c r="U220" i="4"/>
  <c r="AD107" i="5"/>
  <c r="AI107" i="5"/>
  <c r="Y220" i="4"/>
  <c r="AJ107" i="5"/>
  <c r="Z220" i="4"/>
  <c r="AL107" i="5"/>
  <c r="L107" i="5"/>
  <c r="N107" i="5"/>
  <c r="O107" i="5"/>
  <c r="Z107" i="5"/>
  <c r="AN107" i="5"/>
  <c r="AG108" i="5"/>
  <c r="AF108" i="5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I221" i="4"/>
  <c r="T221" i="4" a="1"/>
  <c r="T221" i="4"/>
  <c r="AC108" i="5"/>
  <c r="U221" i="4" a="1"/>
  <c r="U221" i="4"/>
  <c r="AD108" i="5"/>
  <c r="AI108" i="5"/>
  <c r="Y221" i="4"/>
  <c r="AJ108" i="5"/>
  <c r="Z221" i="4"/>
  <c r="AL108" i="5"/>
  <c r="L108" i="5"/>
  <c r="N108" i="5"/>
  <c r="O108" i="5"/>
  <c r="Z108" i="5"/>
  <c r="AN108" i="5"/>
  <c r="AG109" i="5"/>
  <c r="AF109" i="5"/>
  <c r="B68" i="4"/>
  <c r="C68" i="4"/>
  <c r="C109" i="5"/>
  <c r="D68" i="4"/>
  <c r="E109" i="5"/>
  <c r="H68" i="4"/>
  <c r="K109" i="5"/>
  <c r="L68" i="4"/>
  <c r="Q109" i="5"/>
  <c r="M68" i="4"/>
  <c r="R109" i="5"/>
  <c r="T109" i="5"/>
  <c r="O68" i="4"/>
  <c r="U109" i="5"/>
  <c r="P68" i="4"/>
  <c r="W109" i="5"/>
  <c r="Q68" i="4"/>
  <c r="X109" i="5"/>
  <c r="S68" i="4"/>
  <c r="AA109" i="5"/>
  <c r="AI68" i="4"/>
  <c r="T68" i="4" a="1"/>
  <c r="T68" i="4"/>
  <c r="AC109" i="5"/>
  <c r="U68" i="4" a="1"/>
  <c r="U68" i="4"/>
  <c r="AD109" i="5"/>
  <c r="X68" i="4"/>
  <c r="AI109" i="5"/>
  <c r="Y68" i="4"/>
  <c r="AJ109" i="5"/>
  <c r="Z68" i="4"/>
  <c r="AL109" i="5"/>
  <c r="F109" i="5"/>
  <c r="H109" i="5"/>
  <c r="I109" i="5"/>
  <c r="L109" i="5"/>
  <c r="N109" i="5"/>
  <c r="O109" i="5"/>
  <c r="Z109" i="5"/>
  <c r="AN109" i="5"/>
  <c r="AG110" i="5"/>
  <c r="AF110" i="5"/>
  <c r="C122" i="4"/>
  <c r="C110" i="5"/>
  <c r="D122" i="4"/>
  <c r="E110" i="5"/>
  <c r="E122" i="4"/>
  <c r="F110" i="5"/>
  <c r="F122" i="4"/>
  <c r="H110" i="5"/>
  <c r="I110" i="5"/>
  <c r="H122" i="4"/>
  <c r="K110" i="5"/>
  <c r="L122" i="4"/>
  <c r="Q110" i="5"/>
  <c r="M122" i="4"/>
  <c r="R110" i="5"/>
  <c r="T110" i="5"/>
  <c r="O122" i="4"/>
  <c r="U110" i="5"/>
  <c r="P122" i="4"/>
  <c r="W110" i="5"/>
  <c r="Q122" i="4"/>
  <c r="X110" i="5"/>
  <c r="S122" i="4"/>
  <c r="AA110" i="5"/>
  <c r="AI122" i="4"/>
  <c r="T122" i="4" a="1"/>
  <c r="T122" i="4"/>
  <c r="AC110" i="5"/>
  <c r="U122" i="4" a="1"/>
  <c r="U122" i="4"/>
  <c r="AD110" i="5"/>
  <c r="X122" i="4"/>
  <c r="AI110" i="5"/>
  <c r="Y122" i="4"/>
  <c r="AJ110" i="5"/>
  <c r="Z122" i="4"/>
  <c r="AL110" i="5"/>
  <c r="L110" i="5"/>
  <c r="N110" i="5"/>
  <c r="O110" i="5"/>
  <c r="Z110" i="5"/>
  <c r="AN110" i="5"/>
  <c r="AG111" i="5"/>
  <c r="AF111" i="5"/>
  <c r="C123" i="4"/>
  <c r="C111" i="5"/>
  <c r="D123" i="4"/>
  <c r="E111" i="5"/>
  <c r="H123" i="4"/>
  <c r="K111" i="5"/>
  <c r="L123" i="4"/>
  <c r="Q111" i="5"/>
  <c r="M123" i="4"/>
  <c r="R111" i="5"/>
  <c r="T111" i="5"/>
  <c r="O123" i="4"/>
  <c r="U111" i="5"/>
  <c r="P123" i="4"/>
  <c r="W111" i="5"/>
  <c r="Q123" i="4"/>
  <c r="X111" i="5"/>
  <c r="S123" i="4"/>
  <c r="AA111" i="5"/>
  <c r="AI123" i="4"/>
  <c r="T123" i="4" a="1"/>
  <c r="T123" i="4"/>
  <c r="AC111" i="5"/>
  <c r="U123" i="4" a="1"/>
  <c r="U123" i="4"/>
  <c r="AD111" i="5"/>
  <c r="X123" i="4"/>
  <c r="AI111" i="5"/>
  <c r="Y123" i="4"/>
  <c r="AJ111" i="5"/>
  <c r="Z123" i="4"/>
  <c r="AL111" i="5"/>
  <c r="F111" i="5"/>
  <c r="H111" i="5"/>
  <c r="I111" i="5"/>
  <c r="L111" i="5"/>
  <c r="N111" i="5"/>
  <c r="O111" i="5"/>
  <c r="Z111" i="5"/>
  <c r="AN111" i="5"/>
  <c r="AG112" i="5"/>
  <c r="AF112" i="5"/>
  <c r="C124" i="4"/>
  <c r="C112" i="5"/>
  <c r="D124" i="4"/>
  <c r="E112" i="5"/>
  <c r="H124" i="4"/>
  <c r="K112" i="5"/>
  <c r="L124" i="4"/>
  <c r="Q112" i="5"/>
  <c r="M124" i="4"/>
  <c r="R112" i="5"/>
  <c r="T112" i="5"/>
  <c r="O124" i="4"/>
  <c r="U112" i="5"/>
  <c r="P124" i="4"/>
  <c r="W112" i="5"/>
  <c r="Q124" i="4"/>
  <c r="X112" i="5"/>
  <c r="S124" i="4"/>
  <c r="AA112" i="5"/>
  <c r="AI124" i="4"/>
  <c r="T124" i="4" a="1"/>
  <c r="T124" i="4"/>
  <c r="AC112" i="5"/>
  <c r="U124" i="4" a="1"/>
  <c r="U124" i="4"/>
  <c r="AD112" i="5"/>
  <c r="X124" i="4"/>
  <c r="AI112" i="5"/>
  <c r="Y124" i="4"/>
  <c r="AJ112" i="5"/>
  <c r="Z124" i="4"/>
  <c r="AL112" i="5"/>
  <c r="F112" i="5"/>
  <c r="H112" i="5"/>
  <c r="I112" i="5"/>
  <c r="L112" i="5"/>
  <c r="N112" i="5"/>
  <c r="O112" i="5"/>
  <c r="Z112" i="5"/>
  <c r="AN112" i="5"/>
  <c r="AG113" i="5"/>
  <c r="AF113" i="5"/>
  <c r="C154" i="4"/>
  <c r="C113" i="5"/>
  <c r="D154" i="4"/>
  <c r="E113" i="5"/>
  <c r="H154" i="4"/>
  <c r="K113" i="5"/>
  <c r="L154" i="4"/>
  <c r="Q113" i="5"/>
  <c r="M154" i="4"/>
  <c r="R113" i="5"/>
  <c r="T113" i="5"/>
  <c r="O154" i="4"/>
  <c r="U113" i="5"/>
  <c r="P154" i="4"/>
  <c r="W113" i="5"/>
  <c r="Q154" i="4"/>
  <c r="X113" i="5"/>
  <c r="S154" i="4"/>
  <c r="AA113" i="5"/>
  <c r="AI154" i="4"/>
  <c r="T154" i="4" a="1"/>
  <c r="T154" i="4"/>
  <c r="AC113" i="5"/>
  <c r="U154" i="4" a="1"/>
  <c r="U154" i="4"/>
  <c r="AD113" i="5"/>
  <c r="X154" i="4"/>
  <c r="AI113" i="5"/>
  <c r="Y154" i="4"/>
  <c r="AJ113" i="5"/>
  <c r="Z154" i="4"/>
  <c r="AL113" i="5"/>
  <c r="F113" i="5"/>
  <c r="H113" i="5"/>
  <c r="I113" i="5"/>
  <c r="L113" i="5"/>
  <c r="N113" i="5"/>
  <c r="O113" i="5"/>
  <c r="Z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I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H114" i="5"/>
  <c r="I114" i="5"/>
  <c r="L114" i="5"/>
  <c r="N114" i="5"/>
  <c r="O114" i="5"/>
  <c r="Z114" i="5"/>
  <c r="AN114" i="5"/>
  <c r="AG115" i="5"/>
  <c r="AF115" i="5"/>
  <c r="B108" i="4"/>
  <c r="C108" i="4"/>
  <c r="C115" i="5"/>
  <c r="D108" i="4"/>
  <c r="E115" i="5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I108" i="4"/>
  <c r="T108" i="4" a="1"/>
  <c r="T108" i="4"/>
  <c r="AC115" i="5"/>
  <c r="U108" i="4" a="1"/>
  <c r="U108" i="4"/>
  <c r="AD115" i="5"/>
  <c r="X108" i="4"/>
  <c r="AI115" i="5"/>
  <c r="Y108" i="4"/>
  <c r="AJ115" i="5"/>
  <c r="Z108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69" i="4"/>
  <c r="C69" i="4"/>
  <c r="C116" i="5"/>
  <c r="D69" i="4"/>
  <c r="E116" i="5"/>
  <c r="E69" i="4"/>
  <c r="F116" i="5"/>
  <c r="F69" i="4"/>
  <c r="H116" i="5"/>
  <c r="I116" i="5"/>
  <c r="I69" i="4"/>
  <c r="L116" i="5"/>
  <c r="J69" i="4"/>
  <c r="N116" i="5"/>
  <c r="L69" i="4"/>
  <c r="Q116" i="5"/>
  <c r="M69" i="4"/>
  <c r="R116" i="5"/>
  <c r="T116" i="5"/>
  <c r="U116" i="5"/>
  <c r="P69" i="4"/>
  <c r="W116" i="5"/>
  <c r="AA116" i="5"/>
  <c r="AI69" i="4"/>
  <c r="T69" i="4" a="1"/>
  <c r="T69" i="4"/>
  <c r="AC116" i="5"/>
  <c r="U69" i="4" a="1"/>
  <c r="U69" i="4"/>
  <c r="AD116" i="5"/>
  <c r="Y69" i="4"/>
  <c r="AJ116" i="5"/>
  <c r="Z69" i="4"/>
  <c r="AL116" i="5"/>
  <c r="X116" i="5"/>
  <c r="Z116" i="5"/>
  <c r="AN116" i="5"/>
  <c r="AG117" i="5"/>
  <c r="AF117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I190" i="4"/>
  <c r="T190" i="4" a="1"/>
  <c r="T190" i="4"/>
  <c r="AC117" i="5"/>
  <c r="U190" i="4" a="1"/>
  <c r="U190" i="4"/>
  <c r="AD117" i="5"/>
  <c r="X190" i="4"/>
  <c r="AI117" i="5"/>
  <c r="F117" i="5"/>
  <c r="H117" i="5"/>
  <c r="I117" i="5"/>
  <c r="L117" i="5"/>
  <c r="N117" i="5"/>
  <c r="O117" i="5"/>
  <c r="Z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2" i="4"/>
  <c r="Z118" i="5"/>
  <c r="AI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L118" i="5"/>
  <c r="N118" i="5"/>
  <c r="O118" i="5"/>
  <c r="AN118" i="5"/>
  <c r="AG119" i="5"/>
  <c r="AF119" i="5"/>
  <c r="B191" i="4"/>
  <c r="C191" i="4"/>
  <c r="C119" i="5"/>
  <c r="D191" i="4"/>
  <c r="E119" i="5"/>
  <c r="E191" i="4"/>
  <c r="F119" i="5"/>
  <c r="F191" i="4"/>
  <c r="H119" i="5"/>
  <c r="I119" i="5"/>
  <c r="K119" i="5"/>
  <c r="L191" i="4"/>
  <c r="Q119" i="5"/>
  <c r="M191" i="4"/>
  <c r="R119" i="5"/>
  <c r="T119" i="5"/>
  <c r="O191" i="4"/>
  <c r="U119" i="5"/>
  <c r="P191" i="4"/>
  <c r="W119" i="5"/>
  <c r="Q191" i="4"/>
  <c r="X119" i="5"/>
  <c r="AA119" i="5"/>
  <c r="AI191" i="4"/>
  <c r="T191" i="4" a="1"/>
  <c r="T191" i="4"/>
  <c r="AC119" i="5"/>
  <c r="U191" i="4" a="1"/>
  <c r="U191" i="4"/>
  <c r="AD119" i="5"/>
  <c r="X191" i="4"/>
  <c r="AI119" i="5"/>
  <c r="Y191" i="4"/>
  <c r="AJ119" i="5"/>
  <c r="Z191" i="4"/>
  <c r="AL119" i="5"/>
  <c r="L119" i="5"/>
  <c r="N119" i="5"/>
  <c r="O119" i="5"/>
  <c r="Z119" i="5"/>
  <c r="AN119" i="5"/>
  <c r="AG120" i="5"/>
  <c r="AF120" i="5"/>
  <c r="B18" i="4"/>
  <c r="C18" i="4"/>
  <c r="C120" i="5"/>
  <c r="D18" i="4"/>
  <c r="E120" i="5"/>
  <c r="H18" i="4"/>
  <c r="K120" i="5"/>
  <c r="L18" i="4"/>
  <c r="Q120" i="5"/>
  <c r="M18" i="4"/>
  <c r="R120" i="5"/>
  <c r="T120" i="5"/>
  <c r="O18" i="4"/>
  <c r="U120" i="5"/>
  <c r="W120" i="5"/>
  <c r="Q18" i="4"/>
  <c r="X120" i="5"/>
  <c r="AA120" i="5"/>
  <c r="AI18" i="4"/>
  <c r="T18" i="4" a="1"/>
  <c r="T18" i="4"/>
  <c r="AC120" i="5"/>
  <c r="U18" i="4" a="1"/>
  <c r="U18" i="4"/>
  <c r="AD120" i="5"/>
  <c r="Y18" i="4"/>
  <c r="AJ120" i="5"/>
  <c r="Z18" i="4"/>
  <c r="AL120" i="5"/>
  <c r="F120" i="5"/>
  <c r="H120" i="5"/>
  <c r="I120" i="5"/>
  <c r="L120" i="5"/>
  <c r="N120" i="5"/>
  <c r="O120" i="5"/>
  <c r="Z120" i="5"/>
  <c r="AN120" i="5"/>
  <c r="AG121" i="5"/>
  <c r="AF121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I70" i="4"/>
  <c r="T70" i="4" a="1"/>
  <c r="T70" i="4"/>
  <c r="AC121" i="5"/>
  <c r="U70" i="4" a="1"/>
  <c r="U70" i="4"/>
  <c r="AD121" i="5"/>
  <c r="X70" i="4"/>
  <c r="AI121" i="5"/>
  <c r="Y70" i="4"/>
  <c r="AJ121" i="5"/>
  <c r="Z70" i="4"/>
  <c r="AL121" i="5"/>
  <c r="F121" i="5"/>
  <c r="H121" i="5"/>
  <c r="I121" i="5"/>
  <c r="L121" i="5"/>
  <c r="N121" i="5"/>
  <c r="O121" i="5"/>
  <c r="Z121" i="5"/>
  <c r="AN121" i="5"/>
  <c r="AG122" i="5"/>
  <c r="AF122" i="5"/>
  <c r="B19" i="4"/>
  <c r="C19" i="4"/>
  <c r="C122" i="5"/>
  <c r="D19" i="4"/>
  <c r="E122" i="5"/>
  <c r="H19" i="4"/>
  <c r="K122" i="5"/>
  <c r="L19" i="4"/>
  <c r="Q122" i="5"/>
  <c r="R122" i="5"/>
  <c r="T122" i="5"/>
  <c r="O19" i="4"/>
  <c r="U122" i="5"/>
  <c r="P19" i="4"/>
  <c r="W122" i="5"/>
  <c r="Q19" i="4"/>
  <c r="X122" i="5"/>
  <c r="AA122" i="5"/>
  <c r="AI19" i="4"/>
  <c r="T19" i="4" a="1"/>
  <c r="T19" i="4"/>
  <c r="AC122" i="5"/>
  <c r="U19" i="4" a="1"/>
  <c r="U19" i="4"/>
  <c r="AD122" i="5"/>
  <c r="Y19" i="4"/>
  <c r="AJ122" i="5"/>
  <c r="Z19" i="4"/>
  <c r="AL122" i="5"/>
  <c r="F122" i="5"/>
  <c r="H122" i="5"/>
  <c r="I122" i="5"/>
  <c r="L122" i="5"/>
  <c r="N122" i="5"/>
  <c r="O122" i="5"/>
  <c r="Z122" i="5"/>
  <c r="AN122" i="5"/>
  <c r="O123" i="5"/>
  <c r="B248" i="4"/>
  <c r="H248" i="4"/>
  <c r="K123" i="5"/>
  <c r="AG123" i="5"/>
  <c r="AF123" i="5"/>
  <c r="C248" i="4"/>
  <c r="C123" i="5"/>
  <c r="D248" i="4"/>
  <c r="E123" i="5"/>
  <c r="E248" i="4"/>
  <c r="F123" i="5"/>
  <c r="F248" i="4"/>
  <c r="H123" i="5"/>
  <c r="I123" i="5"/>
  <c r="I248" i="4"/>
  <c r="L123" i="5"/>
  <c r="J248" i="4"/>
  <c r="N123" i="5"/>
  <c r="L248" i="4"/>
  <c r="Q123" i="5"/>
  <c r="M248" i="4"/>
  <c r="R123" i="5"/>
  <c r="T123" i="5"/>
  <c r="O248" i="4"/>
  <c r="U123" i="5"/>
  <c r="P248" i="4"/>
  <c r="W123" i="5"/>
  <c r="Q248" i="4"/>
  <c r="X123" i="5"/>
  <c r="S248" i="4"/>
  <c r="AA123" i="5"/>
  <c r="AI248" i="4"/>
  <c r="T248" i="4" a="1"/>
  <c r="T248" i="4"/>
  <c r="AC123" i="5"/>
  <c r="U248" i="4" a="1"/>
  <c r="U248" i="4"/>
  <c r="AD123" i="5"/>
  <c r="X248" i="4"/>
  <c r="AI123" i="5"/>
  <c r="Y248" i="4"/>
  <c r="AJ123" i="5"/>
  <c r="Z248" i="4"/>
  <c r="AL123" i="5"/>
  <c r="Z123" i="5"/>
  <c r="AN123" i="5"/>
  <c r="AG124" i="5"/>
  <c r="AF124" i="5"/>
  <c r="B71" i="4"/>
  <c r="C71" i="4"/>
  <c r="C124" i="5"/>
  <c r="D71" i="4"/>
  <c r="E124" i="5"/>
  <c r="H71" i="4"/>
  <c r="K124" i="5"/>
  <c r="L71" i="4"/>
  <c r="Q124" i="5"/>
  <c r="M71" i="4"/>
  <c r="R124" i="5"/>
  <c r="T124" i="5"/>
  <c r="O71" i="4"/>
  <c r="U124" i="5"/>
  <c r="P71" i="4"/>
  <c r="W124" i="5"/>
  <c r="Q71" i="4"/>
  <c r="X124" i="5"/>
  <c r="AA124" i="5"/>
  <c r="AI71" i="4"/>
  <c r="T71" i="4" a="1"/>
  <c r="T71" i="4"/>
  <c r="AC124" i="5"/>
  <c r="U71" i="4" a="1"/>
  <c r="U71" i="4"/>
  <c r="AD124" i="5"/>
  <c r="X71" i="4"/>
  <c r="AI124" i="5"/>
  <c r="Y71" i="4"/>
  <c r="AJ124" i="5"/>
  <c r="Z71" i="4"/>
  <c r="AL124" i="5"/>
  <c r="F124" i="5"/>
  <c r="H124" i="5"/>
  <c r="I124" i="5"/>
  <c r="L124" i="5"/>
  <c r="N124" i="5"/>
  <c r="O124" i="5"/>
  <c r="Z124" i="5"/>
  <c r="AN124" i="5"/>
  <c r="AG125" i="5"/>
  <c r="AF125" i="5"/>
  <c r="B250" i="4"/>
  <c r="C250" i="4"/>
  <c r="C125" i="5"/>
  <c r="D250" i="4"/>
  <c r="E125" i="5"/>
  <c r="H250" i="4"/>
  <c r="K125" i="5"/>
  <c r="L250" i="4"/>
  <c r="Q125" i="5"/>
  <c r="M250" i="4"/>
  <c r="R125" i="5"/>
  <c r="T125" i="5"/>
  <c r="U125" i="5"/>
  <c r="P250" i="4"/>
  <c r="W125" i="5"/>
  <c r="Q250" i="4"/>
  <c r="X125" i="5"/>
  <c r="S250" i="4"/>
  <c r="AA125" i="5"/>
  <c r="AI250" i="4"/>
  <c r="T250" i="4" a="1"/>
  <c r="T250" i="4"/>
  <c r="AC125" i="5"/>
  <c r="U250" i="4" a="1"/>
  <c r="U250" i="4"/>
  <c r="AD125" i="5"/>
  <c r="X250" i="4"/>
  <c r="AI125" i="5"/>
  <c r="Y250" i="4"/>
  <c r="AJ125" i="5"/>
  <c r="Z250" i="4"/>
  <c r="AL125" i="5"/>
  <c r="F125" i="5"/>
  <c r="H125" i="5"/>
  <c r="I125" i="5"/>
  <c r="L125" i="5"/>
  <c r="N125" i="5"/>
  <c r="O125" i="5"/>
  <c r="Z125" i="5"/>
  <c r="AN125" i="5"/>
  <c r="AG126" i="5"/>
  <c r="AF126" i="5"/>
  <c r="B290" i="4"/>
  <c r="C290" i="4"/>
  <c r="C126" i="5"/>
  <c r="D290" i="4"/>
  <c r="E126" i="5"/>
  <c r="H290" i="4"/>
  <c r="K126" i="5"/>
  <c r="L290" i="4"/>
  <c r="Q126" i="5"/>
  <c r="M290" i="4"/>
  <c r="R126" i="5"/>
  <c r="T126" i="5"/>
  <c r="O290" i="4"/>
  <c r="U126" i="5"/>
  <c r="P290" i="4"/>
  <c r="W126" i="5"/>
  <c r="Q290" i="4"/>
  <c r="X126" i="5"/>
  <c r="S290" i="4"/>
  <c r="AA126" i="5"/>
  <c r="AI290" i="4"/>
  <c r="T290" i="4" a="1"/>
  <c r="T290" i="4"/>
  <c r="AC126" i="5"/>
  <c r="U290" i="4" a="1"/>
  <c r="U290" i="4"/>
  <c r="AD126" i="5"/>
  <c r="X290" i="4"/>
  <c r="AI126" i="5"/>
  <c r="Y290" i="4"/>
  <c r="AJ126" i="5"/>
  <c r="Z290" i="4"/>
  <c r="AL126" i="5"/>
  <c r="F126" i="5"/>
  <c r="H126" i="5"/>
  <c r="I126" i="5"/>
  <c r="L126" i="5"/>
  <c r="N126" i="5"/>
  <c r="O126" i="5"/>
  <c r="Z126" i="5"/>
  <c r="AN126" i="5"/>
  <c r="AG127" i="5"/>
  <c r="AF127" i="5"/>
  <c r="B296" i="4"/>
  <c r="C296" i="4"/>
  <c r="C127" i="5"/>
  <c r="D296" i="4"/>
  <c r="E127" i="5"/>
  <c r="K127" i="5"/>
  <c r="L296" i="4"/>
  <c r="Q127" i="5"/>
  <c r="M296" i="4"/>
  <c r="R127" i="5"/>
  <c r="T127" i="5"/>
  <c r="O296" i="4"/>
  <c r="U127" i="5"/>
  <c r="P296" i="4"/>
  <c r="W127" i="5"/>
  <c r="Q296" i="4"/>
  <c r="X127" i="5"/>
  <c r="AA127" i="5"/>
  <c r="AI296" i="4"/>
  <c r="T296" i="4" a="1"/>
  <c r="T296" i="4"/>
  <c r="AC127" i="5"/>
  <c r="U296" i="4" a="1"/>
  <c r="U296" i="4"/>
  <c r="AD127" i="5"/>
  <c r="X296" i="4"/>
  <c r="AI127" i="5"/>
  <c r="Y296" i="4"/>
  <c r="AJ127" i="5"/>
  <c r="Z296" i="4"/>
  <c r="AL127" i="5"/>
  <c r="F127" i="5"/>
  <c r="H127" i="5"/>
  <c r="I127" i="5"/>
  <c r="L127" i="5"/>
  <c r="N127" i="5"/>
  <c r="O127" i="5"/>
  <c r="Z127" i="5"/>
  <c r="AN127" i="5"/>
  <c r="AG128" i="5"/>
  <c r="AF128" i="5"/>
  <c r="B192" i="4"/>
  <c r="C192" i="4"/>
  <c r="C128" i="5"/>
  <c r="D192" i="4"/>
  <c r="E128" i="5"/>
  <c r="E192" i="4"/>
  <c r="F128" i="5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I192" i="4"/>
  <c r="T192" i="4" a="1"/>
  <c r="T192" i="4"/>
  <c r="AC128" i="5"/>
  <c r="U192" i="4" a="1"/>
  <c r="U192" i="4"/>
  <c r="AD128" i="5"/>
  <c r="X192" i="4"/>
  <c r="AI128" i="5"/>
  <c r="Y192" i="4"/>
  <c r="AJ128" i="5"/>
  <c r="Z192" i="4"/>
  <c r="AL128" i="5"/>
  <c r="L128" i="5"/>
  <c r="N128" i="5"/>
  <c r="O128" i="5"/>
  <c r="Z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I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L129" i="5"/>
  <c r="N129" i="5"/>
  <c r="O129" i="5"/>
  <c r="AN129" i="5"/>
  <c r="AG130" i="5"/>
  <c r="AF130" i="5"/>
  <c r="C222" i="4"/>
  <c r="C130" i="5"/>
  <c r="D222" i="4"/>
  <c r="E130" i="5"/>
  <c r="E222" i="4"/>
  <c r="F130" i="5"/>
  <c r="F222" i="4"/>
  <c r="H130" i="5"/>
  <c r="I130" i="5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I222" i="4"/>
  <c r="T222" i="4" a="1"/>
  <c r="T222" i="4"/>
  <c r="AC130" i="5"/>
  <c r="U222" i="4" a="1"/>
  <c r="U222" i="4"/>
  <c r="AD130" i="5"/>
  <c r="X222" i="4"/>
  <c r="AI130" i="5"/>
  <c r="Y222" i="4"/>
  <c r="AJ130" i="5"/>
  <c r="Z222" i="4"/>
  <c r="AL130" i="5"/>
  <c r="Z130" i="5"/>
  <c r="L130" i="5"/>
  <c r="N130" i="5"/>
  <c r="O130" i="5"/>
  <c r="AN130" i="5"/>
  <c r="AG131" i="5"/>
  <c r="AF131" i="5"/>
  <c r="B251" i="4"/>
  <c r="C251" i="4"/>
  <c r="C131" i="5"/>
  <c r="D251" i="4"/>
  <c r="E131" i="5"/>
  <c r="E251" i="4"/>
  <c r="F131" i="5"/>
  <c r="F251" i="4"/>
  <c r="H131" i="5"/>
  <c r="I131" i="5"/>
  <c r="H251" i="4"/>
  <c r="K131" i="5"/>
  <c r="L251" i="4"/>
  <c r="Q131" i="5"/>
  <c r="M251" i="4"/>
  <c r="R131" i="5"/>
  <c r="T131" i="5"/>
  <c r="O251" i="4"/>
  <c r="U131" i="5"/>
  <c r="P251" i="4"/>
  <c r="W131" i="5"/>
  <c r="Q251" i="4"/>
  <c r="X131" i="5"/>
  <c r="AA131" i="5"/>
  <c r="AI251" i="4"/>
  <c r="T251" i="4" a="1"/>
  <c r="T251" i="4"/>
  <c r="AC131" i="5"/>
  <c r="U251" i="4" a="1"/>
  <c r="U251" i="4"/>
  <c r="AD131" i="5"/>
  <c r="X251" i="4"/>
  <c r="AI131" i="5"/>
  <c r="Y251" i="4"/>
  <c r="AJ131" i="5"/>
  <c r="Z251" i="4"/>
  <c r="AL131" i="5"/>
  <c r="Z131" i="5"/>
  <c r="L131" i="5"/>
  <c r="N131" i="5"/>
  <c r="O131" i="5"/>
  <c r="AN131" i="5"/>
  <c r="AG132" i="5"/>
  <c r="AF132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I73" i="4"/>
  <c r="T73" i="4" a="1"/>
  <c r="T73" i="4"/>
  <c r="AC132" i="5"/>
  <c r="U73" i="4" a="1"/>
  <c r="U73" i="4"/>
  <c r="AD132" i="5"/>
  <c r="X73" i="4"/>
  <c r="AI132" i="5"/>
  <c r="Y73" i="4"/>
  <c r="AJ132" i="5"/>
  <c r="Z73" i="4"/>
  <c r="AL132" i="5"/>
  <c r="Z132" i="5"/>
  <c r="L132" i="5"/>
  <c r="N132" i="5"/>
  <c r="O132" i="5"/>
  <c r="AN132" i="5"/>
  <c r="AA133" i="5"/>
  <c r="P129" i="4"/>
  <c r="W133" i="5"/>
  <c r="O133" i="5"/>
  <c r="K133" i="5"/>
  <c r="AG133" i="5"/>
  <c r="AF133" i="5"/>
  <c r="C129" i="4"/>
  <c r="C133" i="5"/>
  <c r="D129" i="4"/>
  <c r="E133" i="5"/>
  <c r="I129" i="4"/>
  <c r="L133" i="5"/>
  <c r="J129" i="4"/>
  <c r="N133" i="5"/>
  <c r="L129" i="4"/>
  <c r="Q133" i="5"/>
  <c r="M129" i="4"/>
  <c r="R133" i="5"/>
  <c r="T133" i="5"/>
  <c r="U133" i="5"/>
  <c r="Q129" i="4"/>
  <c r="X133" i="5"/>
  <c r="R129" i="4"/>
  <c r="Z133" i="5"/>
  <c r="AI129" i="4"/>
  <c r="T129" i="4" a="1"/>
  <c r="T129" i="4"/>
  <c r="AC133" i="5"/>
  <c r="U129" i="4" a="1"/>
  <c r="U129" i="4"/>
  <c r="AD133" i="5"/>
  <c r="X129" i="4"/>
  <c r="AI133" i="5"/>
  <c r="Y129" i="4"/>
  <c r="AJ133" i="5"/>
  <c r="Z129" i="4"/>
  <c r="AL133" i="5"/>
  <c r="F133" i="5"/>
  <c r="H133" i="5"/>
  <c r="I133" i="5"/>
  <c r="AN133" i="5"/>
  <c r="O134" i="5"/>
  <c r="K134" i="5"/>
  <c r="AG134" i="5"/>
  <c r="AF134" i="5"/>
  <c r="B20" i="4"/>
  <c r="C20" i="4"/>
  <c r="C134" i="5"/>
  <c r="D20" i="4"/>
  <c r="E134" i="5"/>
  <c r="I20" i="4"/>
  <c r="L134" i="5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I20" i="4"/>
  <c r="T20" i="4" a="1"/>
  <c r="T20" i="4"/>
  <c r="AC134" i="5"/>
  <c r="U20" i="4" a="1"/>
  <c r="U20" i="4"/>
  <c r="AD134" i="5"/>
  <c r="X20" i="4"/>
  <c r="AI134" i="5"/>
  <c r="Y20" i="4"/>
  <c r="AJ134" i="5"/>
  <c r="Z20" i="4"/>
  <c r="AL134" i="5"/>
  <c r="Z134" i="5"/>
  <c r="F134" i="5"/>
  <c r="H134" i="5"/>
  <c r="I134" i="5"/>
  <c r="AN134" i="5"/>
  <c r="AG135" i="5"/>
  <c r="AF135" i="5"/>
  <c r="B279" i="4"/>
  <c r="C279" i="4"/>
  <c r="C135" i="5"/>
  <c r="D279" i="4"/>
  <c r="E135" i="5"/>
  <c r="H279" i="4"/>
  <c r="K135" i="5"/>
  <c r="L279" i="4"/>
  <c r="Q135" i="5"/>
  <c r="M279" i="4"/>
  <c r="R135" i="5"/>
  <c r="T135" i="5"/>
  <c r="O279" i="4"/>
  <c r="U135" i="5"/>
  <c r="P279" i="4"/>
  <c r="W135" i="5"/>
  <c r="Q279" i="4"/>
  <c r="X135" i="5"/>
  <c r="S279" i="4"/>
  <c r="AA135" i="5"/>
  <c r="AI279" i="4"/>
  <c r="T279" i="4" a="1"/>
  <c r="T279" i="4"/>
  <c r="AC135" i="5"/>
  <c r="U279" i="4" a="1"/>
  <c r="U279" i="4"/>
  <c r="AD135" i="5"/>
  <c r="X279" i="4"/>
  <c r="AI135" i="5"/>
  <c r="Y279" i="4"/>
  <c r="AJ135" i="5"/>
  <c r="Z279" i="4"/>
  <c r="AL135" i="5"/>
  <c r="L135" i="5"/>
  <c r="N135" i="5"/>
  <c r="O135" i="5"/>
  <c r="Z135" i="5"/>
  <c r="F135" i="5"/>
  <c r="H135" i="5"/>
  <c r="I135" i="5"/>
  <c r="AN135" i="5"/>
  <c r="O136" i="5"/>
  <c r="B43" i="4"/>
  <c r="H43" i="4"/>
  <c r="K136" i="5"/>
  <c r="AG136" i="5"/>
  <c r="AF136" i="5"/>
  <c r="C43" i="4"/>
  <c r="C136" i="5"/>
  <c r="D43" i="4"/>
  <c r="E136" i="5"/>
  <c r="I43" i="4"/>
  <c r="L136" i="5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I43" i="4"/>
  <c r="T43" i="4" a="1"/>
  <c r="T43" i="4"/>
  <c r="AC136" i="5"/>
  <c r="U43" i="4" a="1"/>
  <c r="U43" i="4"/>
  <c r="AD136" i="5"/>
  <c r="X43" i="4"/>
  <c r="AI136" i="5"/>
  <c r="Y43" i="4"/>
  <c r="AJ136" i="5"/>
  <c r="Z43" i="4"/>
  <c r="AL136" i="5"/>
  <c r="Z136" i="5"/>
  <c r="F136" i="5"/>
  <c r="H136" i="5"/>
  <c r="I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I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B212" i="4"/>
  <c r="C212" i="4"/>
  <c r="C138" i="5"/>
  <c r="D212" i="4"/>
  <c r="E138" i="5"/>
  <c r="H212" i="4"/>
  <c r="K138" i="5"/>
  <c r="L212" i="4"/>
  <c r="Q138" i="5"/>
  <c r="M212" i="4"/>
  <c r="R138" i="5"/>
  <c r="T138" i="5"/>
  <c r="O212" i="4"/>
  <c r="U138" i="5"/>
  <c r="P212" i="4"/>
  <c r="W138" i="5"/>
  <c r="Q212" i="4"/>
  <c r="X138" i="5"/>
  <c r="S212" i="4"/>
  <c r="AA138" i="5"/>
  <c r="AI212" i="4"/>
  <c r="T212" i="4" a="1"/>
  <c r="T212" i="4"/>
  <c r="AC138" i="5"/>
  <c r="U212" i="4" a="1"/>
  <c r="U212" i="4"/>
  <c r="AD138" i="5"/>
  <c r="X212" i="4"/>
  <c r="AI138" i="5"/>
  <c r="Y212" i="4"/>
  <c r="AJ138" i="5"/>
  <c r="Z212" i="4"/>
  <c r="AL138" i="5"/>
  <c r="L138" i="5"/>
  <c r="N138" i="5"/>
  <c r="O138" i="5"/>
  <c r="F138" i="5"/>
  <c r="H138" i="5"/>
  <c r="I138" i="5"/>
  <c r="Z138" i="5"/>
  <c r="AN138" i="5"/>
  <c r="AG139" i="5"/>
  <c r="AF139" i="5"/>
  <c r="B213" i="4"/>
  <c r="C213" i="4"/>
  <c r="C139" i="5"/>
  <c r="D213" i="4"/>
  <c r="E139" i="5"/>
  <c r="E213" i="4"/>
  <c r="F139" i="5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I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Z139" i="5"/>
  <c r="AN139" i="5"/>
  <c r="AG140" i="5"/>
  <c r="AF140" i="5"/>
  <c r="B77" i="4"/>
  <c r="C77" i="4"/>
  <c r="C140" i="5"/>
  <c r="D77" i="4"/>
  <c r="E140" i="5"/>
  <c r="E77" i="4"/>
  <c r="F140" i="5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I77" i="4"/>
  <c r="T77" i="4" a="1"/>
  <c r="T77" i="4"/>
  <c r="AC140" i="5"/>
  <c r="U77" i="4" a="1"/>
  <c r="U77" i="4"/>
  <c r="AD140" i="5"/>
  <c r="X77" i="4"/>
  <c r="AI140" i="5"/>
  <c r="Y77" i="4"/>
  <c r="AJ140" i="5"/>
  <c r="Z77" i="4"/>
  <c r="AL140" i="5"/>
  <c r="L140" i="5"/>
  <c r="N140" i="5"/>
  <c r="O140" i="5"/>
  <c r="Z140" i="5"/>
  <c r="AN140" i="5"/>
  <c r="AG141" i="5"/>
  <c r="AF141" i="5"/>
  <c r="C223" i="4"/>
  <c r="C141" i="5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O223" i="4"/>
  <c r="U141" i="5"/>
  <c r="P223" i="4"/>
  <c r="W141" i="5"/>
  <c r="Q223" i="4"/>
  <c r="X141" i="5"/>
  <c r="S223" i="4"/>
  <c r="AA141" i="5"/>
  <c r="AI223" i="4"/>
  <c r="T223" i="4" a="1"/>
  <c r="T223" i="4"/>
  <c r="AC141" i="5"/>
  <c r="U223" i="4" a="1"/>
  <c r="U223" i="4"/>
  <c r="AD141" i="5"/>
  <c r="X223" i="4"/>
  <c r="AI141" i="5"/>
  <c r="Y223" i="4"/>
  <c r="AJ141" i="5"/>
  <c r="Z223" i="4"/>
  <c r="AL141" i="5"/>
  <c r="L141" i="5"/>
  <c r="N141" i="5"/>
  <c r="O141" i="5"/>
  <c r="Z141" i="5"/>
  <c r="AN141" i="5"/>
  <c r="O142" i="5"/>
  <c r="K142" i="5"/>
  <c r="AG142" i="5"/>
  <c r="AF142" i="5"/>
  <c r="C204" i="4"/>
  <c r="C142" i="5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I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Z142" i="5"/>
  <c r="AN142" i="5"/>
  <c r="AG143" i="5"/>
  <c r="AF143" i="5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I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224" i="4"/>
  <c r="L144" i="5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252" i="4"/>
  <c r="C252" i="4"/>
  <c r="C145" i="5"/>
  <c r="D252" i="4"/>
  <c r="E145" i="5"/>
  <c r="E252" i="4"/>
  <c r="F145" i="5"/>
  <c r="F252" i="4"/>
  <c r="H145" i="5"/>
  <c r="I145" i="5"/>
  <c r="H252" i="4"/>
  <c r="K145" i="5"/>
  <c r="L252" i="4"/>
  <c r="Q145" i="5"/>
  <c r="M252" i="4"/>
  <c r="R145" i="5"/>
  <c r="T145" i="5"/>
  <c r="O252" i="4"/>
  <c r="U145" i="5"/>
  <c r="P252" i="4"/>
  <c r="W145" i="5"/>
  <c r="Q252" i="4"/>
  <c r="X145" i="5"/>
  <c r="S252" i="4"/>
  <c r="AA145" i="5"/>
  <c r="AI252" i="4"/>
  <c r="T252" i="4" a="1"/>
  <c r="T252" i="4"/>
  <c r="AC145" i="5"/>
  <c r="U252" i="4" a="1"/>
  <c r="U252" i="4"/>
  <c r="AD145" i="5"/>
  <c r="X252" i="4"/>
  <c r="AI145" i="5"/>
  <c r="Y252" i="4"/>
  <c r="AJ145" i="5"/>
  <c r="Z252" i="4"/>
  <c r="AL145" i="5"/>
  <c r="L145" i="5"/>
  <c r="N145" i="5"/>
  <c r="O145" i="5"/>
  <c r="Z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I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Z146" i="5"/>
  <c r="AN146" i="5"/>
  <c r="O147" i="5"/>
  <c r="K147" i="5"/>
  <c r="AG147" i="5"/>
  <c r="AF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I21" i="4"/>
  <c r="T21" i="4" a="1"/>
  <c r="T21" i="4"/>
  <c r="AC147" i="5"/>
  <c r="U21" i="4" a="1"/>
  <c r="U21" i="4"/>
  <c r="AD147" i="5"/>
  <c r="X21" i="4"/>
  <c r="AI147" i="5"/>
  <c r="Y21" i="4"/>
  <c r="AJ147" i="5"/>
  <c r="Z21" i="4"/>
  <c r="AL147" i="5"/>
  <c r="F147" i="5"/>
  <c r="H147" i="5"/>
  <c r="I147" i="5"/>
  <c r="Z147" i="5"/>
  <c r="AN147" i="5"/>
  <c r="O148" i="5"/>
  <c r="K148" i="5"/>
  <c r="AG148" i="5"/>
  <c r="AF148" i="5"/>
  <c r="B253" i="4"/>
  <c r="C253" i="4"/>
  <c r="C148" i="5"/>
  <c r="D253" i="4"/>
  <c r="E148" i="5"/>
  <c r="E253" i="4"/>
  <c r="F148" i="5"/>
  <c r="F253" i="4"/>
  <c r="H148" i="5"/>
  <c r="I148" i="5"/>
  <c r="I253" i="4"/>
  <c r="L148" i="5"/>
  <c r="J253" i="4"/>
  <c r="N148" i="5"/>
  <c r="L253" i="4"/>
  <c r="Q148" i="5"/>
  <c r="M253" i="4"/>
  <c r="R148" i="5"/>
  <c r="T148" i="5"/>
  <c r="U148" i="5"/>
  <c r="P253" i="4"/>
  <c r="W148" i="5"/>
  <c r="Q253" i="4"/>
  <c r="X148" i="5"/>
  <c r="S253" i="4"/>
  <c r="AA148" i="5"/>
  <c r="AI253" i="4"/>
  <c r="T253" i="4" a="1"/>
  <c r="T253" i="4"/>
  <c r="AC148" i="5"/>
  <c r="U253" i="4" a="1"/>
  <c r="U253" i="4"/>
  <c r="AD148" i="5"/>
  <c r="X253" i="4"/>
  <c r="AI148" i="5"/>
  <c r="Y253" i="4"/>
  <c r="AJ148" i="5"/>
  <c r="Z253" i="4"/>
  <c r="AL148" i="5"/>
  <c r="Z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I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8" i="4"/>
  <c r="C78" i="4"/>
  <c r="C150" i="5"/>
  <c r="D78" i="4"/>
  <c r="E150" i="5"/>
  <c r="E78" i="4"/>
  <c r="F150" i="5"/>
  <c r="F78" i="4"/>
  <c r="H150" i="5"/>
  <c r="I150" i="5"/>
  <c r="H78" i="4"/>
  <c r="K150" i="5"/>
  <c r="L78" i="4"/>
  <c r="Q150" i="5"/>
  <c r="M78" i="4"/>
  <c r="R150" i="5"/>
  <c r="T150" i="5"/>
  <c r="O78" i="4"/>
  <c r="U150" i="5"/>
  <c r="P78" i="4"/>
  <c r="W150" i="5"/>
  <c r="Q78" i="4"/>
  <c r="X150" i="5"/>
  <c r="AA150" i="5"/>
  <c r="AI78" i="4"/>
  <c r="T78" i="4" a="1"/>
  <c r="T78" i="4"/>
  <c r="AC150" i="5"/>
  <c r="U78" i="4" a="1"/>
  <c r="U78" i="4"/>
  <c r="AD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AG151" i="5"/>
  <c r="AF151" i="5"/>
  <c r="C44" i="4"/>
  <c r="C151" i="5"/>
  <c r="D44" i="4"/>
  <c r="E151" i="5"/>
  <c r="I44" i="4"/>
  <c r="L151" i="5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I44" i="4"/>
  <c r="T44" i="4" a="1"/>
  <c r="T44" i="4"/>
  <c r="AC151" i="5"/>
  <c r="U44" i="4" a="1"/>
  <c r="U44" i="4"/>
  <c r="AD151" i="5"/>
  <c r="X44" i="4"/>
  <c r="AI151" i="5"/>
  <c r="Y44" i="4"/>
  <c r="AJ151" i="5"/>
  <c r="Z44" i="4"/>
  <c r="AL151" i="5"/>
  <c r="F151" i="5"/>
  <c r="H151" i="5"/>
  <c r="I151" i="5"/>
  <c r="Z151" i="5"/>
  <c r="AN151" i="5"/>
  <c r="B214" i="4"/>
  <c r="S214" i="4"/>
  <c r="AA152" i="5"/>
  <c r="P214" i="4"/>
  <c r="W152" i="5"/>
  <c r="AG152" i="5"/>
  <c r="AF152" i="5"/>
  <c r="C214" i="4"/>
  <c r="C152" i="5"/>
  <c r="D214" i="4"/>
  <c r="E152" i="5"/>
  <c r="E214" i="4"/>
  <c r="F152" i="5"/>
  <c r="F214" i="4"/>
  <c r="H152" i="5"/>
  <c r="I152" i="5"/>
  <c r="K152" i="5"/>
  <c r="L214" i="4"/>
  <c r="Q152" i="5"/>
  <c r="M214" i="4"/>
  <c r="R152" i="5"/>
  <c r="T152" i="5"/>
  <c r="O214" i="4"/>
  <c r="U152" i="5"/>
  <c r="Q214" i="4"/>
  <c r="X152" i="5"/>
  <c r="R214" i="4"/>
  <c r="Z152" i="5"/>
  <c r="AI214" i="4"/>
  <c r="T214" i="4" a="1"/>
  <c r="T214" i="4"/>
  <c r="AC152" i="5"/>
  <c r="U214" i="4" a="1"/>
  <c r="U214" i="4"/>
  <c r="AD152" i="5"/>
  <c r="X214" i="4"/>
  <c r="AI152" i="5"/>
  <c r="Y214" i="4"/>
  <c r="AJ152" i="5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I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9" i="4"/>
  <c r="C79" i="4"/>
  <c r="C154" i="5"/>
  <c r="D79" i="4"/>
  <c r="E154" i="5"/>
  <c r="H79" i="4"/>
  <c r="K154" i="5"/>
  <c r="L79" i="4"/>
  <c r="Q154" i="5"/>
  <c r="M79" i="4"/>
  <c r="R154" i="5"/>
  <c r="T154" i="5"/>
  <c r="O79" i="4"/>
  <c r="U154" i="5"/>
  <c r="P79" i="4"/>
  <c r="W154" i="5"/>
  <c r="Q79" i="4"/>
  <c r="X154" i="5"/>
  <c r="AA154" i="5"/>
  <c r="AI79" i="4"/>
  <c r="T79" i="4" a="1"/>
  <c r="T79" i="4"/>
  <c r="AC154" i="5"/>
  <c r="U79" i="4" a="1"/>
  <c r="U79" i="4"/>
  <c r="AD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AG155" i="5"/>
  <c r="AF155" i="5"/>
  <c r="B254" i="4"/>
  <c r="C254" i="4"/>
  <c r="C155" i="5"/>
  <c r="D254" i="4"/>
  <c r="E155" i="5"/>
  <c r="E254" i="4"/>
  <c r="F155" i="5"/>
  <c r="F254" i="4"/>
  <c r="H155" i="5"/>
  <c r="I155" i="5"/>
  <c r="H254" i="4"/>
  <c r="K155" i="5"/>
  <c r="L254" i="4"/>
  <c r="Q155" i="5"/>
  <c r="M254" i="4"/>
  <c r="R155" i="5"/>
  <c r="T155" i="5"/>
  <c r="O254" i="4"/>
  <c r="U155" i="5"/>
  <c r="P254" i="4"/>
  <c r="W155" i="5"/>
  <c r="Q254" i="4"/>
  <c r="X155" i="5"/>
  <c r="S254" i="4"/>
  <c r="AA155" i="5"/>
  <c r="AI254" i="4"/>
  <c r="T254" i="4" a="1"/>
  <c r="T254" i="4"/>
  <c r="AC155" i="5"/>
  <c r="U254" i="4" a="1"/>
  <c r="U254" i="4"/>
  <c r="AD155" i="5"/>
  <c r="X254" i="4"/>
  <c r="AI155" i="5"/>
  <c r="Y254" i="4"/>
  <c r="AJ155" i="5"/>
  <c r="Z254" i="4"/>
  <c r="AL155" i="5"/>
  <c r="L155" i="5"/>
  <c r="N155" i="5"/>
  <c r="O155" i="5"/>
  <c r="Z155" i="5"/>
  <c r="AN155" i="5"/>
  <c r="AA156" i="5"/>
  <c r="B22" i="4"/>
  <c r="P22" i="4"/>
  <c r="W156" i="5"/>
  <c r="O156" i="5"/>
  <c r="H22" i="4"/>
  <c r="K156" i="5"/>
  <c r="AG156" i="5"/>
  <c r="AF156" i="5"/>
  <c r="C22" i="4"/>
  <c r="C156" i="5"/>
  <c r="D22" i="4"/>
  <c r="E156" i="5"/>
  <c r="I22" i="4"/>
  <c r="L156" i="5"/>
  <c r="J22" i="4"/>
  <c r="N156" i="5"/>
  <c r="L22" i="4"/>
  <c r="Q156" i="5"/>
  <c r="M22" i="4"/>
  <c r="R156" i="5"/>
  <c r="T156" i="5"/>
  <c r="O22" i="4"/>
  <c r="U156" i="5"/>
  <c r="Q22" i="4"/>
  <c r="X156" i="5"/>
  <c r="R22" i="4"/>
  <c r="Z156" i="5"/>
  <c r="AI22" i="4"/>
  <c r="T22" i="4" a="1"/>
  <c r="T22" i="4"/>
  <c r="AC156" i="5"/>
  <c r="U22" i="4" a="1"/>
  <c r="U22" i="4"/>
  <c r="AD156" i="5"/>
  <c r="X22" i="4"/>
  <c r="AI156" i="5"/>
  <c r="Y22" i="4"/>
  <c r="AJ156" i="5"/>
  <c r="Z22" i="4"/>
  <c r="AL156" i="5"/>
  <c r="F156" i="5"/>
  <c r="H156" i="5"/>
  <c r="I156" i="5"/>
  <c r="AN156" i="5"/>
  <c r="AG157" i="5"/>
  <c r="AF157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I193" i="4"/>
  <c r="T193" i="4" a="1"/>
  <c r="T193" i="4"/>
  <c r="AC157" i="5"/>
  <c r="U193" i="4" a="1"/>
  <c r="U193" i="4"/>
  <c r="AD157" i="5"/>
  <c r="X193" i="4"/>
  <c r="AI157" i="5"/>
  <c r="Y193" i="4"/>
  <c r="AJ157" i="5"/>
  <c r="Z193" i="4"/>
  <c r="AL157" i="5"/>
  <c r="F157" i="5"/>
  <c r="H157" i="5"/>
  <c r="I157" i="5"/>
  <c r="L157" i="5"/>
  <c r="N157" i="5"/>
  <c r="O157" i="5"/>
  <c r="Z157" i="5"/>
  <c r="AN157" i="5"/>
  <c r="AG158" i="5"/>
  <c r="AF158" i="5"/>
  <c r="B194" i="4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O194" i="4"/>
  <c r="U158" i="5"/>
  <c r="P194" i="4"/>
  <c r="W158" i="5"/>
  <c r="Q194" i="4"/>
  <c r="X158" i="5"/>
  <c r="S194" i="4"/>
  <c r="AA158" i="5"/>
  <c r="AI194" i="4"/>
  <c r="T194" i="4" a="1"/>
  <c r="T194" i="4"/>
  <c r="AC158" i="5"/>
  <c r="U194" i="4" a="1"/>
  <c r="U194" i="4"/>
  <c r="AD158" i="5"/>
  <c r="X194" i="4"/>
  <c r="AI158" i="5"/>
  <c r="Y194" i="4"/>
  <c r="AJ158" i="5"/>
  <c r="Z194" i="4"/>
  <c r="AL158" i="5"/>
  <c r="L158" i="5"/>
  <c r="N158" i="5"/>
  <c r="O158" i="5"/>
  <c r="Z158" i="5"/>
  <c r="AN158" i="5"/>
  <c r="AG159" i="5"/>
  <c r="AF159" i="5"/>
  <c r="B280" i="4"/>
  <c r="C280" i="4"/>
  <c r="C159" i="5"/>
  <c r="D280" i="4"/>
  <c r="E159" i="5"/>
  <c r="E280" i="4"/>
  <c r="F159" i="5"/>
  <c r="F280" i="4"/>
  <c r="H159" i="5"/>
  <c r="I159" i="5"/>
  <c r="H280" i="4"/>
  <c r="K159" i="5"/>
  <c r="L280" i="4"/>
  <c r="Q159" i="5"/>
  <c r="M280" i="4"/>
  <c r="R159" i="5"/>
  <c r="T159" i="5"/>
  <c r="O280" i="4"/>
  <c r="U159" i="5"/>
  <c r="P280" i="4"/>
  <c r="W159" i="5"/>
  <c r="Q280" i="4"/>
  <c r="X159" i="5"/>
  <c r="S280" i="4"/>
  <c r="AA159" i="5"/>
  <c r="AI280" i="4"/>
  <c r="T280" i="4" a="1"/>
  <c r="T280" i="4"/>
  <c r="AC159" i="5"/>
  <c r="U280" i="4" a="1"/>
  <c r="U280" i="4"/>
  <c r="AD159" i="5"/>
  <c r="X280" i="4"/>
  <c r="AI159" i="5"/>
  <c r="Y280" i="4"/>
  <c r="AJ159" i="5"/>
  <c r="Z280" i="4"/>
  <c r="AL159" i="5"/>
  <c r="L159" i="5"/>
  <c r="N159" i="5"/>
  <c r="O159" i="5"/>
  <c r="Z159" i="5"/>
  <c r="AN159" i="5"/>
  <c r="AG160" i="5"/>
  <c r="AF160" i="5"/>
  <c r="B281" i="4"/>
  <c r="C281" i="4"/>
  <c r="C160" i="5"/>
  <c r="D281" i="4"/>
  <c r="E160" i="5"/>
  <c r="E281" i="4"/>
  <c r="F160" i="5"/>
  <c r="F281" i="4"/>
  <c r="H160" i="5"/>
  <c r="I160" i="5"/>
  <c r="H281" i="4"/>
  <c r="K160" i="5"/>
  <c r="L281" i="4"/>
  <c r="Q160" i="5"/>
  <c r="M281" i="4"/>
  <c r="R160" i="5"/>
  <c r="T160" i="5"/>
  <c r="O281" i="4"/>
  <c r="U160" i="5"/>
  <c r="P281" i="4"/>
  <c r="W160" i="5"/>
  <c r="Q281" i="4"/>
  <c r="X160" i="5"/>
  <c r="S281" i="4"/>
  <c r="AA160" i="5"/>
  <c r="AI281" i="4"/>
  <c r="T281" i="4" a="1"/>
  <c r="T281" i="4"/>
  <c r="AC160" i="5"/>
  <c r="U281" i="4" a="1"/>
  <c r="U281" i="4"/>
  <c r="AD160" i="5"/>
  <c r="X281" i="4"/>
  <c r="AI160" i="5"/>
  <c r="Y281" i="4"/>
  <c r="AJ160" i="5"/>
  <c r="Z281" i="4"/>
  <c r="AL160" i="5"/>
  <c r="L160" i="5"/>
  <c r="N160" i="5"/>
  <c r="O160" i="5"/>
  <c r="Z160" i="5"/>
  <c r="AN160" i="5"/>
  <c r="AG161" i="5"/>
  <c r="AF161" i="5"/>
  <c r="B46" i="4"/>
  <c r="C46" i="4"/>
  <c r="C161" i="5"/>
  <c r="D46" i="4"/>
  <c r="E161" i="5"/>
  <c r="H46" i="4"/>
  <c r="K161" i="5"/>
  <c r="L46" i="4"/>
  <c r="Q161" i="5"/>
  <c r="M46" i="4"/>
  <c r="R161" i="5"/>
  <c r="N46" i="4"/>
  <c r="T161" i="5"/>
  <c r="O46" i="4"/>
  <c r="U161" i="5"/>
  <c r="P46" i="4"/>
  <c r="W161" i="5"/>
  <c r="Q46" i="4"/>
  <c r="X161" i="5"/>
  <c r="AA161" i="5"/>
  <c r="AI46" i="4"/>
  <c r="T46" i="4" a="1"/>
  <c r="T46" i="4"/>
  <c r="AC161" i="5"/>
  <c r="U46" i="4" a="1"/>
  <c r="U46" i="4"/>
  <c r="AD161" i="5"/>
  <c r="X46" i="4"/>
  <c r="AI161" i="5"/>
  <c r="Y46" i="4"/>
  <c r="AJ161" i="5"/>
  <c r="Z46" i="4"/>
  <c r="AL161" i="5"/>
  <c r="F161" i="5"/>
  <c r="H161" i="5"/>
  <c r="I161" i="5"/>
  <c r="L161" i="5"/>
  <c r="N161" i="5"/>
  <c r="O161" i="5"/>
  <c r="Z161" i="5"/>
  <c r="AN161" i="5"/>
  <c r="AG162" i="5"/>
  <c r="AF162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I80" i="4"/>
  <c r="T80" i="4" a="1"/>
  <c r="T80" i="4"/>
  <c r="AC162" i="5"/>
  <c r="U80" i="4" a="1"/>
  <c r="U80" i="4"/>
  <c r="AD162" i="5"/>
  <c r="Y80" i="4"/>
  <c r="AJ162" i="5"/>
  <c r="Z80" i="4"/>
  <c r="AL162" i="5"/>
  <c r="F162" i="5"/>
  <c r="H162" i="5"/>
  <c r="I162" i="5"/>
  <c r="L162" i="5"/>
  <c r="N162" i="5"/>
  <c r="O162" i="5"/>
  <c r="Z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I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82" i="4"/>
  <c r="C82" i="4"/>
  <c r="C164" i="5"/>
  <c r="D82" i="4"/>
  <c r="E164" i="5"/>
  <c r="E82" i="4"/>
  <c r="F164" i="5"/>
  <c r="F82" i="4"/>
  <c r="H164" i="5"/>
  <c r="I164" i="5"/>
  <c r="I82" i="4"/>
  <c r="L164" i="5"/>
  <c r="J82" i="4"/>
  <c r="N164" i="5"/>
  <c r="L82" i="4"/>
  <c r="Q164" i="5"/>
  <c r="M82" i="4"/>
  <c r="R164" i="5"/>
  <c r="T164" i="5"/>
  <c r="O82" i="4"/>
  <c r="U164" i="5"/>
  <c r="P82" i="4"/>
  <c r="W164" i="5"/>
  <c r="Q82" i="4"/>
  <c r="X164" i="5"/>
  <c r="S82" i="4"/>
  <c r="AA164" i="5"/>
  <c r="AI82" i="4"/>
  <c r="T82" i="4" a="1"/>
  <c r="T82" i="4"/>
  <c r="AC164" i="5"/>
  <c r="U82" i="4" a="1"/>
  <c r="U82" i="4"/>
  <c r="AD164" i="5"/>
  <c r="X82" i="4"/>
  <c r="AI164" i="5"/>
  <c r="Y82" i="4"/>
  <c r="AJ164" i="5"/>
  <c r="Z82" i="4"/>
  <c r="AL164" i="5"/>
  <c r="Z164" i="5"/>
  <c r="AN164" i="5"/>
  <c r="O165" i="5"/>
  <c r="B83" i="4"/>
  <c r="H83" i="4"/>
  <c r="K165" i="5"/>
  <c r="AG165" i="5"/>
  <c r="AF165" i="5"/>
  <c r="C83" i="4"/>
  <c r="C165" i="5"/>
  <c r="D83" i="4"/>
  <c r="E165" i="5"/>
  <c r="E83" i="4"/>
  <c r="F165" i="5"/>
  <c r="F83" i="4"/>
  <c r="H165" i="5"/>
  <c r="I165" i="5"/>
  <c r="L165" i="5"/>
  <c r="J83" i="4"/>
  <c r="N165" i="5"/>
  <c r="L83" i="4"/>
  <c r="Q165" i="5"/>
  <c r="M83" i="4"/>
  <c r="R165" i="5"/>
  <c r="T165" i="5"/>
  <c r="O83" i="4"/>
  <c r="U165" i="5"/>
  <c r="P83" i="4"/>
  <c r="W165" i="5"/>
  <c r="Q83" i="4"/>
  <c r="X165" i="5"/>
  <c r="S83" i="4"/>
  <c r="AA165" i="5"/>
  <c r="AI83" i="4"/>
  <c r="T83" i="4" a="1"/>
  <c r="T83" i="4"/>
  <c r="AC165" i="5"/>
  <c r="U83" i="4" a="1"/>
  <c r="U83" i="4"/>
  <c r="AD165" i="5"/>
  <c r="X83" i="4"/>
  <c r="AI165" i="5"/>
  <c r="Y83" i="4"/>
  <c r="AJ165" i="5"/>
  <c r="Z83" i="4"/>
  <c r="AL165" i="5"/>
  <c r="Z165" i="5"/>
  <c r="AN165" i="5"/>
  <c r="O166" i="5"/>
  <c r="B84" i="4"/>
  <c r="H84" i="4"/>
  <c r="K166" i="5"/>
  <c r="AG166" i="5"/>
  <c r="AF166" i="5"/>
  <c r="C84" i="4"/>
  <c r="C166" i="5"/>
  <c r="D84" i="4"/>
  <c r="E166" i="5"/>
  <c r="E84" i="4"/>
  <c r="F166" i="5"/>
  <c r="F84" i="4"/>
  <c r="H166" i="5"/>
  <c r="I166" i="5"/>
  <c r="I84" i="4"/>
  <c r="L166" i="5"/>
  <c r="J84" i="4"/>
  <c r="N166" i="5"/>
  <c r="L84" i="4"/>
  <c r="Q166" i="5"/>
  <c r="M84" i="4"/>
  <c r="R166" i="5"/>
  <c r="T166" i="5"/>
  <c r="O84" i="4"/>
  <c r="U166" i="5"/>
  <c r="P84" i="4"/>
  <c r="W166" i="5"/>
  <c r="Q84" i="4"/>
  <c r="X166" i="5"/>
  <c r="AA166" i="5"/>
  <c r="AI84" i="4"/>
  <c r="T84" i="4" a="1"/>
  <c r="T84" i="4"/>
  <c r="AC166" i="5"/>
  <c r="U84" i="4" a="1"/>
  <c r="U84" i="4"/>
  <c r="AD166" i="5"/>
  <c r="AI166" i="5"/>
  <c r="Y84" i="4"/>
  <c r="AJ166" i="5"/>
  <c r="Z84" i="4"/>
  <c r="AL166" i="5"/>
  <c r="Z166" i="5"/>
  <c r="AN166" i="5"/>
  <c r="AG167" i="5"/>
  <c r="AF167" i="5"/>
  <c r="B255" i="4"/>
  <c r="C255" i="4"/>
  <c r="C167" i="5"/>
  <c r="D255" i="4"/>
  <c r="E167" i="5"/>
  <c r="K167" i="5"/>
  <c r="L255" i="4"/>
  <c r="Q167" i="5"/>
  <c r="M255" i="4"/>
  <c r="R167" i="5"/>
  <c r="T167" i="5"/>
  <c r="U167" i="5"/>
  <c r="P255" i="4"/>
  <c r="W167" i="5"/>
  <c r="Q255" i="4"/>
  <c r="X167" i="5"/>
  <c r="S255" i="4"/>
  <c r="AA167" i="5"/>
  <c r="AI255" i="4"/>
  <c r="T255" i="4" a="1"/>
  <c r="T255" i="4"/>
  <c r="AC167" i="5"/>
  <c r="U255" i="4" a="1"/>
  <c r="U255" i="4"/>
  <c r="AD167" i="5"/>
  <c r="X255" i="4"/>
  <c r="AI167" i="5"/>
  <c r="Y255" i="4"/>
  <c r="AJ167" i="5"/>
  <c r="Z255" i="4"/>
  <c r="AL167" i="5"/>
  <c r="F167" i="5"/>
  <c r="H167" i="5"/>
  <c r="I167" i="5"/>
  <c r="L167" i="5"/>
  <c r="N167" i="5"/>
  <c r="O167" i="5"/>
  <c r="Z167" i="5"/>
  <c r="AN167" i="5"/>
  <c r="AG168" i="5"/>
  <c r="AF168" i="5"/>
  <c r="B282" i="4"/>
  <c r="C282" i="4"/>
  <c r="C168" i="5"/>
  <c r="D282" i="4"/>
  <c r="E168" i="5"/>
  <c r="K168" i="5"/>
  <c r="L282" i="4"/>
  <c r="Q168" i="5"/>
  <c r="M282" i="4"/>
  <c r="R168" i="5"/>
  <c r="T168" i="5"/>
  <c r="U168" i="5"/>
  <c r="P282" i="4"/>
  <c r="W168" i="5"/>
  <c r="Q282" i="4"/>
  <c r="X168" i="5"/>
  <c r="S282" i="4"/>
  <c r="AA168" i="5"/>
  <c r="AI282" i="4"/>
  <c r="T282" i="4" a="1"/>
  <c r="T282" i="4"/>
  <c r="AC168" i="5"/>
  <c r="U282" i="4" a="1"/>
  <c r="U282" i="4"/>
  <c r="AD168" i="5"/>
  <c r="X282" i="4"/>
  <c r="AI168" i="5"/>
  <c r="Y282" i="4"/>
  <c r="AJ168" i="5"/>
  <c r="Z282" i="4"/>
  <c r="AL168" i="5"/>
  <c r="F168" i="5"/>
  <c r="H168" i="5"/>
  <c r="I168" i="5"/>
  <c r="L168" i="5"/>
  <c r="N168" i="5"/>
  <c r="O168" i="5"/>
  <c r="Z168" i="5"/>
  <c r="AN168" i="5"/>
  <c r="AG169" i="5"/>
  <c r="AF169" i="5"/>
  <c r="B256" i="4"/>
  <c r="C256" i="4"/>
  <c r="C169" i="5"/>
  <c r="E169" i="5"/>
  <c r="K169" i="5"/>
  <c r="L256" i="4"/>
  <c r="Q169" i="5"/>
  <c r="M256" i="4"/>
  <c r="R169" i="5"/>
  <c r="T169" i="5"/>
  <c r="O256" i="4"/>
  <c r="U169" i="5"/>
  <c r="P256" i="4"/>
  <c r="W169" i="5"/>
  <c r="Q256" i="4"/>
  <c r="X169" i="5"/>
  <c r="S256" i="4"/>
  <c r="AA169" i="5"/>
  <c r="AI256" i="4"/>
  <c r="T256" i="4" a="1"/>
  <c r="T256" i="4"/>
  <c r="AC169" i="5"/>
  <c r="U256" i="4" a="1"/>
  <c r="U256" i="4"/>
  <c r="AD169" i="5"/>
  <c r="X256" i="4"/>
  <c r="AI169" i="5"/>
  <c r="Y256" i="4"/>
  <c r="AJ169" i="5"/>
  <c r="Z256" i="4"/>
  <c r="AL169" i="5"/>
  <c r="F169" i="5"/>
  <c r="H169" i="5"/>
  <c r="I169" i="5"/>
  <c r="L169" i="5"/>
  <c r="N169" i="5"/>
  <c r="O169" i="5"/>
  <c r="Z169" i="5"/>
  <c r="AN169" i="5"/>
  <c r="AG170" i="5"/>
  <c r="AF170" i="5"/>
  <c r="B87" i="4"/>
  <c r="C87" i="4"/>
  <c r="C170" i="5"/>
  <c r="D87" i="4"/>
  <c r="E170" i="5"/>
  <c r="H87" i="4"/>
  <c r="K170" i="5"/>
  <c r="L87" i="4"/>
  <c r="Q170" i="5"/>
  <c r="M87" i="4"/>
  <c r="R170" i="5"/>
  <c r="T170" i="5"/>
  <c r="O87" i="4"/>
  <c r="U170" i="5"/>
  <c r="P87" i="4"/>
  <c r="W170" i="5"/>
  <c r="Q87" i="4"/>
  <c r="X170" i="5"/>
  <c r="S87" i="4"/>
  <c r="AA170" i="5"/>
  <c r="AI87" i="4"/>
  <c r="T87" i="4" a="1"/>
  <c r="T87" i="4"/>
  <c r="AC170" i="5"/>
  <c r="U87" i="4" a="1"/>
  <c r="U87" i="4"/>
  <c r="AD170" i="5"/>
  <c r="X87" i="4"/>
  <c r="AI170" i="5"/>
  <c r="Y87" i="4"/>
  <c r="AJ170" i="5"/>
  <c r="Z87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292" i="4"/>
  <c r="C292" i="4"/>
  <c r="C172" i="5"/>
  <c r="D292" i="4"/>
  <c r="E172" i="5"/>
  <c r="K172" i="5"/>
  <c r="L292" i="4"/>
  <c r="Q172" i="5"/>
  <c r="M292" i="4"/>
  <c r="R172" i="5"/>
  <c r="T172" i="5"/>
  <c r="U172" i="5"/>
  <c r="P292" i="4"/>
  <c r="W172" i="5"/>
  <c r="Q292" i="4"/>
  <c r="X172" i="5"/>
  <c r="AA172" i="5"/>
  <c r="AI292" i="4"/>
  <c r="T292" i="4" a="1"/>
  <c r="T292" i="4"/>
  <c r="AC172" i="5"/>
  <c r="U292" i="4" a="1"/>
  <c r="U292" i="4"/>
  <c r="AD172" i="5"/>
  <c r="AI172" i="5"/>
  <c r="Y292" i="4"/>
  <c r="AJ172" i="5"/>
  <c r="Z292" i="4"/>
  <c r="AL172" i="5"/>
  <c r="F172" i="5"/>
  <c r="H172" i="5"/>
  <c r="I172" i="5"/>
  <c r="L172" i="5"/>
  <c r="N172" i="5"/>
  <c r="O172" i="5"/>
  <c r="Z172" i="5"/>
  <c r="AN172" i="5"/>
  <c r="B23" i="4"/>
  <c r="S23" i="4"/>
  <c r="AA173" i="5"/>
  <c r="P23" i="4"/>
  <c r="W173" i="5"/>
  <c r="O173" i="5"/>
  <c r="K173" i="5"/>
  <c r="AG173" i="5"/>
  <c r="AF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O23" i="4"/>
  <c r="U173" i="5"/>
  <c r="Q23" i="4"/>
  <c r="X173" i="5"/>
  <c r="R23" i="4"/>
  <c r="Z173" i="5"/>
  <c r="AI23" i="4"/>
  <c r="T23" i="4" a="1"/>
  <c r="T23" i="4"/>
  <c r="AC173" i="5"/>
  <c r="U23" i="4" a="1"/>
  <c r="U23" i="4"/>
  <c r="AD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7" i="4"/>
  <c r="K174" i="5"/>
  <c r="AG174" i="5"/>
  <c r="AF174" i="5"/>
  <c r="C7" i="4"/>
  <c r="C174" i="5"/>
  <c r="D7" i="4"/>
  <c r="E174" i="5"/>
  <c r="E7" i="4"/>
  <c r="F174" i="5"/>
  <c r="F7" i="4"/>
  <c r="H174" i="5"/>
  <c r="I174" i="5"/>
  <c r="I7" i="4"/>
  <c r="L174" i="5"/>
  <c r="J7" i="4"/>
  <c r="N174" i="5"/>
  <c r="L7" i="4"/>
  <c r="Q174" i="5"/>
  <c r="M7" i="4"/>
  <c r="R174" i="5"/>
  <c r="T174" i="5"/>
  <c r="U174" i="5"/>
  <c r="Q7" i="4"/>
  <c r="X174" i="5"/>
  <c r="R7" i="4"/>
  <c r="Z174" i="5"/>
  <c r="AI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AG175" i="5"/>
  <c r="AF175" i="5"/>
  <c r="C161" i="4"/>
  <c r="C175" i="5"/>
  <c r="D161" i="4"/>
  <c r="E175" i="5"/>
  <c r="L175" i="5"/>
  <c r="N175" i="5"/>
  <c r="L161" i="4"/>
  <c r="Q175" i="5"/>
  <c r="O161" i="4"/>
  <c r="U175" i="5"/>
  <c r="Q161" i="4"/>
  <c r="X175" i="5"/>
  <c r="R161" i="4"/>
  <c r="Z175" i="5"/>
  <c r="AI161" i="4"/>
  <c r="T161" i="4" a="1"/>
  <c r="T161" i="4"/>
  <c r="AC175" i="5"/>
  <c r="AD175" i="5"/>
  <c r="X161" i="4"/>
  <c r="AI175" i="5"/>
  <c r="Y161" i="4"/>
  <c r="AJ175" i="5"/>
  <c r="Z161" i="4"/>
  <c r="AL175" i="5"/>
  <c r="F175" i="5"/>
  <c r="R175" i="5"/>
  <c r="T175" i="5"/>
  <c r="H175" i="5"/>
  <c r="I175" i="5"/>
  <c r="AN175" i="5"/>
  <c r="AA176" i="5"/>
  <c r="P162" i="4"/>
  <c r="W176" i="5"/>
  <c r="O176" i="5"/>
  <c r="K176" i="5"/>
  <c r="AG176" i="5"/>
  <c r="AF176" i="5"/>
  <c r="C162" i="4"/>
  <c r="C176" i="5"/>
  <c r="D162" i="4"/>
  <c r="E176" i="5"/>
  <c r="L176" i="5"/>
  <c r="N176" i="5"/>
  <c r="L162" i="4"/>
  <c r="Q176" i="5"/>
  <c r="O162" i="4"/>
  <c r="U176" i="5"/>
  <c r="Q162" i="4"/>
  <c r="X176" i="5"/>
  <c r="R162" i="4"/>
  <c r="Z176" i="5"/>
  <c r="AI162" i="4"/>
  <c r="T162" i="4" a="1"/>
  <c r="T162" i="4"/>
  <c r="AC176" i="5"/>
  <c r="AD176" i="5"/>
  <c r="X162" i="4"/>
  <c r="AI176" i="5"/>
  <c r="Y162" i="4"/>
  <c r="AJ176" i="5"/>
  <c r="Z162" i="4"/>
  <c r="AL176" i="5"/>
  <c r="F176" i="5"/>
  <c r="R176" i="5"/>
  <c r="T176" i="5"/>
  <c r="H176" i="5"/>
  <c r="I176" i="5"/>
  <c r="AN176" i="5"/>
  <c r="AA177" i="5"/>
  <c r="P163" i="4"/>
  <c r="W177" i="5"/>
  <c r="O177" i="5"/>
  <c r="H163" i="4"/>
  <c r="K177" i="5"/>
  <c r="AG177" i="5"/>
  <c r="AF177" i="5"/>
  <c r="C163" i="4"/>
  <c r="C177" i="5"/>
  <c r="D163" i="4"/>
  <c r="E177" i="5"/>
  <c r="L177" i="5"/>
  <c r="J163" i="4"/>
  <c r="N177" i="5"/>
  <c r="L163" i="4"/>
  <c r="Q177" i="5"/>
  <c r="M163" i="4"/>
  <c r="R177" i="5"/>
  <c r="T177" i="5"/>
  <c r="O163" i="4"/>
  <c r="U177" i="5"/>
  <c r="Q163" i="4"/>
  <c r="X177" i="5"/>
  <c r="R163" i="4"/>
  <c r="Z177" i="5"/>
  <c r="AI163" i="4"/>
  <c r="T163" i="4" a="1"/>
  <c r="T163" i="4"/>
  <c r="AC177" i="5"/>
  <c r="AD177" i="5"/>
  <c r="X163" i="4"/>
  <c r="AI177" i="5"/>
  <c r="Y163" i="4"/>
  <c r="AJ177" i="5"/>
  <c r="Z163" i="4"/>
  <c r="AL177" i="5"/>
  <c r="F177" i="5"/>
  <c r="H177" i="5"/>
  <c r="I177" i="5"/>
  <c r="AN177" i="5"/>
  <c r="AG178" i="5"/>
  <c r="AF178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I111" i="4"/>
  <c r="T111" i="4" a="1"/>
  <c r="T111" i="4"/>
  <c r="AC178" i="5"/>
  <c r="U111" i="4" a="1"/>
  <c r="U111" i="4"/>
  <c r="AD178" i="5"/>
  <c r="X111" i="4"/>
  <c r="AI178" i="5"/>
  <c r="Y111" i="4"/>
  <c r="AJ178" i="5"/>
  <c r="Z111" i="4"/>
  <c r="AL178" i="5"/>
  <c r="F178" i="5"/>
  <c r="L178" i="5"/>
  <c r="N178" i="5"/>
  <c r="O178" i="5"/>
  <c r="Z178" i="5"/>
  <c r="H178" i="5"/>
  <c r="I178" i="5"/>
  <c r="AN178" i="5"/>
  <c r="AG179" i="5"/>
  <c r="AF179" i="5"/>
  <c r="B112" i="4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O112" i="4"/>
  <c r="U179" i="5"/>
  <c r="P112" i="4"/>
  <c r="W179" i="5"/>
  <c r="Q112" i="4"/>
  <c r="X179" i="5"/>
  <c r="S112" i="4"/>
  <c r="AA179" i="5"/>
  <c r="AI112" i="4"/>
  <c r="T112" i="4" a="1"/>
  <c r="T112" i="4"/>
  <c r="AC179" i="5"/>
  <c r="U112" i="4" a="1"/>
  <c r="U112" i="4"/>
  <c r="AD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AG180" i="5"/>
  <c r="AF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I113" i="4"/>
  <c r="T113" i="4" a="1"/>
  <c r="T113" i="4"/>
  <c r="AC180" i="5"/>
  <c r="U113" i="4" a="1"/>
  <c r="U113" i="4"/>
  <c r="AD180" i="5"/>
  <c r="AI180" i="5"/>
  <c r="Y113" i="4"/>
  <c r="AJ180" i="5"/>
  <c r="Z113" i="4"/>
  <c r="AL180" i="5"/>
  <c r="AN180" i="5"/>
  <c r="B24" i="4"/>
  <c r="S24" i="4"/>
  <c r="AA181" i="5"/>
  <c r="P24" i="4"/>
  <c r="W181" i="5"/>
  <c r="O181" i="5"/>
  <c r="H24" i="4"/>
  <c r="K181" i="5"/>
  <c r="AG181" i="5"/>
  <c r="AF181" i="5"/>
  <c r="C24" i="4"/>
  <c r="C181" i="5"/>
  <c r="D24" i="4"/>
  <c r="E181" i="5"/>
  <c r="E24" i="4"/>
  <c r="F181" i="5"/>
  <c r="F24" i="4"/>
  <c r="H181" i="5"/>
  <c r="I181" i="5"/>
  <c r="I24" i="4"/>
  <c r="L181" i="5"/>
  <c r="J24" i="4"/>
  <c r="N181" i="5"/>
  <c r="L24" i="4"/>
  <c r="Q181" i="5"/>
  <c r="M24" i="4"/>
  <c r="R181" i="5"/>
  <c r="T181" i="5"/>
  <c r="U181" i="5"/>
  <c r="Q24" i="4"/>
  <c r="X181" i="5"/>
  <c r="R24" i="4"/>
  <c r="Z181" i="5"/>
  <c r="AI24" i="4"/>
  <c r="T24" i="4" a="1"/>
  <c r="T24" i="4"/>
  <c r="AC181" i="5"/>
  <c r="U24" i="4" a="1"/>
  <c r="U24" i="4"/>
  <c r="AD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AG182" i="5"/>
  <c r="AF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5" i="4"/>
  <c r="Z182" i="5"/>
  <c r="AI25" i="4"/>
  <c r="T25" i="4" a="1"/>
  <c r="T25" i="4"/>
  <c r="AC182" i="5"/>
  <c r="U25" i="4" a="1"/>
  <c r="U25" i="4"/>
  <c r="AD182" i="5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AG183" i="5"/>
  <c r="AF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I26" i="4"/>
  <c r="T26" i="4" a="1"/>
  <c r="T26" i="4"/>
  <c r="AC183" i="5"/>
  <c r="U26" i="4" a="1"/>
  <c r="U26" i="4"/>
  <c r="AD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AG184" i="5"/>
  <c r="AF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I130" i="4"/>
  <c r="T130" i="4" a="1"/>
  <c r="T130" i="4"/>
  <c r="AC184" i="5"/>
  <c r="U130" i="4" a="1"/>
  <c r="U130" i="4"/>
  <c r="AD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AG185" i="5"/>
  <c r="AF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O131" i="4"/>
  <c r="U185" i="5"/>
  <c r="Q131" i="4"/>
  <c r="X185" i="5"/>
  <c r="R131" i="4"/>
  <c r="Z185" i="5"/>
  <c r="AI131" i="4"/>
  <c r="T131" i="4" a="1"/>
  <c r="T131" i="4"/>
  <c r="AC185" i="5"/>
  <c r="U131" i="4" a="1"/>
  <c r="U131" i="4"/>
  <c r="AD185" i="5"/>
  <c r="AI185" i="5"/>
  <c r="Y131" i="4"/>
  <c r="AJ185" i="5"/>
  <c r="Z131" i="4"/>
  <c r="AL185" i="5"/>
  <c r="AN185" i="5"/>
  <c r="S132" i="4"/>
  <c r="AA186" i="5"/>
  <c r="P132" i="4"/>
  <c r="W186" i="5"/>
  <c r="O186" i="5"/>
  <c r="K186" i="5"/>
  <c r="AG186" i="5"/>
  <c r="AF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132" i="4"/>
  <c r="Z186" i="5"/>
  <c r="AI132" i="4"/>
  <c r="T132" i="4" a="1"/>
  <c r="T132" i="4"/>
  <c r="AC186" i="5"/>
  <c r="U132" i="4" a="1"/>
  <c r="U132" i="4"/>
  <c r="AD186" i="5"/>
  <c r="X132" i="4"/>
  <c r="AI186" i="5"/>
  <c r="Y132" i="4"/>
  <c r="AJ186" i="5"/>
  <c r="Z132" i="4"/>
  <c r="AL186" i="5"/>
  <c r="AN186" i="5"/>
  <c r="S133" i="4"/>
  <c r="AA187" i="5"/>
  <c r="P133" i="4"/>
  <c r="W187" i="5"/>
  <c r="O187" i="5"/>
  <c r="K187" i="5"/>
  <c r="AG187" i="5"/>
  <c r="AF187" i="5"/>
  <c r="C133" i="4"/>
  <c r="C187" i="5"/>
  <c r="D133" i="4"/>
  <c r="E187" i="5"/>
  <c r="E133" i="4"/>
  <c r="F187" i="5"/>
  <c r="F133" i="4"/>
  <c r="H187" i="5"/>
  <c r="I187" i="5"/>
  <c r="I133" i="4"/>
  <c r="L187" i="5"/>
  <c r="J133" i="4"/>
  <c r="N187" i="5"/>
  <c r="L133" i="4"/>
  <c r="Q187" i="5"/>
  <c r="M133" i="4"/>
  <c r="R187" i="5"/>
  <c r="T187" i="5"/>
  <c r="U187" i="5"/>
  <c r="Q133" i="4"/>
  <c r="X187" i="5"/>
  <c r="R133" i="4"/>
  <c r="Z187" i="5"/>
  <c r="AI133" i="4"/>
  <c r="T133" i="4" a="1"/>
  <c r="T133" i="4"/>
  <c r="AC187" i="5"/>
  <c r="U133" i="4" a="1"/>
  <c r="U133" i="4"/>
  <c r="AD187" i="5"/>
  <c r="AI187" i="5"/>
  <c r="Y133" i="4"/>
  <c r="AJ187" i="5"/>
  <c r="Z133" i="4"/>
  <c r="AL187" i="5"/>
  <c r="AN187" i="5"/>
  <c r="AA188" i="5"/>
  <c r="P164" i="4"/>
  <c r="W188" i="5"/>
  <c r="O188" i="5"/>
  <c r="K188" i="5"/>
  <c r="AG188" i="5"/>
  <c r="AF188" i="5"/>
  <c r="C164" i="4"/>
  <c r="C188" i="5"/>
  <c r="D164" i="4"/>
  <c r="E188" i="5"/>
  <c r="L188" i="5"/>
  <c r="N188" i="5"/>
  <c r="L164" i="4"/>
  <c r="Q188" i="5"/>
  <c r="O164" i="4"/>
  <c r="U188" i="5"/>
  <c r="Q164" i="4"/>
  <c r="X188" i="5"/>
  <c r="R164" i="4"/>
  <c r="Z188" i="5"/>
  <c r="AI164" i="4"/>
  <c r="T164" i="4" a="1"/>
  <c r="T164" i="4"/>
  <c r="AC188" i="5"/>
  <c r="AD188" i="5"/>
  <c r="X164" i="4"/>
  <c r="AI188" i="5"/>
  <c r="Y164" i="4"/>
  <c r="AJ188" i="5"/>
  <c r="Z164" i="4"/>
  <c r="AL188" i="5"/>
  <c r="R188" i="5"/>
  <c r="T188" i="5"/>
  <c r="F188" i="5"/>
  <c r="H188" i="5"/>
  <c r="I188" i="5"/>
  <c r="AN188" i="5"/>
  <c r="AG189" i="5"/>
  <c r="AF189" i="5"/>
  <c r="C165" i="4"/>
  <c r="C189" i="5"/>
  <c r="D165" i="4"/>
  <c r="E189" i="5"/>
  <c r="K189" i="5"/>
  <c r="L165" i="4"/>
  <c r="Q189" i="5"/>
  <c r="M165" i="4"/>
  <c r="R189" i="5"/>
  <c r="T189" i="5"/>
  <c r="O165" i="4"/>
  <c r="U189" i="5"/>
  <c r="P165" i="4"/>
  <c r="W189" i="5"/>
  <c r="Q165" i="4"/>
  <c r="X189" i="5"/>
  <c r="S165" i="4"/>
  <c r="AA189" i="5"/>
  <c r="AI165" i="4"/>
  <c r="T165" i="4" a="1"/>
  <c r="T165" i="4"/>
  <c r="AC189" i="5"/>
  <c r="U165" i="4" a="1"/>
  <c r="U165" i="4"/>
  <c r="AD189" i="5"/>
  <c r="X165" i="4"/>
  <c r="AI189" i="5"/>
  <c r="Y165" i="4"/>
  <c r="AJ189" i="5"/>
  <c r="Z165" i="4"/>
  <c r="AL189" i="5"/>
  <c r="F189" i="5"/>
  <c r="H189" i="5"/>
  <c r="I189" i="5"/>
  <c r="L189" i="5"/>
  <c r="N189" i="5"/>
  <c r="O189" i="5"/>
  <c r="Z189" i="5"/>
  <c r="AN189" i="5"/>
  <c r="AG190" i="5"/>
  <c r="AF190" i="5"/>
  <c r="C166" i="4"/>
  <c r="C190" i="5"/>
  <c r="T190" i="5"/>
  <c r="O166" i="4"/>
  <c r="U190" i="5"/>
  <c r="P166" i="4"/>
  <c r="W190" i="5"/>
  <c r="Q166" i="4"/>
  <c r="X190" i="5"/>
  <c r="AA190" i="5"/>
  <c r="AI166" i="4"/>
  <c r="T166" i="4" a="1"/>
  <c r="T166" i="4"/>
  <c r="AC190" i="5"/>
  <c r="U166" i="4" a="1"/>
  <c r="U166" i="4"/>
  <c r="AD190" i="5"/>
  <c r="X166" i="4"/>
  <c r="AI190" i="5"/>
  <c r="Y166" i="4"/>
  <c r="AJ190" i="5"/>
  <c r="Z166" i="4"/>
  <c r="AL190" i="5"/>
  <c r="F190" i="5"/>
  <c r="H190" i="5"/>
  <c r="I190" i="5"/>
  <c r="L190" i="5"/>
  <c r="N190" i="5"/>
  <c r="O190" i="5"/>
  <c r="Z190" i="5"/>
  <c r="AN190" i="5"/>
  <c r="AG191" i="5"/>
  <c r="AF191" i="5"/>
  <c r="C167" i="4"/>
  <c r="C191" i="5"/>
  <c r="T191" i="5"/>
  <c r="O167" i="4"/>
  <c r="U191" i="5"/>
  <c r="P167" i="4"/>
  <c r="W191" i="5"/>
  <c r="Q167" i="4"/>
  <c r="X191" i="5"/>
  <c r="AA191" i="5"/>
  <c r="AI167" i="4"/>
  <c r="T167" i="4" a="1"/>
  <c r="T167" i="4"/>
  <c r="AC191" i="5"/>
  <c r="U167" i="4" a="1"/>
  <c r="U167" i="4"/>
  <c r="AD191" i="5"/>
  <c r="X167" i="4"/>
  <c r="AI191" i="5"/>
  <c r="Y167" i="4"/>
  <c r="AJ191" i="5"/>
  <c r="Z167" i="4"/>
  <c r="AL191" i="5"/>
  <c r="F191" i="5"/>
  <c r="H191" i="5"/>
  <c r="I191" i="5"/>
  <c r="L191" i="5"/>
  <c r="N191" i="5"/>
  <c r="O191" i="5"/>
  <c r="Z191" i="5"/>
  <c r="AN191" i="5"/>
  <c r="AG192" i="5"/>
  <c r="AF192" i="5"/>
  <c r="C168" i="4"/>
  <c r="C192" i="5"/>
  <c r="D168" i="4"/>
  <c r="E192" i="5"/>
  <c r="H168" i="4"/>
  <c r="K192" i="5"/>
  <c r="L168" i="4"/>
  <c r="Q192" i="5"/>
  <c r="M168" i="4"/>
  <c r="R192" i="5"/>
  <c r="T192" i="5"/>
  <c r="O168" i="4"/>
  <c r="U192" i="5"/>
  <c r="P168" i="4"/>
  <c r="W192" i="5"/>
  <c r="Q168" i="4"/>
  <c r="X192" i="5"/>
  <c r="AA192" i="5"/>
  <c r="AI168" i="4"/>
  <c r="T168" i="4" a="1"/>
  <c r="T168" i="4"/>
  <c r="AC192" i="5"/>
  <c r="U168" i="4" a="1"/>
  <c r="U168" i="4"/>
  <c r="AD192" i="5"/>
  <c r="X168" i="4"/>
  <c r="AI192" i="5"/>
  <c r="Y168" i="4"/>
  <c r="AJ192" i="5"/>
  <c r="Z168" i="4"/>
  <c r="AL192" i="5"/>
  <c r="F192" i="5"/>
  <c r="H192" i="5"/>
  <c r="I192" i="5"/>
  <c r="L192" i="5"/>
  <c r="N192" i="5"/>
  <c r="O192" i="5"/>
  <c r="Z192" i="5"/>
  <c r="AN192" i="5"/>
  <c r="AG193" i="5"/>
  <c r="AF193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I195" i="4"/>
  <c r="T195" i="4" a="1"/>
  <c r="T195" i="4"/>
  <c r="AC193" i="5"/>
  <c r="U195" i="4" a="1"/>
  <c r="U195" i="4"/>
  <c r="AD193" i="5"/>
  <c r="X195" i="4"/>
  <c r="AI193" i="5"/>
  <c r="Y195" i="4"/>
  <c r="AJ193" i="5"/>
  <c r="Z195" i="4"/>
  <c r="AL193" i="5"/>
  <c r="F193" i="5"/>
  <c r="H193" i="5"/>
  <c r="I193" i="5"/>
  <c r="L193" i="5"/>
  <c r="N193" i="5"/>
  <c r="O193" i="5"/>
  <c r="Z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I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F194" i="5"/>
  <c r="H194" i="5"/>
  <c r="I194" i="5"/>
  <c r="L194" i="5"/>
  <c r="N194" i="5"/>
  <c r="O194" i="5"/>
  <c r="Z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I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F195" i="5"/>
  <c r="H195" i="5"/>
  <c r="I195" i="5"/>
  <c r="L195" i="5"/>
  <c r="N195" i="5"/>
  <c r="O195" i="5"/>
  <c r="Z195" i="5"/>
  <c r="AN195" i="5"/>
  <c r="AG196" i="5"/>
  <c r="AF196" i="5"/>
  <c r="C225" i="4"/>
  <c r="C196" i="5"/>
  <c r="T196" i="5"/>
  <c r="O225" i="4"/>
  <c r="U196" i="5"/>
  <c r="P225" i="4"/>
  <c r="W196" i="5"/>
  <c r="Q225" i="4"/>
  <c r="X196" i="5"/>
  <c r="S225" i="4"/>
  <c r="AA196" i="5"/>
  <c r="AI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L196" i="5"/>
  <c r="N196" i="5"/>
  <c r="O196" i="5"/>
  <c r="Z196" i="5"/>
  <c r="AN196" i="5"/>
  <c r="AG197" i="5"/>
  <c r="AF197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I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Z197" i="5"/>
  <c r="AN197" i="5"/>
  <c r="AG198" i="5"/>
  <c r="AF198" i="5"/>
  <c r="C227" i="4"/>
  <c r="C198" i="5"/>
  <c r="D227" i="4"/>
  <c r="E198" i="5"/>
  <c r="E227" i="4"/>
  <c r="F198" i="5"/>
  <c r="F227" i="4"/>
  <c r="H198" i="5"/>
  <c r="H227" i="4"/>
  <c r="K198" i="5"/>
  <c r="L227" i="4"/>
  <c r="Q198" i="5"/>
  <c r="M227" i="4"/>
  <c r="R198" i="5"/>
  <c r="T198" i="5"/>
  <c r="O227" i="4"/>
  <c r="U198" i="5"/>
  <c r="P227" i="4"/>
  <c r="W198" i="5"/>
  <c r="Q227" i="4"/>
  <c r="X198" i="5"/>
  <c r="S227" i="4"/>
  <c r="AA198" i="5"/>
  <c r="AI227" i="4"/>
  <c r="T227" i="4" a="1"/>
  <c r="T227" i="4"/>
  <c r="AC198" i="5"/>
  <c r="U227" i="4" a="1"/>
  <c r="U227" i="4"/>
  <c r="AD198" i="5"/>
  <c r="X227" i="4"/>
  <c r="AI198" i="5"/>
  <c r="Y227" i="4"/>
  <c r="AJ198" i="5"/>
  <c r="Z227" i="4"/>
  <c r="AL198" i="5"/>
  <c r="L198" i="5"/>
  <c r="N198" i="5"/>
  <c r="O198" i="5"/>
  <c r="Z198" i="5"/>
  <c r="AN198" i="5"/>
  <c r="AG199" i="5"/>
  <c r="AF199" i="5"/>
  <c r="B196" i="4"/>
  <c r="C196" i="4"/>
  <c r="C199" i="5"/>
  <c r="E199" i="5"/>
  <c r="F199" i="5"/>
  <c r="H199" i="5"/>
  <c r="I199" i="5"/>
  <c r="H196" i="4"/>
  <c r="K199" i="5"/>
  <c r="L196" i="4"/>
  <c r="Q199" i="5"/>
  <c r="M196" i="4"/>
  <c r="R199" i="5"/>
  <c r="T199" i="5"/>
  <c r="O196" i="4"/>
  <c r="U199" i="5"/>
  <c r="P196" i="4"/>
  <c r="W199" i="5"/>
  <c r="Q196" i="4"/>
  <c r="X199" i="5"/>
  <c r="S196" i="4"/>
  <c r="AA199" i="5"/>
  <c r="AI196" i="4"/>
  <c r="T196" i="4" a="1"/>
  <c r="T196" i="4"/>
  <c r="AC199" i="5"/>
  <c r="U196" i="4" a="1"/>
  <c r="U196" i="4"/>
  <c r="AD199" i="5"/>
  <c r="X196" i="4"/>
  <c r="AI199" i="5"/>
  <c r="Y196" i="4"/>
  <c r="AJ199" i="5"/>
  <c r="Z196" i="4"/>
  <c r="AL199" i="5"/>
  <c r="L199" i="5"/>
  <c r="N199" i="5"/>
  <c r="O199" i="5"/>
  <c r="Z199" i="5"/>
  <c r="AN199" i="5"/>
  <c r="AG200" i="5"/>
  <c r="AF200" i="5"/>
  <c r="B89" i="4"/>
  <c r="C89" i="4"/>
  <c r="C200" i="5"/>
  <c r="D89" i="4"/>
  <c r="E200" i="5"/>
  <c r="L89" i="4"/>
  <c r="Q200" i="5"/>
  <c r="M89" i="4"/>
  <c r="R200" i="5"/>
  <c r="T200" i="5"/>
  <c r="O89" i="4"/>
  <c r="U200" i="5"/>
  <c r="P89" i="4"/>
  <c r="W200" i="5"/>
  <c r="Q89" i="4"/>
  <c r="X200" i="5"/>
  <c r="S89" i="4"/>
  <c r="AA200" i="5"/>
  <c r="AI89" i="4"/>
  <c r="T89" i="4" a="1"/>
  <c r="T89" i="4"/>
  <c r="AC200" i="5"/>
  <c r="U89" i="4" a="1"/>
  <c r="U89" i="4"/>
  <c r="AD200" i="5"/>
  <c r="X89" i="4"/>
  <c r="AI200" i="5"/>
  <c r="Y89" i="4"/>
  <c r="AJ200" i="5"/>
  <c r="Z89" i="4"/>
  <c r="AL200" i="5"/>
  <c r="L200" i="5"/>
  <c r="N200" i="5"/>
  <c r="O200" i="5"/>
  <c r="F200" i="5"/>
  <c r="H200" i="5"/>
  <c r="I200" i="5"/>
  <c r="Z200" i="5"/>
  <c r="AN200" i="5"/>
  <c r="AG201" i="5"/>
  <c r="AF201" i="5"/>
  <c r="C176" i="4"/>
  <c r="C201" i="5"/>
  <c r="D176" i="4"/>
  <c r="E201" i="5"/>
  <c r="K201" i="5"/>
  <c r="L176" i="4"/>
  <c r="Q201" i="5"/>
  <c r="M176" i="4"/>
  <c r="R201" i="5"/>
  <c r="N176" i="4"/>
  <c r="T201" i="5"/>
  <c r="O176" i="4"/>
  <c r="U201" i="5"/>
  <c r="P176" i="4"/>
  <c r="W201" i="5"/>
  <c r="Q176" i="4"/>
  <c r="X201" i="5"/>
  <c r="S176" i="4"/>
  <c r="AA201" i="5"/>
  <c r="AI176" i="4"/>
  <c r="T176" i="4" a="1"/>
  <c r="T176" i="4"/>
  <c r="AC201" i="5"/>
  <c r="U176" i="4" a="1"/>
  <c r="U176" i="4"/>
  <c r="AD201" i="5"/>
  <c r="X176" i="4"/>
  <c r="AI201" i="5"/>
  <c r="Y176" i="4"/>
  <c r="AJ201" i="5"/>
  <c r="Z176" i="4"/>
  <c r="AL201" i="5"/>
  <c r="L201" i="5"/>
  <c r="N201" i="5"/>
  <c r="O201" i="5"/>
  <c r="F201" i="5"/>
  <c r="H201" i="5"/>
  <c r="I201" i="5"/>
  <c r="Z201" i="5"/>
  <c r="AN201" i="5"/>
  <c r="AG202" i="5"/>
  <c r="AF202" i="5"/>
  <c r="C177" i="4"/>
  <c r="C202" i="5"/>
  <c r="D177" i="4"/>
  <c r="E202" i="5"/>
  <c r="K202" i="5"/>
  <c r="I177" i="4"/>
  <c r="L202" i="5"/>
  <c r="J177" i="4"/>
  <c r="N202" i="5"/>
  <c r="O202" i="5"/>
  <c r="L177" i="4"/>
  <c r="Q202" i="5"/>
  <c r="M177" i="4"/>
  <c r="R202" i="5"/>
  <c r="N177" i="4"/>
  <c r="T202" i="5"/>
  <c r="O177" i="4"/>
  <c r="U202" i="5"/>
  <c r="P177" i="4"/>
  <c r="W202" i="5"/>
  <c r="Q177" i="4"/>
  <c r="X202" i="5"/>
  <c r="S177" i="4"/>
  <c r="AA202" i="5"/>
  <c r="AI177" i="4"/>
  <c r="T177" i="4" a="1"/>
  <c r="T177" i="4"/>
  <c r="AC202" i="5"/>
  <c r="U177" i="4" a="1"/>
  <c r="U177" i="4"/>
  <c r="AD202" i="5"/>
  <c r="X177" i="4"/>
  <c r="AI202" i="5"/>
  <c r="Y177" i="4"/>
  <c r="AJ202" i="5"/>
  <c r="Z177" i="4"/>
  <c r="AL202" i="5"/>
  <c r="F202" i="5"/>
  <c r="H202" i="5"/>
  <c r="I202" i="5"/>
  <c r="Z202" i="5"/>
  <c r="AN202" i="5"/>
  <c r="AG203" i="5"/>
  <c r="AF203" i="5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I137" i="4"/>
  <c r="T137" i="4" a="1"/>
  <c r="T137" i="4"/>
  <c r="AC203" i="5"/>
  <c r="U137" i="4" a="1"/>
  <c r="U137" i="4"/>
  <c r="AD203" i="5"/>
  <c r="X137" i="4"/>
  <c r="AI203" i="5"/>
  <c r="Y137" i="4"/>
  <c r="AJ203" i="5"/>
  <c r="Z137" i="4"/>
  <c r="AL203" i="5"/>
  <c r="L203" i="5"/>
  <c r="N203" i="5"/>
  <c r="O203" i="5"/>
  <c r="F203" i="5"/>
  <c r="H203" i="5"/>
  <c r="I203" i="5"/>
  <c r="Z203" i="5"/>
  <c r="AN203" i="5"/>
  <c r="AG204" i="5"/>
  <c r="AF204" i="5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I138" i="4"/>
  <c r="T138" i="4" a="1"/>
  <c r="T138" i="4"/>
  <c r="AC204" i="5"/>
  <c r="U138" i="4" a="1"/>
  <c r="U138" i="4"/>
  <c r="AD204" i="5"/>
  <c r="X138" i="4"/>
  <c r="AI204" i="5"/>
  <c r="Y138" i="4"/>
  <c r="AJ204" i="5"/>
  <c r="Z138" i="4"/>
  <c r="AL204" i="5"/>
  <c r="L204" i="5"/>
  <c r="N204" i="5"/>
  <c r="O204" i="5"/>
  <c r="F204" i="5"/>
  <c r="H204" i="5"/>
  <c r="I204" i="5"/>
  <c r="Z204" i="5"/>
  <c r="AN204" i="5"/>
  <c r="AG205" i="5"/>
  <c r="AF205" i="5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139" i="4"/>
  <c r="T205" i="5"/>
  <c r="O139" i="4"/>
  <c r="U205" i="5"/>
  <c r="P139" i="4"/>
  <c r="W205" i="5"/>
  <c r="Q139" i="4"/>
  <c r="X205" i="5"/>
  <c r="S139" i="4"/>
  <c r="AA205" i="5"/>
  <c r="AI139" i="4"/>
  <c r="T139" i="4" a="1"/>
  <c r="T139" i="4"/>
  <c r="AC205" i="5"/>
  <c r="U139" i="4" a="1"/>
  <c r="U139" i="4"/>
  <c r="AD205" i="5"/>
  <c r="X139" i="4"/>
  <c r="AI205" i="5"/>
  <c r="Y139" i="4"/>
  <c r="AJ205" i="5"/>
  <c r="Z139" i="4"/>
  <c r="AL205" i="5"/>
  <c r="F205" i="5"/>
  <c r="H205" i="5"/>
  <c r="I205" i="5"/>
  <c r="Z205" i="5"/>
  <c r="AN205" i="5"/>
  <c r="AG206" i="5"/>
  <c r="AF206" i="5"/>
  <c r="C140" i="4"/>
  <c r="C206" i="5"/>
  <c r="D140" i="4"/>
  <c r="E206" i="5"/>
  <c r="K206" i="5"/>
  <c r="L140" i="4"/>
  <c r="Q206" i="5"/>
  <c r="M140" i="4"/>
  <c r="R206" i="5"/>
  <c r="N140" i="4"/>
  <c r="T206" i="5"/>
  <c r="O140" i="4"/>
  <c r="U206" i="5"/>
  <c r="P140" i="4"/>
  <c r="W206" i="5"/>
  <c r="Q140" i="4"/>
  <c r="X206" i="5"/>
  <c r="S140" i="4"/>
  <c r="AA206" i="5"/>
  <c r="AI140" i="4"/>
  <c r="T140" i="4" a="1"/>
  <c r="T140" i="4"/>
  <c r="AC206" i="5"/>
  <c r="U140" i="4" a="1"/>
  <c r="U140" i="4"/>
  <c r="AD206" i="5"/>
  <c r="X140" i="4"/>
  <c r="AI206" i="5"/>
  <c r="Y140" i="4"/>
  <c r="AJ206" i="5"/>
  <c r="Z140" i="4"/>
  <c r="AL206" i="5"/>
  <c r="L206" i="5"/>
  <c r="N206" i="5"/>
  <c r="O206" i="5"/>
  <c r="F206" i="5"/>
  <c r="H206" i="5"/>
  <c r="I206" i="5"/>
  <c r="Z206" i="5"/>
  <c r="AN206" i="5"/>
  <c r="AG207" i="5"/>
  <c r="AF207" i="5"/>
  <c r="B94" i="4"/>
  <c r="C94" i="4"/>
  <c r="C207" i="5"/>
  <c r="D94" i="4"/>
  <c r="E207" i="5"/>
  <c r="H94" i="4"/>
  <c r="K207" i="5"/>
  <c r="I94" i="4"/>
  <c r="L207" i="5"/>
  <c r="J94" i="4"/>
  <c r="N207" i="5"/>
  <c r="O207" i="5"/>
  <c r="L94" i="4"/>
  <c r="Q207" i="5"/>
  <c r="M94" i="4"/>
  <c r="R207" i="5"/>
  <c r="N94" i="4"/>
  <c r="T207" i="5"/>
  <c r="O94" i="4"/>
  <c r="U207" i="5"/>
  <c r="P94" i="4"/>
  <c r="W207" i="5"/>
  <c r="Q94" i="4"/>
  <c r="X207" i="5"/>
  <c r="S94" i="4"/>
  <c r="AA207" i="5"/>
  <c r="X94" i="4"/>
  <c r="AI207" i="5"/>
  <c r="Y94" i="4"/>
  <c r="AJ207" i="5"/>
  <c r="Z94" i="4"/>
  <c r="AL207" i="5"/>
  <c r="F207" i="5"/>
  <c r="H207" i="5"/>
  <c r="I207" i="5"/>
  <c r="Z207" i="5"/>
  <c r="AN207" i="5"/>
  <c r="AG208" i="5"/>
  <c r="AF208" i="5"/>
  <c r="C218" i="4"/>
  <c r="C208" i="5"/>
  <c r="D218" i="4"/>
  <c r="E208" i="5"/>
  <c r="H218" i="4"/>
  <c r="K208" i="5"/>
  <c r="L218" i="4"/>
  <c r="Q208" i="5"/>
  <c r="M218" i="4"/>
  <c r="R208" i="5"/>
  <c r="T208" i="5"/>
  <c r="O218" i="4"/>
  <c r="U208" i="5"/>
  <c r="P218" i="4"/>
  <c r="W208" i="5"/>
  <c r="Q218" i="4"/>
  <c r="X208" i="5"/>
  <c r="S218" i="4"/>
  <c r="AA208" i="5"/>
  <c r="AI218" i="4"/>
  <c r="T218" i="4" a="1"/>
  <c r="T218" i="4"/>
  <c r="AC208" i="5"/>
  <c r="U218" i="4" a="1"/>
  <c r="U218" i="4"/>
  <c r="AD208" i="5"/>
  <c r="X218" i="4"/>
  <c r="AI208" i="5"/>
  <c r="Y218" i="4"/>
  <c r="AJ208" i="5"/>
  <c r="Z218" i="4"/>
  <c r="AL208" i="5"/>
  <c r="F208" i="5"/>
  <c r="H208" i="5"/>
  <c r="I208" i="5"/>
  <c r="L208" i="5"/>
  <c r="N208" i="5"/>
  <c r="O208" i="5"/>
  <c r="Z208" i="5"/>
  <c r="AN208" i="5"/>
  <c r="AG209" i="5"/>
  <c r="AF209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O228" i="4"/>
  <c r="U209" i="5"/>
  <c r="P228" i="4"/>
  <c r="W209" i="5"/>
  <c r="Q228" i="4"/>
  <c r="X209" i="5"/>
  <c r="S228" i="4"/>
  <c r="AA209" i="5"/>
  <c r="AI228" i="4"/>
  <c r="T228" i="4" a="1"/>
  <c r="T228" i="4"/>
  <c r="AC209" i="5"/>
  <c r="U228" i="4" a="1"/>
  <c r="U228" i="4"/>
  <c r="AD209" i="5"/>
  <c r="X228" i="4"/>
  <c r="AI209" i="5"/>
  <c r="Y228" i="4"/>
  <c r="AJ209" i="5"/>
  <c r="Z228" i="4"/>
  <c r="AL209" i="5"/>
  <c r="L209" i="5"/>
  <c r="N209" i="5"/>
  <c r="O209" i="5"/>
  <c r="Z209" i="5"/>
  <c r="AN209" i="5"/>
  <c r="AG210" i="5"/>
  <c r="AF210" i="5"/>
  <c r="B293" i="4"/>
  <c r="C293" i="4"/>
  <c r="C210" i="5"/>
  <c r="D293" i="4"/>
  <c r="E210" i="5"/>
  <c r="E293" i="4"/>
  <c r="F210" i="5"/>
  <c r="F293" i="4"/>
  <c r="H210" i="5"/>
  <c r="I210" i="5"/>
  <c r="H293" i="4"/>
  <c r="K210" i="5"/>
  <c r="L293" i="4"/>
  <c r="Q210" i="5"/>
  <c r="M293" i="4"/>
  <c r="R210" i="5"/>
  <c r="N293" i="4"/>
  <c r="T210" i="5"/>
  <c r="O293" i="4"/>
  <c r="U210" i="5"/>
  <c r="P293" i="4"/>
  <c r="W210" i="5"/>
  <c r="Q293" i="4"/>
  <c r="X210" i="5"/>
  <c r="S293" i="4"/>
  <c r="AA210" i="5"/>
  <c r="AC210" i="5"/>
  <c r="AD210" i="5"/>
  <c r="X293" i="4"/>
  <c r="AI210" i="5"/>
  <c r="Y293" i="4"/>
  <c r="AJ210" i="5"/>
  <c r="Z293" i="4"/>
  <c r="AL210" i="5"/>
  <c r="L210" i="5"/>
  <c r="N210" i="5"/>
  <c r="O210" i="5"/>
  <c r="Z210" i="5"/>
  <c r="AN210" i="5"/>
  <c r="AG211" i="5"/>
  <c r="AF211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O229" i="4"/>
  <c r="U211" i="5"/>
  <c r="P229" i="4"/>
  <c r="W211" i="5"/>
  <c r="Q229" i="4"/>
  <c r="X211" i="5"/>
  <c r="S229" i="4"/>
  <c r="AA211" i="5"/>
  <c r="AI229" i="4"/>
  <c r="T229" i="4" a="1"/>
  <c r="T229" i="4"/>
  <c r="AC211" i="5"/>
  <c r="U229" i="4" a="1"/>
  <c r="U229" i="4"/>
  <c r="AD211" i="5"/>
  <c r="X229" i="4"/>
  <c r="AI211" i="5"/>
  <c r="Y229" i="4"/>
  <c r="AJ211" i="5"/>
  <c r="Z229" i="4"/>
  <c r="AL211" i="5"/>
  <c r="L211" i="5"/>
  <c r="N211" i="5"/>
  <c r="O211" i="5"/>
  <c r="Z211" i="5"/>
  <c r="AN211" i="5"/>
  <c r="AG212" i="5"/>
  <c r="AF212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I230" i="4"/>
  <c r="T230" i="4" a="1"/>
  <c r="T230" i="4"/>
  <c r="AC212" i="5"/>
  <c r="U230" i="4" a="1"/>
  <c r="U230" i="4"/>
  <c r="AD212" i="5"/>
  <c r="X230" i="4"/>
  <c r="AI212" i="5"/>
  <c r="Y230" i="4"/>
  <c r="AJ212" i="5"/>
  <c r="Z230" i="4"/>
  <c r="AL212" i="5"/>
  <c r="L212" i="5"/>
  <c r="N212" i="5"/>
  <c r="O212" i="5"/>
  <c r="Z212" i="5"/>
  <c r="AN212" i="5"/>
  <c r="AG213" i="5"/>
  <c r="AF213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O141" i="4"/>
  <c r="U213" i="5"/>
  <c r="P141" i="4"/>
  <c r="W213" i="5"/>
  <c r="Q141" i="4"/>
  <c r="X213" i="5"/>
  <c r="S141" i="4"/>
  <c r="AA213" i="5"/>
  <c r="AI141" i="4"/>
  <c r="T141" i="4" a="1"/>
  <c r="T141" i="4"/>
  <c r="AC213" i="5"/>
  <c r="U141" i="4" a="1"/>
  <c r="U141" i="4"/>
  <c r="AD213" i="5"/>
  <c r="X141" i="4"/>
  <c r="AI213" i="5"/>
  <c r="Y141" i="4"/>
  <c r="AJ213" i="5"/>
  <c r="Z141" i="4"/>
  <c r="AL213" i="5"/>
  <c r="L213" i="5"/>
  <c r="N213" i="5"/>
  <c r="O213" i="5"/>
  <c r="Z213" i="5"/>
  <c r="AN213" i="5"/>
  <c r="AG214" i="5"/>
  <c r="AF214" i="5"/>
  <c r="B298" i="4"/>
  <c r="C298" i="4"/>
  <c r="C214" i="5"/>
  <c r="D298" i="4"/>
  <c r="E214" i="5"/>
  <c r="E298" i="4"/>
  <c r="F214" i="5"/>
  <c r="F298" i="4"/>
  <c r="H214" i="5"/>
  <c r="I214" i="5"/>
  <c r="H298" i="4"/>
  <c r="K214" i="5"/>
  <c r="L298" i="4"/>
  <c r="Q214" i="5"/>
  <c r="M298" i="4"/>
  <c r="R214" i="5"/>
  <c r="T214" i="5"/>
  <c r="O298" i="4"/>
  <c r="U214" i="5"/>
  <c r="P298" i="4"/>
  <c r="W214" i="5"/>
  <c r="Q298" i="4"/>
  <c r="X214" i="5"/>
  <c r="S298" i="4"/>
  <c r="AA214" i="5"/>
  <c r="AI298" i="4"/>
  <c r="T298" i="4" a="1"/>
  <c r="T298" i="4"/>
  <c r="AC214" i="5"/>
  <c r="U298" i="4" a="1"/>
  <c r="U298" i="4"/>
  <c r="AD214" i="5"/>
  <c r="X298" i="4"/>
  <c r="AI214" i="5"/>
  <c r="Y298" i="4"/>
  <c r="AJ214" i="5"/>
  <c r="Z298" i="4"/>
  <c r="AL214" i="5"/>
  <c r="L214" i="5"/>
  <c r="N214" i="5"/>
  <c r="O214" i="5"/>
  <c r="Z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I259" i="4"/>
  <c r="L215" i="5"/>
  <c r="J259" i="4"/>
  <c r="N215" i="5"/>
  <c r="L259" i="4"/>
  <c r="Q215" i="5"/>
  <c r="M259" i="4"/>
  <c r="R215" i="5"/>
  <c r="N259" i="4"/>
  <c r="T215" i="5"/>
  <c r="O259" i="4"/>
  <c r="U215" i="5"/>
  <c r="P259" i="4"/>
  <c r="W215" i="5"/>
  <c r="Q259" i="4"/>
  <c r="X215" i="5"/>
  <c r="S259" i="4"/>
  <c r="AA215" i="5"/>
  <c r="AI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Z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I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Z216" i="5"/>
  <c r="AN216" i="5"/>
  <c r="O217" i="5"/>
  <c r="B261" i="4"/>
  <c r="H261" i="4"/>
  <c r="K217" i="5"/>
  <c r="AG217" i="5"/>
  <c r="AF217" i="5"/>
  <c r="C261" i="4"/>
  <c r="C217" i="5"/>
  <c r="D261" i="4"/>
  <c r="E217" i="5"/>
  <c r="E261" i="4"/>
  <c r="F217" i="5"/>
  <c r="F261" i="4"/>
  <c r="H217" i="5"/>
  <c r="I217" i="5"/>
  <c r="I261" i="4"/>
  <c r="L217" i="5"/>
  <c r="J261" i="4"/>
  <c r="N217" i="5"/>
  <c r="L261" i="4"/>
  <c r="Q217" i="5"/>
  <c r="M261" i="4"/>
  <c r="R217" i="5"/>
  <c r="T217" i="5"/>
  <c r="O261" i="4"/>
  <c r="U217" i="5"/>
  <c r="P261" i="4"/>
  <c r="W217" i="5"/>
  <c r="Q261" i="4"/>
  <c r="X217" i="5"/>
  <c r="S261" i="4"/>
  <c r="AA217" i="5"/>
  <c r="AI261" i="4"/>
  <c r="T261" i="4" a="1"/>
  <c r="T261" i="4"/>
  <c r="AC217" i="5"/>
  <c r="U261" i="4" a="1"/>
  <c r="U261" i="4"/>
  <c r="AD217" i="5"/>
  <c r="X261" i="4"/>
  <c r="AI217" i="5"/>
  <c r="Y261" i="4"/>
  <c r="AJ217" i="5"/>
  <c r="Z261" i="4"/>
  <c r="AL217" i="5"/>
  <c r="Z217" i="5"/>
  <c r="AN217" i="5"/>
  <c r="AG218" i="5"/>
  <c r="AF218" i="5"/>
  <c r="B197" i="4"/>
  <c r="C197" i="4"/>
  <c r="C218" i="5"/>
  <c r="D197" i="4"/>
  <c r="E218" i="5"/>
  <c r="H197" i="4"/>
  <c r="K218" i="5"/>
  <c r="L197" i="4"/>
  <c r="Q218" i="5"/>
  <c r="M197" i="4"/>
  <c r="R218" i="5"/>
  <c r="N197" i="4"/>
  <c r="T218" i="5"/>
  <c r="O197" i="4"/>
  <c r="U218" i="5"/>
  <c r="P197" i="4"/>
  <c r="W218" i="5"/>
  <c r="Q197" i="4"/>
  <c r="X218" i="5"/>
  <c r="S197" i="4"/>
  <c r="AA218" i="5"/>
  <c r="AI197" i="4"/>
  <c r="T197" i="4" a="1"/>
  <c r="T197" i="4"/>
  <c r="AC218" i="5"/>
  <c r="U197" i="4" a="1"/>
  <c r="U197" i="4"/>
  <c r="AD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Z218" i="5"/>
  <c r="AN218" i="5"/>
  <c r="AG219" i="5"/>
  <c r="AF219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O179" i="4"/>
  <c r="U219" i="5"/>
  <c r="P179" i="4"/>
  <c r="W219" i="5"/>
  <c r="Q179" i="4"/>
  <c r="X219" i="5"/>
  <c r="AA219" i="5"/>
  <c r="AI179" i="4"/>
  <c r="T179" i="4" a="1"/>
  <c r="T179" i="4"/>
  <c r="AC219" i="5"/>
  <c r="U179" i="4" a="1"/>
  <c r="U179" i="4"/>
  <c r="AD219" i="5"/>
  <c r="X179" i="4"/>
  <c r="AI219" i="5"/>
  <c r="L219" i="5"/>
  <c r="N219" i="5"/>
  <c r="O219" i="5"/>
  <c r="Z219" i="5"/>
  <c r="AN219" i="5"/>
  <c r="AG220" i="5"/>
  <c r="AF220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O180" i="4"/>
  <c r="U220" i="5"/>
  <c r="P180" i="4"/>
  <c r="W220" i="5"/>
  <c r="Q180" i="4"/>
  <c r="X220" i="5"/>
  <c r="S180" i="4"/>
  <c r="AA220" i="5"/>
  <c r="AI180" i="4"/>
  <c r="T180" i="4" a="1"/>
  <c r="T180" i="4"/>
  <c r="AC220" i="5"/>
  <c r="U180" i="4" a="1"/>
  <c r="U180" i="4"/>
  <c r="AD220" i="5"/>
  <c r="X180" i="4"/>
  <c r="AI220" i="5"/>
  <c r="Y180" i="4"/>
  <c r="AJ220" i="5"/>
  <c r="Z180" i="4"/>
  <c r="AL220" i="5"/>
  <c r="L220" i="5"/>
  <c r="N220" i="5"/>
  <c r="O220" i="5"/>
  <c r="Z220" i="5"/>
  <c r="AN220" i="5"/>
  <c r="O221" i="5"/>
  <c r="B198" i="4"/>
  <c r="H198" i="4"/>
  <c r="K221" i="5"/>
  <c r="AG221" i="5"/>
  <c r="AF221" i="5"/>
  <c r="C198" i="4"/>
  <c r="C221" i="5"/>
  <c r="D198" i="4"/>
  <c r="E221" i="5"/>
  <c r="E198" i="4"/>
  <c r="F221" i="5"/>
  <c r="F198" i="4"/>
  <c r="H221" i="5"/>
  <c r="I221" i="5"/>
  <c r="I198" i="4"/>
  <c r="L221" i="5"/>
  <c r="J198" i="4"/>
  <c r="N221" i="5"/>
  <c r="L198" i="4"/>
  <c r="Q221" i="5"/>
  <c r="M198" i="4"/>
  <c r="R221" i="5"/>
  <c r="T221" i="5"/>
  <c r="O198" i="4"/>
  <c r="U221" i="5"/>
  <c r="P198" i="4"/>
  <c r="W221" i="5"/>
  <c r="Q198" i="4"/>
  <c r="X221" i="5"/>
  <c r="S198" i="4"/>
  <c r="AA221" i="5"/>
  <c r="AI198" i="4"/>
  <c r="T198" i="4" a="1"/>
  <c r="T198" i="4"/>
  <c r="AC221" i="5"/>
  <c r="U198" i="4" a="1"/>
  <c r="U198" i="4"/>
  <c r="AD221" i="5"/>
  <c r="X198" i="4"/>
  <c r="AI221" i="5"/>
  <c r="Y198" i="4"/>
  <c r="AJ221" i="5"/>
  <c r="Z198" i="4"/>
  <c r="AL221" i="5"/>
  <c r="Z221" i="5"/>
  <c r="AN221" i="5"/>
  <c r="AG222" i="5"/>
  <c r="AF222" i="5"/>
  <c r="C199" i="4"/>
  <c r="C222" i="5"/>
  <c r="T222" i="5"/>
  <c r="O199" i="4"/>
  <c r="U222" i="5"/>
  <c r="P199" i="4"/>
  <c r="W222" i="5"/>
  <c r="Q199" i="4"/>
  <c r="X222" i="5"/>
  <c r="S199" i="4"/>
  <c r="AA222" i="5"/>
  <c r="AI199" i="4"/>
  <c r="T199" i="4" a="1"/>
  <c r="T199" i="4"/>
  <c r="AC222" i="5"/>
  <c r="U199" i="4" a="1"/>
  <c r="U199" i="4"/>
  <c r="AD222" i="5"/>
  <c r="AI222" i="5"/>
  <c r="Y199" i="4"/>
  <c r="AJ222" i="5"/>
  <c r="Z199" i="4"/>
  <c r="AL222" i="5"/>
  <c r="Z222" i="5"/>
  <c r="AN222" i="5"/>
  <c r="AG223" i="5"/>
  <c r="AF223" i="5"/>
  <c r="B98" i="4"/>
  <c r="C98" i="4"/>
  <c r="C223" i="5"/>
  <c r="E223" i="5"/>
  <c r="K223" i="5"/>
  <c r="L98" i="4"/>
  <c r="Q223" i="5"/>
  <c r="M98" i="4"/>
  <c r="R223" i="5"/>
  <c r="T223" i="5"/>
  <c r="O98" i="4"/>
  <c r="U223" i="5"/>
  <c r="P98" i="4"/>
  <c r="W223" i="5"/>
  <c r="X223" i="5"/>
  <c r="AA223" i="5"/>
  <c r="AI98" i="4"/>
  <c r="T98" i="4" a="1"/>
  <c r="T98" i="4"/>
  <c r="AC223" i="5"/>
  <c r="U98" i="4" a="1"/>
  <c r="U98" i="4"/>
  <c r="AD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Z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I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Z224" i="5"/>
  <c r="AN224" i="5"/>
  <c r="AG225" i="5"/>
  <c r="AF225" i="5"/>
  <c r="C294" i="4"/>
  <c r="C225" i="5"/>
  <c r="T225" i="5"/>
  <c r="O294" i="4"/>
  <c r="U225" i="5"/>
  <c r="P294" i="4"/>
  <c r="W225" i="5"/>
  <c r="S294" i="4"/>
  <c r="AA225" i="5"/>
  <c r="AI294" i="4"/>
  <c r="T294" i="4" a="1"/>
  <c r="T294" i="4"/>
  <c r="AC225" i="5"/>
  <c r="U294" i="4" a="1"/>
  <c r="U294" i="4"/>
  <c r="AD225" i="5"/>
  <c r="X294" i="4"/>
  <c r="AI225" i="5"/>
  <c r="Y294" i="4"/>
  <c r="AJ225" i="5"/>
  <c r="Z294" i="4"/>
  <c r="AL225" i="5"/>
  <c r="X225" i="5"/>
  <c r="Z225" i="5"/>
  <c r="AN225" i="5"/>
  <c r="AG226" i="5"/>
  <c r="AF226" i="5"/>
  <c r="C181" i="4"/>
  <c r="C226" i="5"/>
  <c r="T226" i="5"/>
  <c r="U226" i="5"/>
  <c r="P181" i="4"/>
  <c r="W226" i="5"/>
  <c r="Q181" i="4"/>
  <c r="X226" i="5"/>
  <c r="R181" i="4"/>
  <c r="Z226" i="5"/>
  <c r="S181" i="4"/>
  <c r="AA226" i="5"/>
  <c r="AI181" i="4"/>
  <c r="T181" i="4" a="1"/>
  <c r="T181" i="4"/>
  <c r="AC226" i="5"/>
  <c r="U181" i="4" a="1"/>
  <c r="U181" i="4"/>
  <c r="AD226" i="5"/>
  <c r="X181" i="4"/>
  <c r="AI226" i="5"/>
  <c r="Y181" i="4"/>
  <c r="AJ226" i="5"/>
  <c r="Z181" i="4"/>
  <c r="AL226" i="5"/>
  <c r="AN226" i="5"/>
  <c r="AG227" i="5"/>
  <c r="AF227" i="5"/>
  <c r="B114" i="4"/>
  <c r="C114" i="4"/>
  <c r="C227" i="5"/>
  <c r="E227" i="5"/>
  <c r="H114" i="4"/>
  <c r="K227" i="5"/>
  <c r="L114" i="4"/>
  <c r="Q227" i="5"/>
  <c r="M114" i="4"/>
  <c r="R227" i="5"/>
  <c r="T227" i="5"/>
  <c r="O114" i="4"/>
  <c r="U227" i="5"/>
  <c r="P114" i="4"/>
  <c r="W227" i="5"/>
  <c r="X227" i="5"/>
  <c r="AA227" i="5"/>
  <c r="AI114" i="4"/>
  <c r="T114" i="4" a="1"/>
  <c r="T114" i="4"/>
  <c r="AC227" i="5"/>
  <c r="U114" i="4" a="1"/>
  <c r="U114" i="4"/>
  <c r="AD227" i="5"/>
  <c r="AI227" i="5"/>
  <c r="AJ227" i="5"/>
  <c r="Z11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48" i="4"/>
  <c r="C48" i="4"/>
  <c r="C228" i="5"/>
  <c r="D48" i="4"/>
  <c r="E228" i="5"/>
  <c r="E48" i="4"/>
  <c r="F228" i="5"/>
  <c r="F48" i="4"/>
  <c r="H228" i="5"/>
  <c r="I228" i="5"/>
  <c r="I48" i="4"/>
  <c r="L228" i="5"/>
  <c r="J48" i="4"/>
  <c r="N228" i="5"/>
  <c r="L48" i="4"/>
  <c r="Q228" i="5"/>
  <c r="M48" i="4"/>
  <c r="R228" i="5"/>
  <c r="T228" i="5"/>
  <c r="O48" i="4"/>
  <c r="U228" i="5"/>
  <c r="P48" i="4"/>
  <c r="W228" i="5"/>
  <c r="Q48" i="4"/>
  <c r="X228" i="5"/>
  <c r="S48" i="4"/>
  <c r="AA228" i="5"/>
  <c r="AI48" i="4"/>
  <c r="T48" i="4" a="1"/>
  <c r="T48" i="4"/>
  <c r="AC228" i="5"/>
  <c r="U48" i="4" a="1"/>
  <c r="U48" i="4"/>
  <c r="AD228" i="5"/>
  <c r="AI228" i="5"/>
  <c r="Y48" i="4"/>
  <c r="AJ228" i="5"/>
  <c r="Z48" i="4"/>
  <c r="AL228" i="5"/>
  <c r="Z228" i="5"/>
  <c r="AN228" i="5"/>
  <c r="AG229" i="5"/>
  <c r="AF229" i="5"/>
  <c r="B295" i="4"/>
  <c r="C295" i="4"/>
  <c r="C229" i="5"/>
  <c r="D295" i="4"/>
  <c r="E229" i="5"/>
  <c r="E295" i="4"/>
  <c r="F229" i="5"/>
  <c r="F295" i="4"/>
  <c r="H229" i="5"/>
  <c r="I229" i="5"/>
  <c r="H295" i="4"/>
  <c r="K229" i="5"/>
  <c r="L295" i="4"/>
  <c r="Q229" i="5"/>
  <c r="M295" i="4"/>
  <c r="R229" i="5"/>
  <c r="T229" i="5"/>
  <c r="O295" i="4"/>
  <c r="U229" i="5"/>
  <c r="P295" i="4"/>
  <c r="W229" i="5"/>
  <c r="Q295" i="4"/>
  <c r="X229" i="5"/>
  <c r="S295" i="4"/>
  <c r="AA229" i="5"/>
  <c r="AI295" i="4"/>
  <c r="T295" i="4" a="1"/>
  <c r="T295" i="4"/>
  <c r="AC229" i="5"/>
  <c r="U295" i="4" a="1"/>
  <c r="U295" i="4"/>
  <c r="AD229" i="5"/>
  <c r="X295" i="4"/>
  <c r="AI229" i="5"/>
  <c r="Y295" i="4"/>
  <c r="AJ229" i="5"/>
  <c r="Z295" i="4"/>
  <c r="AL229" i="5"/>
  <c r="L229" i="5"/>
  <c r="N229" i="5"/>
  <c r="O229" i="5"/>
  <c r="Z229" i="5"/>
  <c r="AN229" i="5"/>
  <c r="AG230" i="5"/>
  <c r="AF230" i="5"/>
  <c r="C231" i="4"/>
  <c r="C230" i="5"/>
  <c r="T230" i="5"/>
  <c r="U230" i="5"/>
  <c r="P231" i="4"/>
  <c r="W230" i="5"/>
  <c r="Q231" i="4"/>
  <c r="X230" i="5"/>
  <c r="S231" i="4"/>
  <c r="AA230" i="5"/>
  <c r="AI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Z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I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F231" i="5"/>
  <c r="H231" i="5"/>
  <c r="I231" i="5"/>
  <c r="Z231" i="5"/>
  <c r="AN231" i="5"/>
  <c r="AG232" i="5"/>
  <c r="AF232" i="5"/>
  <c r="B285" i="4"/>
  <c r="C285" i="4"/>
  <c r="C232" i="5"/>
  <c r="D285" i="4"/>
  <c r="E232" i="5"/>
  <c r="H285" i="4"/>
  <c r="K232" i="5"/>
  <c r="L285" i="4"/>
  <c r="Q232" i="5"/>
  <c r="M285" i="4"/>
  <c r="R232" i="5"/>
  <c r="T232" i="5"/>
  <c r="O285" i="4"/>
  <c r="U232" i="5"/>
  <c r="P285" i="4"/>
  <c r="W232" i="5"/>
  <c r="Q285" i="4"/>
  <c r="X232" i="5"/>
  <c r="S285" i="4"/>
  <c r="AA232" i="5"/>
  <c r="AI285" i="4"/>
  <c r="T285" i="4" a="1"/>
  <c r="T285" i="4"/>
  <c r="AC232" i="5"/>
  <c r="U285" i="4" a="1"/>
  <c r="U285" i="4"/>
  <c r="AD232" i="5"/>
  <c r="X285" i="4"/>
  <c r="AI232" i="5"/>
  <c r="Y285" i="4"/>
  <c r="AJ232" i="5"/>
  <c r="Z285" i="4"/>
  <c r="AL232" i="5"/>
  <c r="L232" i="5"/>
  <c r="N232" i="5"/>
  <c r="O232" i="5"/>
  <c r="F232" i="5"/>
  <c r="H232" i="5"/>
  <c r="I232" i="5"/>
  <c r="Z232" i="5"/>
  <c r="AN232" i="5"/>
  <c r="S142" i="4"/>
  <c r="AA233" i="5"/>
  <c r="P142" i="4"/>
  <c r="W233" i="5"/>
  <c r="AG233" i="5"/>
  <c r="AF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I142" i="4"/>
  <c r="T142" i="4" a="1"/>
  <c r="T142" i="4"/>
  <c r="AC233" i="5"/>
  <c r="U142" i="4" a="1"/>
  <c r="U142" i="4"/>
  <c r="AD233" i="5"/>
  <c r="X142" i="4"/>
  <c r="AI233" i="5"/>
  <c r="Y142" i="4"/>
  <c r="AJ233" i="5"/>
  <c r="Z142" i="4"/>
  <c r="AL233" i="5"/>
  <c r="L233" i="5"/>
  <c r="N233" i="5"/>
  <c r="O233" i="5"/>
  <c r="F233" i="5"/>
  <c r="H233" i="5"/>
  <c r="I233" i="5"/>
  <c r="AN233" i="5"/>
  <c r="AG234" i="5"/>
  <c r="AF234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I27" i="4"/>
  <c r="T27" i="4" a="1"/>
  <c r="T27" i="4"/>
  <c r="AC234" i="5"/>
  <c r="U27" i="4" a="1"/>
  <c r="U27" i="4"/>
  <c r="AD234" i="5"/>
  <c r="X27" i="4"/>
  <c r="AI234" i="5"/>
  <c r="Y27" i="4"/>
  <c r="AJ234" i="5"/>
  <c r="Z27" i="4"/>
  <c r="AL234" i="5"/>
  <c r="F234" i="5"/>
  <c r="H234" i="5"/>
  <c r="I234" i="5"/>
  <c r="L234" i="5"/>
  <c r="N234" i="5"/>
  <c r="O234" i="5"/>
  <c r="Z234" i="5"/>
  <c r="AN234" i="5"/>
  <c r="AG235" i="5"/>
  <c r="AF235" i="5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I143" i="4"/>
  <c r="T143" i="4" a="1"/>
  <c r="T143" i="4"/>
  <c r="AC235" i="5"/>
  <c r="U143" i="4" a="1"/>
  <c r="U143" i="4"/>
  <c r="AD235" i="5"/>
  <c r="X143" i="4"/>
  <c r="AI235" i="5"/>
  <c r="Y143" i="4"/>
  <c r="AJ235" i="5"/>
  <c r="Z143" i="4"/>
  <c r="AL235" i="5"/>
  <c r="F235" i="5"/>
  <c r="H235" i="5"/>
  <c r="I235" i="5"/>
  <c r="L235" i="5"/>
  <c r="N235" i="5"/>
  <c r="O235" i="5"/>
  <c r="Z235" i="5"/>
  <c r="AN235" i="5"/>
  <c r="AG236" i="5"/>
  <c r="AF236" i="5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I144" i="4"/>
  <c r="T144" i="4" a="1"/>
  <c r="T144" i="4"/>
  <c r="AC236" i="5"/>
  <c r="U144" i="4" a="1"/>
  <c r="U144" i="4"/>
  <c r="AD236" i="5"/>
  <c r="X144" i="4"/>
  <c r="AI236" i="5"/>
  <c r="Y144" i="4"/>
  <c r="AJ236" i="5"/>
  <c r="Z144" i="4"/>
  <c r="AL236" i="5"/>
  <c r="F236" i="5"/>
  <c r="H236" i="5"/>
  <c r="I236" i="5"/>
  <c r="L236" i="5"/>
  <c r="N236" i="5"/>
  <c r="O236" i="5"/>
  <c r="Z236" i="5"/>
  <c r="AN236" i="5"/>
  <c r="AG237" i="5"/>
  <c r="AF237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I28" i="4"/>
  <c r="T28" i="4" a="1"/>
  <c r="T28" i="4"/>
  <c r="AC237" i="5"/>
  <c r="U28" i="4" a="1"/>
  <c r="U28" i="4"/>
  <c r="AD237" i="5"/>
  <c r="X28" i="4"/>
  <c r="AI237" i="5"/>
  <c r="Y28" i="4"/>
  <c r="AJ237" i="5"/>
  <c r="Z28" i="4"/>
  <c r="AL237" i="5"/>
  <c r="F237" i="5"/>
  <c r="H237" i="5"/>
  <c r="I237" i="5"/>
  <c r="L237" i="5"/>
  <c r="N237" i="5"/>
  <c r="O237" i="5"/>
  <c r="Z237" i="5"/>
  <c r="AN237" i="5"/>
  <c r="AG238" i="5"/>
  <c r="AF238" i="5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I145" i="4"/>
  <c r="T145" i="4" a="1"/>
  <c r="T145" i="4"/>
  <c r="AC238" i="5"/>
  <c r="U145" i="4" a="1"/>
  <c r="U145" i="4"/>
  <c r="AD238" i="5"/>
  <c r="X145" i="4"/>
  <c r="AI238" i="5"/>
  <c r="Y145" i="4"/>
  <c r="AJ238" i="5"/>
  <c r="Z145" i="4"/>
  <c r="AL238" i="5"/>
  <c r="F238" i="5"/>
  <c r="H238" i="5"/>
  <c r="I238" i="5"/>
  <c r="L238" i="5"/>
  <c r="N238" i="5"/>
  <c r="O238" i="5"/>
  <c r="Z238" i="5"/>
  <c r="AN238" i="5"/>
  <c r="AG239" i="5"/>
  <c r="AF239" i="5"/>
  <c r="C239" i="5"/>
  <c r="E239" i="5"/>
  <c r="F239" i="5"/>
  <c r="H239" i="5"/>
  <c r="I239" i="5"/>
  <c r="K239" i="5"/>
  <c r="Q239" i="5"/>
  <c r="R239" i="5"/>
  <c r="T239" i="5"/>
  <c r="U239" i="5"/>
  <c r="W239" i="5"/>
  <c r="X239" i="5"/>
  <c r="AA239" i="5"/>
  <c r="AC239" i="5"/>
  <c r="AD239" i="5"/>
  <c r="AI239" i="5"/>
  <c r="AJ239" i="5"/>
  <c r="AL239" i="5"/>
  <c r="L239" i="5"/>
  <c r="N239" i="5"/>
  <c r="O239" i="5"/>
  <c r="Z239" i="5"/>
  <c r="AN239" i="5"/>
  <c r="AG241" i="5"/>
  <c r="AF241" i="5"/>
  <c r="C287" i="4"/>
  <c r="C241" i="5"/>
  <c r="T241" i="5"/>
  <c r="O287" i="4"/>
  <c r="U241" i="5"/>
  <c r="P287" i="4"/>
  <c r="W241" i="5"/>
  <c r="S287" i="4"/>
  <c r="AA241" i="5"/>
  <c r="AI287" i="4"/>
  <c r="T287" i="4" a="1"/>
  <c r="T287" i="4"/>
  <c r="AC241" i="5"/>
  <c r="U287" i="4" a="1"/>
  <c r="U287" i="4"/>
  <c r="AD241" i="5"/>
  <c r="X287" i="4"/>
  <c r="AI241" i="5"/>
  <c r="Y287" i="4"/>
  <c r="AJ241" i="5"/>
  <c r="Z287" i="4"/>
  <c r="AL241" i="5"/>
  <c r="X241" i="5"/>
  <c r="Z241" i="5"/>
  <c r="AN241" i="5"/>
  <c r="AG242" i="5"/>
  <c r="AF242" i="5"/>
  <c r="B51" i="4"/>
  <c r="C51" i="4"/>
  <c r="C242" i="5"/>
  <c r="D51" i="4"/>
  <c r="E242" i="5"/>
  <c r="H51" i="4"/>
  <c r="K242" i="5"/>
  <c r="L51" i="4"/>
  <c r="Q242" i="5"/>
  <c r="M51" i="4"/>
  <c r="R242" i="5"/>
  <c r="T242" i="5"/>
  <c r="U242" i="5"/>
  <c r="P51" i="4"/>
  <c r="W242" i="5"/>
  <c r="Q51" i="4"/>
  <c r="X242" i="5"/>
  <c r="AA242" i="5"/>
  <c r="AI51" i="4"/>
  <c r="T51" i="4" a="1"/>
  <c r="T51" i="4"/>
  <c r="AC242" i="5"/>
  <c r="U51" i="4" a="1"/>
  <c r="U51" i="4"/>
  <c r="AD242" i="5"/>
  <c r="Y51" i="4"/>
  <c r="AJ242" i="5"/>
  <c r="Z51" i="4"/>
  <c r="AL242" i="5"/>
  <c r="F242" i="5"/>
  <c r="H242" i="5"/>
  <c r="I242" i="5"/>
  <c r="L242" i="5"/>
  <c r="N242" i="5"/>
  <c r="O242" i="5"/>
  <c r="Z242" i="5"/>
  <c r="AN242" i="5"/>
  <c r="AG243" i="5"/>
  <c r="AF243" i="5"/>
  <c r="B52" i="4"/>
  <c r="C52" i="4"/>
  <c r="C243" i="5"/>
  <c r="D52" i="4"/>
  <c r="E243" i="5"/>
  <c r="H52" i="4"/>
  <c r="K243" i="5"/>
  <c r="L52" i="4"/>
  <c r="Q243" i="5"/>
  <c r="M52" i="4"/>
  <c r="R243" i="5"/>
  <c r="T243" i="5"/>
  <c r="O52" i="4"/>
  <c r="U243" i="5"/>
  <c r="P52" i="4"/>
  <c r="W243" i="5"/>
  <c r="Q52" i="4"/>
  <c r="X243" i="5"/>
  <c r="AA243" i="5"/>
  <c r="AI52" i="4"/>
  <c r="T52" i="4" a="1"/>
  <c r="T52" i="4"/>
  <c r="AC243" i="5"/>
  <c r="U52" i="4" a="1"/>
  <c r="U52" i="4"/>
  <c r="AD243" i="5"/>
  <c r="AI243" i="5"/>
  <c r="Y52" i="4"/>
  <c r="AJ243" i="5"/>
  <c r="Z52" i="4"/>
  <c r="AL243" i="5"/>
  <c r="F243" i="5"/>
  <c r="H243" i="5"/>
  <c r="I243" i="5"/>
  <c r="L243" i="5"/>
  <c r="N243" i="5"/>
  <c r="O243" i="5"/>
  <c r="Z243" i="5"/>
  <c r="AN243" i="5"/>
  <c r="AG244" i="5"/>
  <c r="AF244" i="5"/>
  <c r="B53" i="4"/>
  <c r="C53" i="4"/>
  <c r="C244" i="5"/>
  <c r="D53" i="4"/>
  <c r="E244" i="5"/>
  <c r="H53" i="4"/>
  <c r="K244" i="5"/>
  <c r="L53" i="4"/>
  <c r="Q244" i="5"/>
  <c r="M53" i="4"/>
  <c r="R244" i="5"/>
  <c r="T244" i="5"/>
  <c r="O53" i="4"/>
  <c r="U244" i="5"/>
  <c r="P53" i="4"/>
  <c r="W244" i="5"/>
  <c r="Q53" i="4"/>
  <c r="X244" i="5"/>
  <c r="AA244" i="5"/>
  <c r="AI53" i="4"/>
  <c r="T53" i="4" a="1"/>
  <c r="T53" i="4"/>
  <c r="AC244" i="5"/>
  <c r="U53" i="4" a="1"/>
  <c r="U53" i="4"/>
  <c r="AD244" i="5"/>
  <c r="AI244" i="5"/>
  <c r="Y53" i="4"/>
  <c r="AJ244" i="5"/>
  <c r="Z53" i="4"/>
  <c r="AL244" i="5"/>
  <c r="F244" i="5"/>
  <c r="H244" i="5"/>
  <c r="I244" i="5"/>
  <c r="L244" i="5"/>
  <c r="N244" i="5"/>
  <c r="O244" i="5"/>
  <c r="Z244" i="5"/>
  <c r="AN244" i="5"/>
  <c r="AG245" i="5"/>
  <c r="AF245" i="5"/>
  <c r="B54" i="4"/>
  <c r="C54" i="4"/>
  <c r="C245" i="5"/>
  <c r="D54" i="4"/>
  <c r="E245" i="5"/>
  <c r="H54" i="4"/>
  <c r="K245" i="5"/>
  <c r="L54" i="4"/>
  <c r="Q245" i="5"/>
  <c r="M54" i="4"/>
  <c r="R245" i="5"/>
  <c r="T245" i="5"/>
  <c r="U245" i="5"/>
  <c r="P54" i="4"/>
  <c r="W245" i="5"/>
  <c r="Q54" i="4"/>
  <c r="X245" i="5"/>
  <c r="AA245" i="5"/>
  <c r="AI54" i="4"/>
  <c r="T54" i="4" a="1"/>
  <c r="T54" i="4"/>
  <c r="AC245" i="5"/>
  <c r="U54" i="4" a="1"/>
  <c r="U54" i="4"/>
  <c r="AD245" i="5"/>
  <c r="X54" i="4"/>
  <c r="AI245" i="5"/>
  <c r="Y54" i="4"/>
  <c r="AJ245" i="5"/>
  <c r="Z54" i="4"/>
  <c r="AL245" i="5"/>
  <c r="F245" i="5"/>
  <c r="H245" i="5"/>
  <c r="I245" i="5"/>
  <c r="L245" i="5"/>
  <c r="N245" i="5"/>
  <c r="O245" i="5"/>
  <c r="Z245" i="5"/>
  <c r="AN245" i="5"/>
  <c r="AG246" i="5"/>
  <c r="AF246" i="5"/>
  <c r="B55" i="4"/>
  <c r="C55" i="4"/>
  <c r="C246" i="5"/>
  <c r="D55" i="4"/>
  <c r="E246" i="5"/>
  <c r="H55" i="4"/>
  <c r="K246" i="5"/>
  <c r="L55" i="4"/>
  <c r="Q246" i="5"/>
  <c r="M55" i="4"/>
  <c r="R246" i="5"/>
  <c r="T246" i="5"/>
  <c r="U246" i="5"/>
  <c r="P55" i="4"/>
  <c r="W246" i="5"/>
  <c r="Q55" i="4"/>
  <c r="X246" i="5"/>
  <c r="AA246" i="5"/>
  <c r="AI55" i="4"/>
  <c r="T55" i="4" a="1"/>
  <c r="T55" i="4"/>
  <c r="AC246" i="5"/>
  <c r="U55" i="4" a="1"/>
  <c r="U55" i="4"/>
  <c r="AD246" i="5"/>
  <c r="X55" i="4"/>
  <c r="AI246" i="5"/>
  <c r="Y55" i="4"/>
  <c r="AJ246" i="5"/>
  <c r="Z55" i="4"/>
  <c r="AL246" i="5"/>
  <c r="F246" i="5"/>
  <c r="H246" i="5"/>
  <c r="I246" i="5"/>
  <c r="L246" i="5"/>
  <c r="N246" i="5"/>
  <c r="O246" i="5"/>
  <c r="Z246" i="5"/>
  <c r="AN246" i="5"/>
  <c r="AG247" i="5"/>
  <c r="AF247" i="5"/>
  <c r="B56" i="4"/>
  <c r="C56" i="4"/>
  <c r="C247" i="5"/>
  <c r="D56" i="4"/>
  <c r="E247" i="5"/>
  <c r="H56" i="4"/>
  <c r="K247" i="5"/>
  <c r="L56" i="4"/>
  <c r="Q247" i="5"/>
  <c r="M56" i="4"/>
  <c r="R247" i="5"/>
  <c r="T247" i="5"/>
  <c r="U247" i="5"/>
  <c r="P56" i="4"/>
  <c r="W247" i="5"/>
  <c r="Q56" i="4"/>
  <c r="X247" i="5"/>
  <c r="AA247" i="5"/>
  <c r="AI56" i="4"/>
  <c r="T56" i="4" a="1"/>
  <c r="T56" i="4"/>
  <c r="AC247" i="5"/>
  <c r="U56" i="4" a="1"/>
  <c r="U56" i="4"/>
  <c r="AD247" i="5"/>
  <c r="X56" i="4"/>
  <c r="AI247" i="5"/>
  <c r="Y56" i="4"/>
  <c r="AJ247" i="5"/>
  <c r="Z56" i="4"/>
  <c r="AL247" i="5"/>
  <c r="F247" i="5"/>
  <c r="H247" i="5"/>
  <c r="I247" i="5"/>
  <c r="L247" i="5"/>
  <c r="N247" i="5"/>
  <c r="O247" i="5"/>
  <c r="Z247" i="5"/>
  <c r="AN247" i="5"/>
  <c r="AG248" i="5"/>
  <c r="AF248" i="5"/>
  <c r="C57" i="4"/>
  <c r="C248" i="5"/>
  <c r="D57" i="4"/>
  <c r="E248" i="5"/>
  <c r="K248" i="5"/>
  <c r="L57" i="4"/>
  <c r="Q248" i="5"/>
  <c r="M57" i="4"/>
  <c r="R248" i="5"/>
  <c r="T248" i="5"/>
  <c r="U248" i="5"/>
  <c r="P57" i="4"/>
  <c r="W248" i="5"/>
  <c r="Q57" i="4"/>
  <c r="X248" i="5"/>
  <c r="AA248" i="5"/>
  <c r="AI57" i="4"/>
  <c r="T57" i="4" a="1"/>
  <c r="T57" i="4"/>
  <c r="AC248" i="5"/>
  <c r="U57" i="4" a="1"/>
  <c r="U57" i="4"/>
  <c r="AD248" i="5"/>
  <c r="X57" i="4"/>
  <c r="AI248" i="5"/>
  <c r="Y57" i="4"/>
  <c r="AJ248" i="5"/>
  <c r="Z57" i="4"/>
  <c r="AL248" i="5"/>
  <c r="F248" i="5"/>
  <c r="H248" i="5"/>
  <c r="I248" i="5"/>
  <c r="L248" i="5"/>
  <c r="N248" i="5"/>
  <c r="O248" i="5"/>
  <c r="Z248" i="5"/>
  <c r="AN248" i="5"/>
  <c r="AG249" i="5"/>
  <c r="AF249" i="5"/>
  <c r="B99" i="4"/>
  <c r="C99" i="4"/>
  <c r="C249" i="5"/>
  <c r="D99" i="4"/>
  <c r="E249" i="5"/>
  <c r="H99" i="4"/>
  <c r="K249" i="5"/>
  <c r="L99" i="4"/>
  <c r="Q249" i="5"/>
  <c r="M99" i="4"/>
  <c r="R249" i="5"/>
  <c r="T249" i="5"/>
  <c r="O99" i="4"/>
  <c r="U249" i="5"/>
  <c r="P99" i="4"/>
  <c r="W249" i="5"/>
  <c r="Q99" i="4"/>
  <c r="X249" i="5"/>
  <c r="S99" i="4"/>
  <c r="AA249" i="5"/>
  <c r="AI99" i="4"/>
  <c r="T99" i="4" a="1"/>
  <c r="T99" i="4"/>
  <c r="AC249" i="5"/>
  <c r="U99" i="4" a="1"/>
  <c r="U99" i="4"/>
  <c r="AD249" i="5"/>
  <c r="X99" i="4"/>
  <c r="AI249" i="5"/>
  <c r="Y99" i="4"/>
  <c r="AJ249" i="5"/>
  <c r="Z99" i="4"/>
  <c r="AL249" i="5"/>
  <c r="F249" i="5"/>
  <c r="H249" i="5"/>
  <c r="I249" i="5"/>
  <c r="L249" i="5"/>
  <c r="N249" i="5"/>
  <c r="O249" i="5"/>
  <c r="Z249" i="5"/>
  <c r="AN249" i="5"/>
  <c r="AG250" i="5"/>
  <c r="AF250" i="5"/>
  <c r="B100" i="4"/>
  <c r="C100" i="4"/>
  <c r="C250" i="5"/>
  <c r="D100" i="4"/>
  <c r="E250" i="5"/>
  <c r="H100" i="4"/>
  <c r="K250" i="5"/>
  <c r="L100" i="4"/>
  <c r="Q250" i="5"/>
  <c r="M100" i="4"/>
  <c r="R250" i="5"/>
  <c r="T250" i="5"/>
  <c r="O100" i="4"/>
  <c r="U250" i="5"/>
  <c r="P100" i="4"/>
  <c r="W250" i="5"/>
  <c r="Q100" i="4"/>
  <c r="X250" i="5"/>
  <c r="S100" i="4"/>
  <c r="AA250" i="5"/>
  <c r="AI100" i="4"/>
  <c r="T100" i="4" a="1"/>
  <c r="T100" i="4"/>
  <c r="AC250" i="5"/>
  <c r="U100" i="4" a="1"/>
  <c r="U100" i="4"/>
  <c r="AD250" i="5"/>
  <c r="X100" i="4"/>
  <c r="AI250" i="5"/>
  <c r="Y100" i="4"/>
  <c r="AJ250" i="5"/>
  <c r="Z100" i="4"/>
  <c r="AL250" i="5"/>
  <c r="F250" i="5"/>
  <c r="H250" i="5"/>
  <c r="I250" i="5"/>
  <c r="L250" i="5"/>
  <c r="N250" i="5"/>
  <c r="O250" i="5"/>
  <c r="Z250" i="5"/>
  <c r="AN250" i="5"/>
  <c r="AG251" i="5"/>
  <c r="AF251" i="5"/>
  <c r="B101" i="4"/>
  <c r="C101" i="4"/>
  <c r="C251" i="5"/>
  <c r="D101" i="4"/>
  <c r="E251" i="5"/>
  <c r="K251" i="5"/>
  <c r="L101" i="4"/>
  <c r="Q251" i="5"/>
  <c r="M101" i="4"/>
  <c r="R251" i="5"/>
  <c r="T251" i="5"/>
  <c r="O101" i="4"/>
  <c r="U251" i="5"/>
  <c r="P101" i="4"/>
  <c r="W251" i="5"/>
  <c r="Q101" i="4"/>
  <c r="X251" i="5"/>
  <c r="S101" i="4"/>
  <c r="AA251" i="5"/>
  <c r="AI101" i="4"/>
  <c r="T101" i="4" a="1"/>
  <c r="T101" i="4"/>
  <c r="AC251" i="5"/>
  <c r="U101" i="4" a="1"/>
  <c r="U101" i="4"/>
  <c r="AD251" i="5"/>
  <c r="X101" i="4"/>
  <c r="AI251" i="5"/>
  <c r="Y101" i="4"/>
  <c r="AJ251" i="5"/>
  <c r="Z101" i="4"/>
  <c r="AL251" i="5"/>
  <c r="F251" i="5"/>
  <c r="H251" i="5"/>
  <c r="I251" i="5"/>
  <c r="L251" i="5"/>
  <c r="N251" i="5"/>
  <c r="O251" i="5"/>
  <c r="Z251" i="5"/>
  <c r="AN251" i="5"/>
  <c r="AG252" i="5"/>
  <c r="AF252" i="5"/>
  <c r="B264" i="4"/>
  <c r="C264" i="4"/>
  <c r="C252" i="5"/>
  <c r="D264" i="4"/>
  <c r="E252" i="5"/>
  <c r="K252" i="5"/>
  <c r="L264" i="4"/>
  <c r="Q252" i="5"/>
  <c r="M264" i="4"/>
  <c r="R252" i="5"/>
  <c r="T252" i="5"/>
  <c r="U252" i="5"/>
  <c r="P264" i="4"/>
  <c r="W252" i="5"/>
  <c r="Q264" i="4"/>
  <c r="X252" i="5"/>
  <c r="AA252" i="5"/>
  <c r="AI264" i="4"/>
  <c r="T264" i="4" a="1"/>
  <c r="T264" i="4"/>
  <c r="AC252" i="5"/>
  <c r="U264" i="4" a="1"/>
  <c r="U264" i="4"/>
  <c r="AD252" i="5"/>
  <c r="X264" i="4"/>
  <c r="AI252" i="5"/>
  <c r="Y264" i="4"/>
  <c r="AJ252" i="5"/>
  <c r="Z264" i="4"/>
  <c r="AL252" i="5"/>
  <c r="F252" i="5"/>
  <c r="H252" i="5"/>
  <c r="I252" i="5"/>
  <c r="L252" i="5"/>
  <c r="N252" i="5"/>
  <c r="O252" i="5"/>
  <c r="Z252" i="5"/>
  <c r="AN252" i="5"/>
  <c r="O253" i="5"/>
  <c r="K253" i="5"/>
  <c r="AG253" i="5"/>
  <c r="AF253" i="5"/>
  <c r="B245" i="4"/>
  <c r="C245" i="4"/>
  <c r="C253" i="5"/>
  <c r="D245" i="4"/>
  <c r="E253" i="5"/>
  <c r="I245" i="4"/>
  <c r="L253" i="5"/>
  <c r="J245" i="4"/>
  <c r="N253" i="5"/>
  <c r="L245" i="4"/>
  <c r="Q253" i="5"/>
  <c r="M245" i="4"/>
  <c r="R253" i="5"/>
  <c r="T253" i="5"/>
  <c r="U253" i="5"/>
  <c r="P245" i="4"/>
  <c r="W253" i="5"/>
  <c r="Q245" i="4"/>
  <c r="X253" i="5"/>
  <c r="S245" i="4"/>
  <c r="AA253" i="5"/>
  <c r="AI245" i="4"/>
  <c r="T245" i="4" a="1"/>
  <c r="T245" i="4"/>
  <c r="AC253" i="5"/>
  <c r="U245" i="4" a="1"/>
  <c r="U245" i="4"/>
  <c r="AD253" i="5"/>
  <c r="X245" i="4"/>
  <c r="AI253" i="5"/>
  <c r="Y245" i="4"/>
  <c r="AJ253" i="5"/>
  <c r="Z245" i="4"/>
  <c r="AL253" i="5"/>
  <c r="F253" i="5"/>
  <c r="H253" i="5"/>
  <c r="I253" i="5"/>
  <c r="Z253" i="5"/>
  <c r="AN253" i="5"/>
  <c r="AG254" i="5"/>
  <c r="AF254" i="5"/>
  <c r="C41" i="4"/>
  <c r="C254" i="5"/>
  <c r="T254" i="5"/>
  <c r="U254" i="5"/>
  <c r="P41" i="4"/>
  <c r="W254" i="5"/>
  <c r="Q41" i="4"/>
  <c r="X254" i="5"/>
  <c r="AA254" i="5"/>
  <c r="AI41" i="4"/>
  <c r="T41" i="4" a="1"/>
  <c r="T41" i="4"/>
  <c r="AC254" i="5"/>
  <c r="U41" i="4" a="1"/>
  <c r="U41" i="4"/>
  <c r="AD254" i="5"/>
  <c r="X41" i="4"/>
  <c r="AI254" i="5"/>
  <c r="Y41" i="4"/>
  <c r="AJ254" i="5"/>
  <c r="Z41" i="4"/>
  <c r="AL254" i="5"/>
  <c r="Z254" i="5"/>
  <c r="AN254" i="5"/>
  <c r="O255" i="5"/>
  <c r="B76" i="4"/>
  <c r="H76" i="4"/>
  <c r="K255" i="5"/>
  <c r="AG255" i="5"/>
  <c r="AF255" i="5"/>
  <c r="C76" i="4"/>
  <c r="C255" i="5"/>
  <c r="D76" i="4"/>
  <c r="E255" i="5"/>
  <c r="I76" i="4"/>
  <c r="L255" i="5"/>
  <c r="J76" i="4"/>
  <c r="N255" i="5"/>
  <c r="L76" i="4"/>
  <c r="Q255" i="5"/>
  <c r="M76" i="4"/>
  <c r="R255" i="5"/>
  <c r="T255" i="5"/>
  <c r="O76" i="4"/>
  <c r="U255" i="5"/>
  <c r="P76" i="4"/>
  <c r="W255" i="5"/>
  <c r="Q76" i="4"/>
  <c r="X255" i="5"/>
  <c r="AA255" i="5"/>
  <c r="AI76" i="4"/>
  <c r="T76" i="4" a="1"/>
  <c r="T76" i="4"/>
  <c r="AC255" i="5"/>
  <c r="U76" i="4" a="1"/>
  <c r="U76" i="4"/>
  <c r="AD255" i="5"/>
  <c r="X76" i="4"/>
  <c r="AI255" i="5"/>
  <c r="Y76" i="4"/>
  <c r="AJ255" i="5"/>
  <c r="Z76" i="4"/>
  <c r="AL255" i="5"/>
  <c r="F255" i="5"/>
  <c r="H255" i="5"/>
  <c r="I255" i="5"/>
  <c r="Z255" i="5"/>
  <c r="AN255" i="5"/>
  <c r="AG256" i="5"/>
  <c r="AF256" i="5"/>
  <c r="B81" i="4"/>
  <c r="C81" i="4"/>
  <c r="C256" i="5"/>
  <c r="D81" i="4"/>
  <c r="E256" i="5"/>
  <c r="H81" i="4"/>
  <c r="K256" i="5"/>
  <c r="L81" i="4"/>
  <c r="Q256" i="5"/>
  <c r="M81" i="4"/>
  <c r="R256" i="5"/>
  <c r="T256" i="5"/>
  <c r="O81" i="4"/>
  <c r="U256" i="5"/>
  <c r="W256" i="5"/>
  <c r="Q81" i="4"/>
  <c r="X256" i="5"/>
  <c r="AA256" i="5"/>
  <c r="AI81" i="4"/>
  <c r="T81" i="4" a="1"/>
  <c r="T81" i="4"/>
  <c r="AC256" i="5"/>
  <c r="U81" i="4" a="1"/>
  <c r="U81" i="4"/>
  <c r="AD256" i="5"/>
  <c r="X81" i="4"/>
  <c r="AI256" i="5"/>
  <c r="Y81" i="4"/>
  <c r="AJ256" i="5"/>
  <c r="Z81" i="4"/>
  <c r="AL256" i="5"/>
  <c r="F256" i="5"/>
  <c r="H256" i="5"/>
  <c r="I256" i="5"/>
  <c r="L256" i="5"/>
  <c r="N256" i="5"/>
  <c r="O256" i="5"/>
  <c r="Z256" i="5"/>
  <c r="AN256" i="5"/>
  <c r="AG257" i="5"/>
  <c r="AF257" i="5"/>
  <c r="B110" i="4"/>
  <c r="C110" i="4"/>
  <c r="C257" i="5"/>
  <c r="D110" i="4"/>
  <c r="E257" i="5"/>
  <c r="K257" i="5"/>
  <c r="L110" i="4"/>
  <c r="Q257" i="5"/>
  <c r="M110" i="4"/>
  <c r="R257" i="5"/>
  <c r="T257" i="5"/>
  <c r="U257" i="5"/>
  <c r="W257" i="5"/>
  <c r="Q110" i="4"/>
  <c r="X257" i="5"/>
  <c r="AA257" i="5"/>
  <c r="AI110" i="4"/>
  <c r="T110" i="4" a="1"/>
  <c r="T110" i="4"/>
  <c r="AC257" i="5"/>
  <c r="U110" i="4" a="1"/>
  <c r="U110" i="4"/>
  <c r="AD257" i="5"/>
  <c r="X110" i="4"/>
  <c r="AI257" i="5"/>
  <c r="Y110" i="4"/>
  <c r="AJ257" i="5"/>
  <c r="Z110" i="4"/>
  <c r="AL257" i="5"/>
  <c r="F257" i="5"/>
  <c r="H257" i="5"/>
  <c r="I257" i="5"/>
  <c r="L257" i="5"/>
  <c r="N257" i="5"/>
  <c r="O257" i="5"/>
  <c r="Z257" i="5"/>
  <c r="AN257" i="5"/>
  <c r="AG258" i="5"/>
  <c r="AF258" i="5"/>
  <c r="B257" i="4"/>
  <c r="C257" i="4"/>
  <c r="C258" i="5"/>
  <c r="D257" i="4"/>
  <c r="E258" i="5"/>
  <c r="H257" i="4"/>
  <c r="K258" i="5"/>
  <c r="L257" i="4"/>
  <c r="Q258" i="5"/>
  <c r="M257" i="4"/>
  <c r="R258" i="5"/>
  <c r="T258" i="5"/>
  <c r="O257" i="4"/>
  <c r="U258" i="5"/>
  <c r="P257" i="4"/>
  <c r="W258" i="5"/>
  <c r="Q257" i="4"/>
  <c r="X258" i="5"/>
  <c r="S257" i="4"/>
  <c r="AA258" i="5"/>
  <c r="AI257" i="4"/>
  <c r="T257" i="4" a="1"/>
  <c r="T257" i="4"/>
  <c r="AC258" i="5"/>
  <c r="U257" i="4" a="1"/>
  <c r="U257" i="4"/>
  <c r="AD258" i="5"/>
  <c r="X257" i="4"/>
  <c r="AI258" i="5"/>
  <c r="Y257" i="4"/>
  <c r="AJ258" i="5"/>
  <c r="Z257" i="4"/>
  <c r="AL258" i="5"/>
  <c r="F258" i="5"/>
  <c r="H258" i="5"/>
  <c r="I258" i="5"/>
  <c r="L258" i="5"/>
  <c r="N258" i="5"/>
  <c r="O258" i="5"/>
  <c r="Z258" i="5"/>
  <c r="AN258" i="5"/>
  <c r="AG259" i="5"/>
  <c r="AF259" i="5"/>
  <c r="B243" i="4"/>
  <c r="C243" i="4"/>
  <c r="C259" i="5"/>
  <c r="D243" i="4"/>
  <c r="E259" i="5"/>
  <c r="K259" i="5"/>
  <c r="L243" i="4"/>
  <c r="Q259" i="5"/>
  <c r="M243" i="4"/>
  <c r="R259" i="5"/>
  <c r="T259" i="5"/>
  <c r="U259" i="5"/>
  <c r="P243" i="4"/>
  <c r="W259" i="5"/>
  <c r="Q243" i="4"/>
  <c r="X259" i="5"/>
  <c r="S243" i="4"/>
  <c r="AA259" i="5"/>
  <c r="AI243" i="4"/>
  <c r="T243" i="4" a="1"/>
  <c r="T243" i="4"/>
  <c r="AC259" i="5"/>
  <c r="U243" i="4" a="1"/>
  <c r="U243" i="4"/>
  <c r="AD259" i="5"/>
  <c r="X243" i="4"/>
  <c r="AI259" i="5"/>
  <c r="Y243" i="4"/>
  <c r="AJ259" i="5"/>
  <c r="Z243" i="4"/>
  <c r="AL259" i="5"/>
  <c r="F259" i="5"/>
  <c r="H259" i="5"/>
  <c r="I259" i="5"/>
  <c r="L259" i="5"/>
  <c r="N259" i="5"/>
  <c r="O259" i="5"/>
  <c r="Z259" i="5"/>
  <c r="AN259" i="5"/>
  <c r="AG260" i="5"/>
  <c r="AF260" i="5"/>
  <c r="C268" i="4"/>
  <c r="C260" i="5"/>
  <c r="T260" i="5"/>
  <c r="U260" i="5"/>
  <c r="P268" i="4"/>
  <c r="W260" i="5"/>
  <c r="Q268" i="4"/>
  <c r="X260" i="5"/>
  <c r="S268" i="4"/>
  <c r="AA260" i="5"/>
  <c r="AI268" i="4"/>
  <c r="T268" i="4" a="1"/>
  <c r="T268" i="4"/>
  <c r="AC260" i="5"/>
  <c r="U268" i="4" a="1"/>
  <c r="U268" i="4"/>
  <c r="AD260" i="5"/>
  <c r="X268" i="4"/>
  <c r="AI260" i="5"/>
  <c r="Y268" i="4"/>
  <c r="AJ260" i="5"/>
  <c r="Z268" i="4"/>
  <c r="AL260" i="5"/>
  <c r="F260" i="5"/>
  <c r="H260" i="5"/>
  <c r="I260" i="5"/>
  <c r="L260" i="5"/>
  <c r="N260" i="5"/>
  <c r="O260" i="5"/>
  <c r="Z260" i="5"/>
  <c r="AN260" i="5"/>
  <c r="AG261" i="5"/>
  <c r="AF261" i="5"/>
  <c r="B269" i="4"/>
  <c r="C269" i="4"/>
  <c r="C261" i="5"/>
  <c r="D269" i="4"/>
  <c r="E261" i="5"/>
  <c r="K261" i="5"/>
  <c r="L269" i="4"/>
  <c r="Q261" i="5"/>
  <c r="M269" i="4"/>
  <c r="R261" i="5"/>
  <c r="N269" i="4"/>
  <c r="T261" i="5"/>
  <c r="O269" i="4"/>
  <c r="U261" i="5"/>
  <c r="P269" i="4"/>
  <c r="W261" i="5"/>
  <c r="Q269" i="4"/>
  <c r="X261" i="5"/>
  <c r="S269" i="4"/>
  <c r="AA261" i="5"/>
  <c r="AI269" i="4"/>
  <c r="T269" i="4" a="1"/>
  <c r="T269" i="4"/>
  <c r="AC261" i="5"/>
  <c r="U269" i="4" a="1"/>
  <c r="U269" i="4"/>
  <c r="AD261" i="5"/>
  <c r="X269" i="4"/>
  <c r="AI261" i="5"/>
  <c r="Y269" i="4"/>
  <c r="AJ261" i="5"/>
  <c r="Z269" i="4"/>
  <c r="AL261" i="5"/>
  <c r="F261" i="5"/>
  <c r="H261" i="5"/>
  <c r="I261" i="5"/>
  <c r="L261" i="5"/>
  <c r="N261" i="5"/>
  <c r="O261" i="5"/>
  <c r="Z261" i="5"/>
  <c r="AN261" i="5"/>
  <c r="AG262" i="5"/>
  <c r="AF262" i="5"/>
  <c r="C151" i="4"/>
  <c r="C262" i="5"/>
  <c r="D151" i="4"/>
  <c r="E262" i="5"/>
  <c r="K262" i="5"/>
  <c r="L151" i="4"/>
  <c r="Q262" i="5"/>
  <c r="M151" i="4"/>
  <c r="R262" i="5"/>
  <c r="T262" i="5"/>
  <c r="U262" i="5"/>
  <c r="P151" i="4"/>
  <c r="W262" i="5"/>
  <c r="Q151" i="4"/>
  <c r="X262" i="5"/>
  <c r="S151" i="4"/>
  <c r="AA262" i="5"/>
  <c r="AI151" i="4"/>
  <c r="T151" i="4" a="1"/>
  <c r="T151" i="4"/>
  <c r="AC262" i="5"/>
  <c r="U151" i="4" a="1"/>
  <c r="U151" i="4"/>
  <c r="AD262" i="5"/>
  <c r="X151" i="4"/>
  <c r="AI262" i="5"/>
  <c r="Y151" i="4"/>
  <c r="AJ262" i="5"/>
  <c r="Z151" i="4"/>
  <c r="AL262" i="5"/>
  <c r="F262" i="5"/>
  <c r="H262" i="5"/>
  <c r="I262" i="5"/>
  <c r="L262" i="5"/>
  <c r="N262" i="5"/>
  <c r="O262" i="5"/>
  <c r="Z262" i="5"/>
  <c r="AN262" i="5"/>
  <c r="AG263" i="5"/>
  <c r="AF263" i="5"/>
  <c r="C66" i="4"/>
  <c r="C263" i="5"/>
  <c r="N66" i="4"/>
  <c r="T263" i="5"/>
  <c r="O66" i="4"/>
  <c r="U263" i="5"/>
  <c r="P66" i="4"/>
  <c r="W263" i="5"/>
  <c r="Q66" i="4"/>
  <c r="X263" i="5"/>
  <c r="AA263" i="5"/>
  <c r="AI66" i="4"/>
  <c r="T66" i="4" a="1"/>
  <c r="T66" i="4"/>
  <c r="AC263" i="5"/>
  <c r="U66" i="4" a="1"/>
  <c r="U66" i="4"/>
  <c r="AD263" i="5"/>
  <c r="X66" i="4"/>
  <c r="AI263" i="5"/>
  <c r="Y66" i="4"/>
  <c r="AJ263" i="5"/>
  <c r="Z66" i="4"/>
  <c r="AL263" i="5"/>
  <c r="F263" i="5"/>
  <c r="H263" i="5"/>
  <c r="I263" i="5"/>
  <c r="L263" i="5"/>
  <c r="N263" i="5"/>
  <c r="O263" i="5"/>
  <c r="Z263" i="5"/>
  <c r="AN263" i="5"/>
  <c r="O264" i="5"/>
  <c r="K264" i="5"/>
  <c r="AG264" i="5"/>
  <c r="AF264" i="5"/>
  <c r="B289" i="4"/>
  <c r="C289" i="4"/>
  <c r="C264" i="5"/>
  <c r="D289" i="4"/>
  <c r="E264" i="5"/>
  <c r="E289" i="4"/>
  <c r="F264" i="5"/>
  <c r="F289" i="4"/>
  <c r="H264" i="5"/>
  <c r="I264" i="5"/>
  <c r="I289" i="4"/>
  <c r="L264" i="5"/>
  <c r="J289" i="4"/>
  <c r="N264" i="5"/>
  <c r="L289" i="4"/>
  <c r="Q264" i="5"/>
  <c r="M289" i="4"/>
  <c r="R264" i="5"/>
  <c r="N289" i="4"/>
  <c r="T264" i="5"/>
  <c r="U264" i="5"/>
  <c r="P289" i="4"/>
  <c r="W264" i="5"/>
  <c r="Q289" i="4"/>
  <c r="X264" i="5"/>
  <c r="S289" i="4"/>
  <c r="AA264" i="5"/>
  <c r="AI289" i="4"/>
  <c r="T289" i="4" a="1"/>
  <c r="T289" i="4"/>
  <c r="AC264" i="5"/>
  <c r="U289" i="4" a="1"/>
  <c r="U289" i="4"/>
  <c r="AD264" i="5"/>
  <c r="AI264" i="5"/>
  <c r="Y289" i="4"/>
  <c r="AJ264" i="5"/>
  <c r="Z289" i="4"/>
  <c r="AL264" i="5"/>
  <c r="Z264" i="5"/>
  <c r="AN264" i="5"/>
  <c r="AG265" i="5"/>
  <c r="AF265" i="5"/>
  <c r="B265" i="4"/>
  <c r="C265" i="4"/>
  <c r="C265" i="5"/>
  <c r="D265" i="4"/>
  <c r="E265" i="5"/>
  <c r="H265" i="4"/>
  <c r="K265" i="5"/>
  <c r="I265" i="4"/>
  <c r="L265" i="5"/>
  <c r="J265" i="4"/>
  <c r="N265" i="5"/>
  <c r="O265" i="5"/>
  <c r="L265" i="4"/>
  <c r="Q265" i="5"/>
  <c r="M265" i="4"/>
  <c r="R265" i="5"/>
  <c r="N265" i="4"/>
  <c r="T265" i="5"/>
  <c r="O265" i="4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I266" i="4"/>
  <c r="L266" i="5"/>
  <c r="J266" i="4"/>
  <c r="N266" i="5"/>
  <c r="O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H266" i="5"/>
  <c r="I266" i="5"/>
  <c r="Z266" i="5"/>
  <c r="AN266" i="5"/>
  <c r="AG267" i="5"/>
  <c r="AF267" i="5"/>
  <c r="B267" i="4"/>
  <c r="C267" i="4"/>
  <c r="C267" i="5"/>
  <c r="D267" i="4"/>
  <c r="E267" i="5"/>
  <c r="K267" i="5"/>
  <c r="L267" i="4"/>
  <c r="Q267" i="5"/>
  <c r="M267" i="4"/>
  <c r="R267" i="5"/>
  <c r="N267" i="4"/>
  <c r="T267" i="5"/>
  <c r="U267" i="5"/>
  <c r="P267" i="4"/>
  <c r="W267" i="5"/>
  <c r="Q267" i="4"/>
  <c r="X267" i="5"/>
  <c r="S267" i="4"/>
  <c r="AA267" i="5"/>
  <c r="AI267" i="4"/>
  <c r="T267" i="4" a="1"/>
  <c r="T267" i="4"/>
  <c r="AC267" i="5"/>
  <c r="U267" i="4" a="1"/>
  <c r="U267" i="4"/>
  <c r="AD267" i="5"/>
  <c r="X267" i="4"/>
  <c r="AI267" i="5"/>
  <c r="Y267" i="4"/>
  <c r="AJ267" i="5"/>
  <c r="Z267" i="4"/>
  <c r="AL267" i="5"/>
  <c r="F267" i="5"/>
  <c r="L267" i="5"/>
  <c r="N267" i="5"/>
  <c r="O267" i="5"/>
  <c r="H267" i="5"/>
  <c r="I267" i="5"/>
  <c r="Z267" i="5"/>
  <c r="AN267" i="5"/>
  <c r="AG268" i="5"/>
  <c r="AF268" i="5"/>
  <c r="B297" i="4"/>
  <c r="C297" i="4"/>
  <c r="C268" i="5"/>
  <c r="D297" i="4"/>
  <c r="E268" i="5"/>
  <c r="E297" i="4"/>
  <c r="F268" i="5"/>
  <c r="F297" i="4"/>
  <c r="H268" i="5"/>
  <c r="I268" i="5"/>
  <c r="H297" i="4"/>
  <c r="K268" i="5"/>
  <c r="L297" i="4"/>
  <c r="Q268" i="5"/>
  <c r="M297" i="4"/>
  <c r="R268" i="5"/>
  <c r="N297" i="4"/>
  <c r="T268" i="5"/>
  <c r="O297" i="4"/>
  <c r="U268" i="5"/>
  <c r="P297" i="4"/>
  <c r="W268" i="5"/>
  <c r="Q297" i="4"/>
  <c r="X268" i="5"/>
  <c r="S297" i="4"/>
  <c r="AA268" i="5"/>
  <c r="AI297" i="4"/>
  <c r="T297" i="4" a="1"/>
  <c r="T297" i="4"/>
  <c r="AC268" i="5"/>
  <c r="U297" i="4" a="1"/>
  <c r="U297" i="4"/>
  <c r="AD268" i="5"/>
  <c r="X297" i="4"/>
  <c r="AI268" i="5"/>
  <c r="Y297" i="4"/>
  <c r="AJ268" i="5"/>
  <c r="Z297" i="4"/>
  <c r="AL268" i="5"/>
  <c r="L268" i="5"/>
  <c r="N268" i="5"/>
  <c r="O268" i="5"/>
  <c r="Z268" i="5"/>
  <c r="AN268" i="5"/>
  <c r="O269" i="5"/>
  <c r="H126" i="4"/>
  <c r="K269" i="5"/>
  <c r="AG269" i="5"/>
  <c r="AF269" i="5"/>
  <c r="C126" i="4"/>
  <c r="C269" i="5"/>
  <c r="D126" i="4"/>
  <c r="E269" i="5"/>
  <c r="I126" i="4"/>
  <c r="L269" i="5"/>
  <c r="J126" i="4"/>
  <c r="N269" i="5"/>
  <c r="L126" i="4"/>
  <c r="Q269" i="5"/>
  <c r="M126" i="4"/>
  <c r="R269" i="5"/>
  <c r="T269" i="5"/>
  <c r="O126" i="4"/>
  <c r="U269" i="5"/>
  <c r="P126" i="4"/>
  <c r="W269" i="5"/>
  <c r="Q126" i="4"/>
  <c r="X269" i="5"/>
  <c r="S126" i="4"/>
  <c r="AA269" i="5"/>
  <c r="AI126" i="4"/>
  <c r="T126" i="4" a="1"/>
  <c r="T126" i="4"/>
  <c r="AC269" i="5"/>
  <c r="U126" i="4" a="1"/>
  <c r="U126" i="4"/>
  <c r="AD269" i="5"/>
  <c r="X126" i="4"/>
  <c r="AI269" i="5"/>
  <c r="Y126" i="4"/>
  <c r="AJ269" i="5"/>
  <c r="Z126" i="4"/>
  <c r="AL269" i="5"/>
  <c r="F269" i="5"/>
  <c r="H269" i="5"/>
  <c r="I269" i="5"/>
  <c r="Z269" i="5"/>
  <c r="AN269" i="5"/>
  <c r="B278" i="4"/>
  <c r="S278" i="4"/>
  <c r="AA270" i="5"/>
  <c r="P278" i="4"/>
  <c r="W270" i="5"/>
  <c r="AG270" i="5"/>
  <c r="AF270" i="5"/>
  <c r="C278" i="4"/>
  <c r="C270" i="5"/>
  <c r="D278" i="4"/>
  <c r="E270" i="5"/>
  <c r="E278" i="4"/>
  <c r="F270" i="5"/>
  <c r="F278" i="4"/>
  <c r="H270" i="5"/>
  <c r="I270" i="5"/>
  <c r="K270" i="5"/>
  <c r="L278" i="4"/>
  <c r="Q270" i="5"/>
  <c r="M278" i="4"/>
  <c r="R270" i="5"/>
  <c r="T270" i="5"/>
  <c r="U270" i="5"/>
  <c r="Q278" i="4"/>
  <c r="X270" i="5"/>
  <c r="R278" i="4"/>
  <c r="Z270" i="5"/>
  <c r="AI278" i="4"/>
  <c r="T278" i="4" a="1"/>
  <c r="T278" i="4"/>
  <c r="AC270" i="5"/>
  <c r="U278" i="4" a="1"/>
  <c r="U278" i="4"/>
  <c r="AD270" i="5"/>
  <c r="X278" i="4"/>
  <c r="AI270" i="5"/>
  <c r="Y278" i="4"/>
  <c r="AJ270" i="5"/>
  <c r="Z278" i="4"/>
  <c r="AL270" i="5"/>
  <c r="L270" i="5"/>
  <c r="N270" i="5"/>
  <c r="O270" i="5"/>
  <c r="AN270" i="5"/>
  <c r="B17" i="4"/>
  <c r="S17" i="4"/>
  <c r="AA271" i="5"/>
  <c r="P17" i="4"/>
  <c r="W271" i="5"/>
  <c r="AG271" i="5"/>
  <c r="AF271" i="5"/>
  <c r="C17" i="4"/>
  <c r="C271" i="5"/>
  <c r="D17" i="4"/>
  <c r="E271" i="5"/>
  <c r="E17" i="4"/>
  <c r="F271" i="5"/>
  <c r="F17" i="4"/>
  <c r="H271" i="5"/>
  <c r="I271" i="5"/>
  <c r="K271" i="5"/>
  <c r="L17" i="4"/>
  <c r="Q271" i="5"/>
  <c r="O17" i="4"/>
  <c r="U271" i="5"/>
  <c r="Q17" i="4"/>
  <c r="X271" i="5"/>
  <c r="R17" i="4"/>
  <c r="Z271" i="5"/>
  <c r="AI17" i="4"/>
  <c r="T17" i="4" a="1"/>
  <c r="T17" i="4"/>
  <c r="AC271" i="5"/>
  <c r="U17" i="4" a="1"/>
  <c r="U17" i="4"/>
  <c r="AD271" i="5"/>
  <c r="X17" i="4"/>
  <c r="AI271" i="5"/>
  <c r="Y17" i="4"/>
  <c r="AJ271" i="5"/>
  <c r="Z17" i="4"/>
  <c r="AL271" i="5"/>
  <c r="L271" i="5"/>
  <c r="N271" i="5"/>
  <c r="O271" i="5"/>
  <c r="R271" i="5"/>
  <c r="AN271" i="5"/>
  <c r="O272" i="5"/>
  <c r="H157" i="4"/>
  <c r="K272" i="5"/>
  <c r="AG272" i="5"/>
  <c r="AF272" i="5"/>
  <c r="C157" i="4"/>
  <c r="C272" i="5"/>
  <c r="D157" i="4"/>
  <c r="E272" i="5"/>
  <c r="E157" i="4"/>
  <c r="F272" i="5"/>
  <c r="F157" i="4"/>
  <c r="H272" i="5"/>
  <c r="I272" i="5"/>
  <c r="I157" i="4"/>
  <c r="L272" i="5"/>
  <c r="J157" i="4"/>
  <c r="N272" i="5"/>
  <c r="L157" i="4"/>
  <c r="Q272" i="5"/>
  <c r="M157" i="4"/>
  <c r="R272" i="5"/>
  <c r="N157" i="4"/>
  <c r="T272" i="5"/>
  <c r="O157" i="4"/>
  <c r="U272" i="5"/>
  <c r="P157" i="4"/>
  <c r="W272" i="5"/>
  <c r="Q157" i="4"/>
  <c r="X272" i="5"/>
  <c r="S157" i="4"/>
  <c r="AA272" i="5"/>
  <c r="AI157" i="4"/>
  <c r="T157" i="4" a="1"/>
  <c r="T157" i="4"/>
  <c r="AC272" i="5"/>
  <c r="U157" i="4" a="1"/>
  <c r="U157" i="4"/>
  <c r="AD272" i="5"/>
  <c r="X157" i="4"/>
  <c r="AI272" i="5"/>
  <c r="Y157" i="4"/>
  <c r="AJ272" i="5"/>
  <c r="Z157" i="4"/>
  <c r="AL272" i="5"/>
  <c r="Z272" i="5"/>
  <c r="AN272" i="5"/>
  <c r="O273" i="5"/>
  <c r="B42" i="4"/>
  <c r="H42" i="4"/>
  <c r="K273" i="5"/>
  <c r="AG273" i="5"/>
  <c r="AF273" i="5"/>
  <c r="C42" i="4"/>
  <c r="C273" i="5"/>
  <c r="D42" i="4"/>
  <c r="E273" i="5"/>
  <c r="E42" i="4"/>
  <c r="F273" i="5"/>
  <c r="F42" i="4"/>
  <c r="H273" i="5"/>
  <c r="I273" i="5"/>
  <c r="I42" i="4"/>
  <c r="L273" i="5"/>
  <c r="J42" i="4"/>
  <c r="N273" i="5"/>
  <c r="L42" i="4"/>
  <c r="Q273" i="5"/>
  <c r="M42" i="4"/>
  <c r="R273" i="5"/>
  <c r="T273" i="5"/>
  <c r="O42" i="4"/>
  <c r="U273" i="5"/>
  <c r="W273" i="5"/>
  <c r="Q42" i="4"/>
  <c r="X273" i="5"/>
  <c r="AA273" i="5"/>
  <c r="AI42" i="4"/>
  <c r="T42" i="4" a="1"/>
  <c r="T42" i="4"/>
  <c r="AC273" i="5"/>
  <c r="U42" i="4" a="1"/>
  <c r="U42" i="4"/>
  <c r="AD273" i="5"/>
  <c r="X42" i="4"/>
  <c r="AI273" i="5"/>
  <c r="Y42" i="4"/>
  <c r="AJ273" i="5"/>
  <c r="Z42" i="4"/>
  <c r="AL273" i="5"/>
  <c r="Z273" i="5"/>
  <c r="AN273" i="5"/>
  <c r="AG274" i="5"/>
  <c r="AF274" i="5"/>
  <c r="B72" i="4"/>
  <c r="C72" i="4"/>
  <c r="C274" i="5"/>
  <c r="D72" i="4"/>
  <c r="E274" i="5"/>
  <c r="H72" i="4"/>
  <c r="K274" i="5"/>
  <c r="L72" i="4"/>
  <c r="Q274" i="5"/>
  <c r="M72" i="4"/>
  <c r="R274" i="5"/>
  <c r="T274" i="5"/>
  <c r="O72" i="4"/>
  <c r="U274" i="5"/>
  <c r="P72" i="4"/>
  <c r="W274" i="5"/>
  <c r="Q72" i="4"/>
  <c r="X274" i="5"/>
  <c r="S72" i="4"/>
  <c r="AA274" i="5"/>
  <c r="AI72" i="4"/>
  <c r="T72" i="4" a="1"/>
  <c r="T72" i="4"/>
  <c r="AC274" i="5"/>
  <c r="U72" i="4" a="1"/>
  <c r="U72" i="4"/>
  <c r="AD274" i="5"/>
  <c r="X72" i="4"/>
  <c r="AI274" i="5"/>
  <c r="Y72" i="4"/>
  <c r="AJ274" i="5"/>
  <c r="Z72" i="4"/>
  <c r="AL274" i="5"/>
  <c r="F274" i="5"/>
  <c r="L274" i="5"/>
  <c r="N274" i="5"/>
  <c r="O274" i="5"/>
  <c r="H274" i="5"/>
  <c r="I274" i="5"/>
  <c r="Z274" i="5"/>
  <c r="AN274" i="5"/>
  <c r="O275" i="5"/>
  <c r="K275" i="5"/>
  <c r="AG275" i="5"/>
  <c r="AF275" i="5"/>
  <c r="C128" i="4"/>
  <c r="C275" i="5"/>
  <c r="D128" i="4"/>
  <c r="E275" i="5"/>
  <c r="L275" i="5"/>
  <c r="N275" i="5"/>
  <c r="L128" i="4"/>
  <c r="Q275" i="5"/>
  <c r="M128" i="4"/>
  <c r="R275" i="5"/>
  <c r="N128" i="4"/>
  <c r="T275" i="5"/>
  <c r="U275" i="5"/>
  <c r="P128" i="4"/>
  <c r="W275" i="5"/>
  <c r="X275" i="5"/>
  <c r="AA275" i="5"/>
  <c r="AI128" i="4"/>
  <c r="T128" i="4" a="1"/>
  <c r="T128" i="4"/>
  <c r="AC275" i="5"/>
  <c r="U128" i="4" a="1"/>
  <c r="U128" i="4"/>
  <c r="AD275" i="5"/>
  <c r="X128" i="4"/>
  <c r="AI275" i="5"/>
  <c r="Y128" i="4"/>
  <c r="AJ275" i="5"/>
  <c r="Z128" i="4"/>
  <c r="AL275" i="5"/>
  <c r="F275" i="5"/>
  <c r="H275" i="5"/>
  <c r="I275" i="5"/>
  <c r="Z275" i="5"/>
  <c r="AN275" i="5"/>
  <c r="AG276" i="5"/>
  <c r="AF276" i="5"/>
  <c r="C159" i="4"/>
  <c r="C276" i="5"/>
  <c r="D159" i="4"/>
  <c r="E276" i="5"/>
  <c r="H159" i="4"/>
  <c r="K276" i="5"/>
  <c r="L159" i="4"/>
  <c r="Q276" i="5"/>
  <c r="M159" i="4"/>
  <c r="R276" i="5"/>
  <c r="N159" i="4"/>
  <c r="T276" i="5"/>
  <c r="U276" i="5"/>
  <c r="P159" i="4"/>
  <c r="W276" i="5"/>
  <c r="Q159" i="4"/>
  <c r="X276" i="5"/>
  <c r="AA276" i="5"/>
  <c r="AI159" i="4"/>
  <c r="T159" i="4" a="1"/>
  <c r="T159" i="4"/>
  <c r="AC276" i="5"/>
  <c r="U159" i="4" a="1"/>
  <c r="U159" i="4"/>
  <c r="AD276" i="5"/>
  <c r="Y159" i="4"/>
  <c r="AJ276" i="5"/>
  <c r="Z159" i="4"/>
  <c r="AL276" i="5"/>
  <c r="F276" i="5"/>
  <c r="L276" i="5"/>
  <c r="N276" i="5"/>
  <c r="O276" i="5"/>
  <c r="H276" i="5"/>
  <c r="I276" i="5"/>
  <c r="Z276" i="5"/>
  <c r="AN276" i="5"/>
  <c r="O277" i="5"/>
  <c r="B3" i="4"/>
  <c r="H3" i="4"/>
  <c r="K277" i="5"/>
  <c r="AG277" i="5"/>
  <c r="AF277" i="5"/>
  <c r="C3" i="4"/>
  <c r="C277" i="5"/>
  <c r="D3" i="4"/>
  <c r="E277" i="5"/>
  <c r="E3" i="4"/>
  <c r="F277" i="5"/>
  <c r="F3" i="4"/>
  <c r="H277" i="5"/>
  <c r="I277" i="5"/>
  <c r="I3" i="4"/>
  <c r="L277" i="5"/>
  <c r="J3" i="4"/>
  <c r="N277" i="5"/>
  <c r="L3" i="4"/>
  <c r="Q277" i="5"/>
  <c r="M3" i="4"/>
  <c r="R277" i="5"/>
  <c r="N3" i="4"/>
  <c r="T277" i="5"/>
  <c r="O3" i="4"/>
  <c r="U277" i="5"/>
  <c r="P3" i="4"/>
  <c r="W277" i="5"/>
  <c r="Q3" i="4"/>
  <c r="X277" i="5"/>
  <c r="AA277" i="5"/>
  <c r="AI3" i="4"/>
  <c r="T3" i="4" a="1"/>
  <c r="T3" i="4"/>
  <c r="AC277" i="5"/>
  <c r="U3" i="4" a="1"/>
  <c r="U3" i="4"/>
  <c r="AD277" i="5"/>
  <c r="X3" i="4"/>
  <c r="AI277" i="5"/>
  <c r="Y3" i="4"/>
  <c r="AJ277" i="5"/>
  <c r="Z3" i="4"/>
  <c r="AL277" i="5"/>
  <c r="Z277" i="5"/>
  <c r="AN277" i="5"/>
  <c r="AG278" i="5"/>
  <c r="AF278" i="5"/>
  <c r="C160" i="4"/>
  <c r="C278" i="5"/>
  <c r="D160" i="4"/>
  <c r="E278" i="5"/>
  <c r="H160" i="4"/>
  <c r="K278" i="5"/>
  <c r="L160" i="4"/>
  <c r="Q278" i="5"/>
  <c r="M160" i="4"/>
  <c r="R278" i="5"/>
  <c r="N160" i="4"/>
  <c r="T278" i="5"/>
  <c r="U278" i="5"/>
  <c r="P160" i="4"/>
  <c r="W278" i="5"/>
  <c r="Q160" i="4"/>
  <c r="X278" i="5"/>
  <c r="AA278" i="5"/>
  <c r="AI160" i="4"/>
  <c r="T160" i="4" a="1"/>
  <c r="T160" i="4"/>
  <c r="AC278" i="5"/>
  <c r="U160" i="4" a="1"/>
  <c r="U160" i="4"/>
  <c r="AD278" i="5"/>
  <c r="X160" i="4"/>
  <c r="AI278" i="5"/>
  <c r="Y160" i="4"/>
  <c r="AJ278" i="5"/>
  <c r="Z160" i="4"/>
  <c r="AL278" i="5"/>
  <c r="L278" i="5"/>
  <c r="N278" i="5"/>
  <c r="O278" i="5"/>
  <c r="F278" i="5"/>
  <c r="H278" i="5"/>
  <c r="I278" i="5"/>
  <c r="Z278" i="5"/>
  <c r="AN278" i="5"/>
  <c r="O279" i="5"/>
  <c r="K279" i="5"/>
  <c r="AG279" i="5"/>
  <c r="AF279" i="5"/>
  <c r="C109" i="4"/>
  <c r="C279" i="5"/>
  <c r="D109" i="4"/>
  <c r="E279" i="5"/>
  <c r="I109" i="4"/>
  <c r="L279" i="5"/>
  <c r="J109" i="4"/>
  <c r="N279" i="5"/>
  <c r="L109" i="4"/>
  <c r="Q279" i="5"/>
  <c r="M109" i="4"/>
  <c r="R279" i="5"/>
  <c r="N109" i="4"/>
  <c r="T279" i="5"/>
  <c r="O109" i="4"/>
  <c r="U279" i="5"/>
  <c r="P109" i="4"/>
  <c r="W279" i="5"/>
  <c r="Q109" i="4"/>
  <c r="X279" i="5"/>
  <c r="S109" i="4"/>
  <c r="AA279" i="5"/>
  <c r="AI109" i="4"/>
  <c r="T109" i="4" a="1"/>
  <c r="T109" i="4"/>
  <c r="AC279" i="5"/>
  <c r="U109" i="4" a="1"/>
  <c r="U109" i="4"/>
  <c r="AD279" i="5"/>
  <c r="AI279" i="5"/>
  <c r="Y109" i="4"/>
  <c r="AJ279" i="5"/>
  <c r="Z109" i="4"/>
  <c r="AL279" i="5"/>
  <c r="F279" i="5"/>
  <c r="H279" i="5"/>
  <c r="I279" i="5"/>
  <c r="Z279" i="5"/>
  <c r="AN279" i="5"/>
  <c r="AG280" i="5"/>
  <c r="AF280" i="5"/>
  <c r="B45" i="4"/>
  <c r="C45" i="4"/>
  <c r="C280" i="5"/>
  <c r="D45" i="4"/>
  <c r="E280" i="5"/>
  <c r="H45" i="4"/>
  <c r="K280" i="5"/>
  <c r="L45" i="4"/>
  <c r="Q280" i="5"/>
  <c r="M45" i="4"/>
  <c r="R280" i="5"/>
  <c r="T280" i="5"/>
  <c r="O45" i="4"/>
  <c r="U280" i="5"/>
  <c r="P45" i="4"/>
  <c r="W280" i="5"/>
  <c r="Q45" i="4"/>
  <c r="X280" i="5"/>
  <c r="S45" i="4"/>
  <c r="AA280" i="5"/>
  <c r="AI45" i="4"/>
  <c r="T45" i="4" a="1"/>
  <c r="T45" i="4"/>
  <c r="AC280" i="5"/>
  <c r="U45" i="4" a="1"/>
  <c r="U45" i="4"/>
  <c r="AD280" i="5"/>
  <c r="X45" i="4"/>
  <c r="AI280" i="5"/>
  <c r="Y45" i="4"/>
  <c r="AJ280" i="5"/>
  <c r="Z45" i="4"/>
  <c r="AL280" i="5"/>
  <c r="F280" i="5"/>
  <c r="H280" i="5"/>
  <c r="I280" i="5"/>
  <c r="L280" i="5"/>
  <c r="N280" i="5"/>
  <c r="O280" i="5"/>
  <c r="Z280" i="5"/>
  <c r="AN280" i="5"/>
  <c r="AG281" i="5"/>
  <c r="AF281" i="5"/>
  <c r="C169" i="4"/>
  <c r="C281" i="5"/>
  <c r="T281" i="5"/>
  <c r="O169" i="4"/>
  <c r="U281" i="5"/>
  <c r="P169" i="4"/>
  <c r="W281" i="5"/>
  <c r="Q169" i="4"/>
  <c r="X281" i="5"/>
  <c r="AA281" i="5"/>
  <c r="AI169" i="4"/>
  <c r="T169" i="4" a="1"/>
  <c r="T169" i="4"/>
  <c r="AC281" i="5"/>
  <c r="U169" i="4" a="1"/>
  <c r="U169" i="4"/>
  <c r="AD281" i="5"/>
  <c r="X169" i="4"/>
  <c r="AI281" i="5"/>
  <c r="Y169" i="4"/>
  <c r="AJ281" i="5"/>
  <c r="Z169" i="4"/>
  <c r="AL281" i="5"/>
  <c r="F281" i="5"/>
  <c r="H281" i="5"/>
  <c r="I281" i="5"/>
  <c r="L281" i="5"/>
  <c r="N281" i="5"/>
  <c r="O281" i="5"/>
  <c r="Z281" i="5"/>
  <c r="AN281" i="5"/>
  <c r="AG282" i="5"/>
  <c r="AF282" i="5"/>
  <c r="C170" i="4"/>
  <c r="C282" i="5"/>
  <c r="D170" i="4"/>
  <c r="E282" i="5"/>
  <c r="H170" i="4"/>
  <c r="K282" i="5"/>
  <c r="L170" i="4"/>
  <c r="Q282" i="5"/>
  <c r="M170" i="4"/>
  <c r="R282" i="5"/>
  <c r="T282" i="5"/>
  <c r="O170" i="4"/>
  <c r="U282" i="5"/>
  <c r="P170" i="4"/>
  <c r="W282" i="5"/>
  <c r="Q170" i="4"/>
  <c r="X282" i="5"/>
  <c r="S170" i="4"/>
  <c r="AA282" i="5"/>
  <c r="AI170" i="4"/>
  <c r="T170" i="4" a="1"/>
  <c r="T170" i="4"/>
  <c r="AC282" i="5"/>
  <c r="U170" i="4" a="1"/>
  <c r="U170" i="4"/>
  <c r="AD282" i="5"/>
  <c r="X170" i="4"/>
  <c r="AI282" i="5"/>
  <c r="Y170" i="4"/>
  <c r="AJ282" i="5"/>
  <c r="Z170" i="4"/>
  <c r="AL282" i="5"/>
  <c r="F282" i="5"/>
  <c r="H282" i="5"/>
  <c r="I282" i="5"/>
  <c r="L282" i="5"/>
  <c r="N282" i="5"/>
  <c r="O282" i="5"/>
  <c r="Z282" i="5"/>
  <c r="AN282" i="5"/>
  <c r="AG283" i="5"/>
  <c r="AF283" i="5"/>
  <c r="C171" i="4"/>
  <c r="C283" i="5"/>
  <c r="D171" i="4"/>
  <c r="E283" i="5"/>
  <c r="H171" i="4"/>
  <c r="K283" i="5"/>
  <c r="L171" i="4"/>
  <c r="Q283" i="5"/>
  <c r="M171" i="4"/>
  <c r="R283" i="5"/>
  <c r="T283" i="5"/>
  <c r="O171" i="4"/>
  <c r="U283" i="5"/>
  <c r="P171" i="4"/>
  <c r="W283" i="5"/>
  <c r="Q171" i="4"/>
  <c r="X283" i="5"/>
  <c r="S171" i="4"/>
  <c r="AA283" i="5"/>
  <c r="AI171" i="4"/>
  <c r="T171" i="4" a="1"/>
  <c r="T171" i="4"/>
  <c r="AC283" i="5"/>
  <c r="U171" i="4" a="1"/>
  <c r="U171" i="4"/>
  <c r="AD283" i="5"/>
  <c r="X171" i="4"/>
  <c r="AI283" i="5"/>
  <c r="Y171" i="4"/>
  <c r="AJ283" i="5"/>
  <c r="Z171" i="4"/>
  <c r="AL283" i="5"/>
  <c r="F283" i="5"/>
  <c r="H283" i="5"/>
  <c r="I283" i="5"/>
  <c r="L283" i="5"/>
  <c r="N283" i="5"/>
  <c r="O283" i="5"/>
  <c r="Z283" i="5"/>
  <c r="AN283" i="5"/>
  <c r="AG284" i="5"/>
  <c r="AF284" i="5"/>
  <c r="C134" i="4"/>
  <c r="C284" i="5"/>
  <c r="D134" i="4"/>
  <c r="E284" i="5"/>
  <c r="K284" i="5"/>
  <c r="L134" i="4"/>
  <c r="Q284" i="5"/>
  <c r="M134" i="4"/>
  <c r="R284" i="5"/>
  <c r="N134" i="4"/>
  <c r="T284" i="5"/>
  <c r="U284" i="5"/>
  <c r="P134" i="4"/>
  <c r="W284" i="5"/>
  <c r="Q134" i="4"/>
  <c r="X284" i="5"/>
  <c r="S134" i="4"/>
  <c r="AA284" i="5"/>
  <c r="AI134" i="4"/>
  <c r="T134" i="4" a="1"/>
  <c r="T134" i="4"/>
  <c r="AC284" i="5"/>
  <c r="U134" i="4" a="1"/>
  <c r="U134" i="4"/>
  <c r="AD284" i="5"/>
  <c r="X134" i="4"/>
  <c r="AI284" i="5"/>
  <c r="Y134" i="4"/>
  <c r="AJ284" i="5"/>
  <c r="Z134" i="4"/>
  <c r="AL284" i="5"/>
  <c r="F284" i="5"/>
  <c r="H284" i="5"/>
  <c r="I284" i="5"/>
  <c r="L284" i="5"/>
  <c r="N284" i="5"/>
  <c r="O284" i="5"/>
  <c r="Z284" i="5"/>
  <c r="AN284" i="5"/>
  <c r="AG285" i="5"/>
  <c r="AF285" i="5"/>
  <c r="C135" i="4"/>
  <c r="C285" i="5"/>
  <c r="D135" i="4"/>
  <c r="E285" i="5"/>
  <c r="K285" i="5"/>
  <c r="L135" i="4"/>
  <c r="Q285" i="5"/>
  <c r="M135" i="4"/>
  <c r="R285" i="5"/>
  <c r="N135" i="4"/>
  <c r="T285" i="5"/>
  <c r="U285" i="5"/>
  <c r="P135" i="4"/>
  <c r="W285" i="5"/>
  <c r="Q135" i="4"/>
  <c r="X285" i="5"/>
  <c r="S135" i="4"/>
  <c r="AA285" i="5"/>
  <c r="AI135" i="4"/>
  <c r="T135" i="4" a="1"/>
  <c r="T135" i="4"/>
  <c r="AC285" i="5"/>
  <c r="U135" i="4" a="1"/>
  <c r="U135" i="4"/>
  <c r="AD285" i="5"/>
  <c r="X135" i="4"/>
  <c r="AI285" i="5"/>
  <c r="Y135" i="4"/>
  <c r="AJ285" i="5"/>
  <c r="Z135" i="4"/>
  <c r="AL285" i="5"/>
  <c r="F285" i="5"/>
  <c r="H285" i="5"/>
  <c r="I285" i="5"/>
  <c r="L285" i="5"/>
  <c r="N285" i="5"/>
  <c r="O285" i="5"/>
  <c r="Z285" i="5"/>
  <c r="AN285" i="5"/>
  <c r="AG286" i="5"/>
  <c r="AF286" i="5"/>
  <c r="B207" i="4"/>
  <c r="C207" i="4"/>
  <c r="C286" i="5"/>
  <c r="D207" i="4"/>
  <c r="E286" i="5"/>
  <c r="H207" i="4"/>
  <c r="K286" i="5"/>
  <c r="L207" i="4"/>
  <c r="Q286" i="5"/>
  <c r="M207" i="4"/>
  <c r="R286" i="5"/>
  <c r="T286" i="5"/>
  <c r="O207" i="4"/>
  <c r="U286" i="5"/>
  <c r="P207" i="4"/>
  <c r="W286" i="5"/>
  <c r="Q207" i="4"/>
  <c r="X286" i="5"/>
  <c r="S207" i="4"/>
  <c r="AA286" i="5"/>
  <c r="AI207" i="4"/>
  <c r="T207" i="4" a="1"/>
  <c r="T207" i="4"/>
  <c r="AC286" i="5"/>
  <c r="U207" i="4" a="1"/>
  <c r="U207" i="4"/>
  <c r="AD286" i="5"/>
  <c r="X207" i="4"/>
  <c r="AI286" i="5"/>
  <c r="Y207" i="4"/>
  <c r="AJ286" i="5"/>
  <c r="Z207" i="4"/>
  <c r="AL286" i="5"/>
  <c r="F286" i="5"/>
  <c r="H286" i="5"/>
  <c r="I286" i="5"/>
  <c r="L286" i="5"/>
  <c r="N286" i="5"/>
  <c r="O286" i="5"/>
  <c r="Z286" i="5"/>
  <c r="AN286" i="5"/>
  <c r="AG287" i="5"/>
  <c r="AF287" i="5"/>
  <c r="B208" i="4"/>
  <c r="C208" i="4"/>
  <c r="C287" i="5"/>
  <c r="D208" i="4"/>
  <c r="E287" i="5"/>
  <c r="H208" i="4"/>
  <c r="K287" i="5"/>
  <c r="L208" i="4"/>
  <c r="Q287" i="5"/>
  <c r="M208" i="4"/>
  <c r="R287" i="5"/>
  <c r="T287" i="5"/>
  <c r="O208" i="4"/>
  <c r="U287" i="5"/>
  <c r="P208" i="4"/>
  <c r="W287" i="5"/>
  <c r="Q208" i="4"/>
  <c r="X287" i="5"/>
  <c r="S208" i="4"/>
  <c r="AA287" i="5"/>
  <c r="AI208" i="4"/>
  <c r="T208" i="4" a="1"/>
  <c r="T208" i="4"/>
  <c r="AC287" i="5"/>
  <c r="U208" i="4" a="1"/>
  <c r="U208" i="4"/>
  <c r="AD287" i="5"/>
  <c r="X208" i="4"/>
  <c r="AI287" i="5"/>
  <c r="Y208" i="4"/>
  <c r="AJ287" i="5"/>
  <c r="Z208" i="4"/>
  <c r="AL287" i="5"/>
  <c r="F287" i="5"/>
  <c r="H287" i="5"/>
  <c r="I287" i="5"/>
  <c r="L287" i="5"/>
  <c r="N287" i="5"/>
  <c r="O287" i="5"/>
  <c r="Z287" i="5"/>
  <c r="AN287" i="5"/>
  <c r="AG288" i="5"/>
  <c r="AF288" i="5"/>
  <c r="C172" i="4"/>
  <c r="C288" i="5"/>
  <c r="T288" i="5"/>
  <c r="O172" i="4"/>
  <c r="U288" i="5"/>
  <c r="P172" i="4"/>
  <c r="W288" i="5"/>
  <c r="Q172" i="4"/>
  <c r="X288" i="5"/>
  <c r="S172" i="4"/>
  <c r="AA288" i="5"/>
  <c r="AI172" i="4"/>
  <c r="T172" i="4" a="1"/>
  <c r="T172" i="4"/>
  <c r="AC288" i="5"/>
  <c r="U172" i="4" a="1"/>
  <c r="U172" i="4"/>
  <c r="AD288" i="5"/>
  <c r="X172" i="4"/>
  <c r="AI288" i="5"/>
  <c r="Y172" i="4"/>
  <c r="AJ288" i="5"/>
  <c r="Z172" i="4"/>
  <c r="AL288" i="5"/>
  <c r="Z288" i="5"/>
  <c r="AN288" i="5"/>
  <c r="AG289" i="5"/>
  <c r="AF289" i="5"/>
  <c r="C173" i="4"/>
  <c r="C289" i="5"/>
  <c r="D173" i="4"/>
  <c r="E289" i="5"/>
  <c r="H173" i="4"/>
  <c r="K289" i="5"/>
  <c r="L173" i="4"/>
  <c r="Q289" i="5"/>
  <c r="M173" i="4"/>
  <c r="R289" i="5"/>
  <c r="T289" i="5"/>
  <c r="O173" i="4"/>
  <c r="U289" i="5"/>
  <c r="P173" i="4"/>
  <c r="W289" i="5"/>
  <c r="Q173" i="4"/>
  <c r="X289" i="5"/>
  <c r="S173" i="4"/>
  <c r="AA289" i="5"/>
  <c r="AI173" i="4"/>
  <c r="T173" i="4" a="1"/>
  <c r="T173" i="4"/>
  <c r="AC289" i="5"/>
  <c r="U173" i="4" a="1"/>
  <c r="U173" i="4"/>
  <c r="AD289" i="5"/>
  <c r="X173" i="4"/>
  <c r="AI289" i="5"/>
  <c r="Y173" i="4"/>
  <c r="AJ289" i="5"/>
  <c r="Z173" i="4"/>
  <c r="AL289" i="5"/>
  <c r="F289" i="5"/>
  <c r="H289" i="5"/>
  <c r="I289" i="5"/>
  <c r="L289" i="5"/>
  <c r="N289" i="5"/>
  <c r="O289" i="5"/>
  <c r="Z289" i="5"/>
  <c r="AN289" i="5"/>
  <c r="AG290" i="5"/>
  <c r="AF290" i="5"/>
  <c r="C174" i="4"/>
  <c r="C290" i="5"/>
  <c r="D174" i="4"/>
  <c r="E290" i="5"/>
  <c r="H174" i="4"/>
  <c r="K290" i="5"/>
  <c r="L174" i="4"/>
  <c r="Q290" i="5"/>
  <c r="M174" i="4"/>
  <c r="R290" i="5"/>
  <c r="T290" i="5"/>
  <c r="O174" i="4"/>
  <c r="U290" i="5"/>
  <c r="P174" i="4"/>
  <c r="W290" i="5"/>
  <c r="Q174" i="4"/>
  <c r="X290" i="5"/>
  <c r="S174" i="4"/>
  <c r="AA290" i="5"/>
  <c r="AI174" i="4"/>
  <c r="T174" i="4" a="1"/>
  <c r="T174" i="4"/>
  <c r="AC290" i="5"/>
  <c r="U174" i="4" a="1"/>
  <c r="U174" i="4"/>
  <c r="AD290" i="5"/>
  <c r="X174" i="4"/>
  <c r="AI290" i="5"/>
  <c r="Y174" i="4"/>
  <c r="AJ290" i="5"/>
  <c r="Z174" i="4"/>
  <c r="AL290" i="5"/>
  <c r="F290" i="5"/>
  <c r="H290" i="5"/>
  <c r="I290" i="5"/>
  <c r="L290" i="5"/>
  <c r="N290" i="5"/>
  <c r="O290" i="5"/>
  <c r="Z290" i="5"/>
  <c r="AN290" i="5"/>
  <c r="AG291" i="5"/>
  <c r="AF291" i="5"/>
  <c r="C175" i="4"/>
  <c r="C291" i="5"/>
  <c r="D175" i="4"/>
  <c r="E291" i="5"/>
  <c r="H175" i="4"/>
  <c r="K291" i="5"/>
  <c r="L175" i="4"/>
  <c r="Q291" i="5"/>
  <c r="M175" i="4"/>
  <c r="R291" i="5"/>
  <c r="T291" i="5"/>
  <c r="O175" i="4"/>
  <c r="U291" i="5"/>
  <c r="P175" i="4"/>
  <c r="W291" i="5"/>
  <c r="Q175" i="4"/>
  <c r="X291" i="5"/>
  <c r="S175" i="4"/>
  <c r="AA291" i="5"/>
  <c r="AI175" i="4"/>
  <c r="T175" i="4" a="1"/>
  <c r="T175" i="4"/>
  <c r="AC291" i="5"/>
  <c r="U175" i="4" a="1"/>
  <c r="U175" i="4"/>
  <c r="AD291" i="5"/>
  <c r="X175" i="4"/>
  <c r="AI291" i="5"/>
  <c r="Y175" i="4"/>
  <c r="AJ291" i="5"/>
  <c r="Z175" i="4"/>
  <c r="AL291" i="5"/>
  <c r="F291" i="5"/>
  <c r="H291" i="5"/>
  <c r="I291" i="5"/>
  <c r="L291" i="5"/>
  <c r="N291" i="5"/>
  <c r="O291" i="5"/>
  <c r="Z291" i="5"/>
  <c r="AN291" i="5"/>
  <c r="B299" i="4"/>
  <c r="S299" i="4"/>
  <c r="AA292" i="5"/>
  <c r="P299" i="4"/>
  <c r="W292" i="5"/>
  <c r="AG292" i="5"/>
  <c r="AF292" i="5"/>
  <c r="C299" i="4"/>
  <c r="C292" i="5"/>
  <c r="D299" i="4"/>
  <c r="E292" i="5"/>
  <c r="H299" i="4"/>
  <c r="K292" i="5"/>
  <c r="L299" i="4"/>
  <c r="Q292" i="5"/>
  <c r="M299" i="4"/>
  <c r="R292" i="5"/>
  <c r="N299" i="4"/>
  <c r="T292" i="5"/>
  <c r="O299" i="4"/>
  <c r="U292" i="5"/>
  <c r="Q299" i="4"/>
  <c r="X292" i="5"/>
  <c r="R299" i="4"/>
  <c r="Z292" i="5"/>
  <c r="AI299" i="4"/>
  <c r="T299" i="4" a="1"/>
  <c r="T299" i="4"/>
  <c r="AC292" i="5"/>
  <c r="U299" i="4" a="1"/>
  <c r="U299" i="4"/>
  <c r="AD292" i="5"/>
  <c r="X299" i="4"/>
  <c r="AI292" i="5"/>
  <c r="Y299" i="4"/>
  <c r="AJ292" i="5"/>
  <c r="Z299" i="4"/>
  <c r="AL292" i="5"/>
  <c r="F292" i="5"/>
  <c r="H292" i="5"/>
  <c r="I292" i="5"/>
  <c r="L292" i="5"/>
  <c r="N292" i="5"/>
  <c r="O292" i="5"/>
  <c r="AN292" i="5"/>
  <c r="AG293" i="5"/>
  <c r="AF293" i="5"/>
  <c r="B88" i="4"/>
  <c r="C88" i="4"/>
  <c r="C293" i="5"/>
  <c r="D88" i="4"/>
  <c r="E293" i="5"/>
  <c r="H88" i="4"/>
  <c r="K293" i="5"/>
  <c r="L88" i="4"/>
  <c r="Q293" i="5"/>
  <c r="M88" i="4"/>
  <c r="R293" i="5"/>
  <c r="N88" i="4"/>
  <c r="T293" i="5"/>
  <c r="O88" i="4"/>
  <c r="U293" i="5"/>
  <c r="P88" i="4"/>
  <c r="W293" i="5"/>
  <c r="Q88" i="4"/>
  <c r="X293" i="5"/>
  <c r="S88" i="4"/>
  <c r="AA293" i="5"/>
  <c r="AI88" i="4"/>
  <c r="T88" i="4" a="1"/>
  <c r="T88" i="4"/>
  <c r="AC293" i="5"/>
  <c r="U88" i="4" a="1"/>
  <c r="U88" i="4"/>
  <c r="AD293" i="5"/>
  <c r="X88" i="4"/>
  <c r="AI293" i="5"/>
  <c r="Y88" i="4"/>
  <c r="AJ293" i="5"/>
  <c r="Z88" i="4"/>
  <c r="AL293" i="5"/>
  <c r="F293" i="5"/>
  <c r="H293" i="5"/>
  <c r="I293" i="5"/>
  <c r="L293" i="5"/>
  <c r="N293" i="5"/>
  <c r="O293" i="5"/>
  <c r="Z293" i="5"/>
  <c r="AN293" i="5"/>
  <c r="AG294" i="5"/>
  <c r="AF294" i="5"/>
  <c r="B97" i="4"/>
  <c r="C97" i="4"/>
  <c r="C294" i="5"/>
  <c r="D97" i="4"/>
  <c r="E294" i="5"/>
  <c r="K294" i="5"/>
  <c r="L97" i="4"/>
  <c r="Q294" i="5"/>
  <c r="M97" i="4"/>
  <c r="R294" i="5"/>
  <c r="T294" i="5"/>
  <c r="U294" i="5"/>
  <c r="P97" i="4"/>
  <c r="W294" i="5"/>
  <c r="Q97" i="4"/>
  <c r="X294" i="5"/>
  <c r="S97" i="4"/>
  <c r="AA294" i="5"/>
  <c r="AI97" i="4"/>
  <c r="T97" i="4" a="1"/>
  <c r="T97" i="4"/>
  <c r="AC294" i="5"/>
  <c r="U97" i="4" a="1"/>
  <c r="U97" i="4"/>
  <c r="AD294" i="5"/>
  <c r="X97" i="4"/>
  <c r="AI294" i="5"/>
  <c r="Y97" i="4"/>
  <c r="AJ294" i="5"/>
  <c r="Z97" i="4"/>
  <c r="AL294" i="5"/>
  <c r="F294" i="5"/>
  <c r="H294" i="5"/>
  <c r="I294" i="5"/>
  <c r="L294" i="5"/>
  <c r="N294" i="5"/>
  <c r="O294" i="5"/>
  <c r="Z294" i="5"/>
  <c r="AN294" i="5"/>
  <c r="AG295" i="5"/>
  <c r="AF295" i="5"/>
  <c r="B200" i="4"/>
  <c r="C200" i="4"/>
  <c r="C295" i="5"/>
  <c r="D200" i="4"/>
  <c r="E295" i="5"/>
  <c r="H200" i="4"/>
  <c r="K295" i="5"/>
  <c r="L200" i="4"/>
  <c r="Q295" i="5"/>
  <c r="M200" i="4"/>
  <c r="R295" i="5"/>
  <c r="T295" i="5"/>
  <c r="O200" i="4"/>
  <c r="U295" i="5"/>
  <c r="P200" i="4"/>
  <c r="W295" i="5"/>
  <c r="Q200" i="4"/>
  <c r="X295" i="5"/>
  <c r="S200" i="4"/>
  <c r="AA295" i="5"/>
  <c r="AI200" i="4"/>
  <c r="T200" i="4" a="1"/>
  <c r="T200" i="4"/>
  <c r="AC295" i="5"/>
  <c r="U200" i="4" a="1"/>
  <c r="U200" i="4"/>
  <c r="AD295" i="5"/>
  <c r="X200" i="4"/>
  <c r="AI295" i="5"/>
  <c r="F295" i="5"/>
  <c r="H295" i="5"/>
  <c r="I295" i="5"/>
  <c r="L295" i="5"/>
  <c r="N295" i="5"/>
  <c r="O295" i="5"/>
  <c r="Z295" i="5"/>
  <c r="AN295" i="5"/>
  <c r="AG296" i="5"/>
  <c r="AF296" i="5"/>
  <c r="B201" i="4"/>
  <c r="C201" i="4"/>
  <c r="C296" i="5"/>
  <c r="D201" i="4"/>
  <c r="E296" i="5"/>
  <c r="H201" i="4"/>
  <c r="K296" i="5"/>
  <c r="L201" i="4"/>
  <c r="Q296" i="5"/>
  <c r="M201" i="4"/>
  <c r="R296" i="5"/>
  <c r="T296" i="5"/>
  <c r="O201" i="4"/>
  <c r="U296" i="5"/>
  <c r="P201" i="4"/>
  <c r="W296" i="5"/>
  <c r="Q201" i="4"/>
  <c r="X296" i="5"/>
  <c r="S201" i="4"/>
  <c r="AA296" i="5"/>
  <c r="AI201" i="4"/>
  <c r="T201" i="4" a="1"/>
  <c r="T201" i="4"/>
  <c r="AC296" i="5"/>
  <c r="U201" i="4" a="1"/>
  <c r="U201" i="4"/>
  <c r="AD296" i="5"/>
  <c r="X201" i="4"/>
  <c r="AI296" i="5"/>
  <c r="F296" i="5"/>
  <c r="H296" i="5"/>
  <c r="I296" i="5"/>
  <c r="L296" i="5"/>
  <c r="N296" i="5"/>
  <c r="O296" i="5"/>
  <c r="Z296" i="5"/>
  <c r="AN296" i="5"/>
  <c r="AG297" i="5"/>
  <c r="AF297" i="5"/>
  <c r="B284" i="4"/>
  <c r="C284" i="4"/>
  <c r="C297" i="5"/>
  <c r="D284" i="4"/>
  <c r="E297" i="5"/>
  <c r="H284" i="4"/>
  <c r="K297" i="5"/>
  <c r="L284" i="4"/>
  <c r="Q297" i="5"/>
  <c r="M284" i="4"/>
  <c r="R297" i="5"/>
  <c r="T297" i="5"/>
  <c r="O284" i="4"/>
  <c r="U297" i="5"/>
  <c r="P284" i="4"/>
  <c r="W297" i="5"/>
  <c r="Q284" i="4"/>
  <c r="X297" i="5"/>
  <c r="S284" i="4"/>
  <c r="AA297" i="5"/>
  <c r="AI284" i="4"/>
  <c r="T284" i="4" a="1"/>
  <c r="T284" i="4"/>
  <c r="AC297" i="5"/>
  <c r="U284" i="4" a="1"/>
  <c r="U284" i="4"/>
  <c r="AD297" i="5"/>
  <c r="X284" i="4"/>
  <c r="AI297" i="5"/>
  <c r="Y284" i="4"/>
  <c r="AJ297" i="5"/>
  <c r="Z284" i="4"/>
  <c r="AL297" i="5"/>
  <c r="F297" i="5"/>
  <c r="H297" i="5"/>
  <c r="I297" i="5"/>
  <c r="L297" i="5"/>
  <c r="N297" i="5"/>
  <c r="O297" i="5"/>
  <c r="Z297" i="5"/>
  <c r="AN297" i="5"/>
  <c r="O298" i="5"/>
  <c r="K298" i="5"/>
  <c r="AG298" i="5"/>
  <c r="AF298" i="5"/>
  <c r="C298" i="5"/>
  <c r="E298" i="5"/>
  <c r="L298" i="5"/>
  <c r="N298" i="5"/>
  <c r="Q298" i="5"/>
  <c r="R298" i="5"/>
  <c r="T298" i="5"/>
  <c r="U298" i="5"/>
  <c r="W298" i="5"/>
  <c r="X298" i="5"/>
  <c r="AA298" i="5"/>
  <c r="AC298" i="5"/>
  <c r="AD298" i="5"/>
  <c r="AI298" i="5"/>
  <c r="AJ298" i="5"/>
  <c r="AL298" i="5"/>
  <c r="F298" i="5"/>
  <c r="H298" i="5"/>
  <c r="I298" i="5"/>
  <c r="Z298" i="5"/>
  <c r="AN298" i="5"/>
  <c r="O300" i="5"/>
  <c r="K300" i="5"/>
  <c r="AG300" i="5"/>
  <c r="V305" i="4"/>
  <c r="AF300" i="5"/>
  <c r="C305" i="4"/>
  <c r="C300" i="5"/>
  <c r="D305" i="4"/>
  <c r="E300" i="5"/>
  <c r="I305" i="4"/>
  <c r="L300" i="5"/>
  <c r="J305" i="4"/>
  <c r="N300" i="5"/>
  <c r="L305" i="4"/>
  <c r="Q300" i="5"/>
  <c r="M305" i="4"/>
  <c r="R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F300" i="5"/>
  <c r="H300" i="5"/>
  <c r="I300" i="5"/>
  <c r="Z300" i="5"/>
  <c r="AN300" i="5"/>
  <c r="AG301" i="5"/>
  <c r="V306" i="4"/>
  <c r="AF301" i="5"/>
  <c r="C306" i="4"/>
  <c r="C301" i="5"/>
  <c r="N306" i="4"/>
  <c r="T301" i="5"/>
  <c r="O306" i="4"/>
  <c r="U301" i="5"/>
  <c r="P306" i="4"/>
  <c r="W301" i="5"/>
  <c r="Q306" i="4"/>
  <c r="X301" i="5"/>
  <c r="AA301" i="5"/>
  <c r="T306" i="4"/>
  <c r="AC301" i="5"/>
  <c r="U306" i="4"/>
  <c r="AD301" i="5"/>
  <c r="X306" i="4"/>
  <c r="AI301" i="5"/>
  <c r="Y306" i="4"/>
  <c r="AJ301" i="5"/>
  <c r="Z306" i="4"/>
  <c r="AL301" i="5"/>
  <c r="F301" i="5"/>
  <c r="H301" i="5"/>
  <c r="I301" i="5"/>
  <c r="Z301" i="5"/>
  <c r="AN301" i="5"/>
  <c r="O302" i="5"/>
  <c r="K302" i="5"/>
  <c r="AG302" i="5"/>
  <c r="V307" i="4"/>
  <c r="AF302" i="5"/>
  <c r="C307" i="4"/>
  <c r="C302" i="5"/>
  <c r="D307" i="4"/>
  <c r="E302" i="5"/>
  <c r="I307" i="4"/>
  <c r="L302" i="5"/>
  <c r="J307" i="4"/>
  <c r="N302" i="5"/>
  <c r="L307" i="4"/>
  <c r="Q302" i="5"/>
  <c r="M307" i="4"/>
  <c r="R302" i="5"/>
  <c r="N307" i="4"/>
  <c r="T302" i="5"/>
  <c r="O307" i="4"/>
  <c r="U302" i="5"/>
  <c r="P307" i="4"/>
  <c r="W302" i="5"/>
  <c r="Q307" i="4"/>
  <c r="X302" i="5"/>
  <c r="AA302" i="5"/>
  <c r="T307" i="4"/>
  <c r="AC302" i="5"/>
  <c r="U307" i="4"/>
  <c r="AD302" i="5"/>
  <c r="X307" i="4"/>
  <c r="AI302" i="5"/>
  <c r="Y307" i="4"/>
  <c r="AJ302" i="5"/>
  <c r="Z307" i="4"/>
  <c r="AL302" i="5"/>
  <c r="F302" i="5"/>
  <c r="H302" i="5"/>
  <c r="I302" i="5"/>
  <c r="Z302" i="5"/>
  <c r="AN302" i="5"/>
  <c r="O303" i="5"/>
  <c r="K303" i="5"/>
  <c r="AG303" i="5"/>
  <c r="V308" i="4"/>
  <c r="AF303" i="5"/>
  <c r="C308" i="4"/>
  <c r="C303" i="5"/>
  <c r="D308" i="4"/>
  <c r="E303" i="5"/>
  <c r="I308" i="4"/>
  <c r="L303" i="5"/>
  <c r="J308" i="4"/>
  <c r="N303" i="5"/>
  <c r="L308" i="4"/>
  <c r="Q303" i="5"/>
  <c r="M308" i="4"/>
  <c r="R303" i="5"/>
  <c r="N308" i="4"/>
  <c r="T303" i="5"/>
  <c r="O308" i="4"/>
  <c r="U303" i="5"/>
  <c r="P308" i="4"/>
  <c r="W303" i="5"/>
  <c r="Q308" i="4"/>
  <c r="X303" i="5"/>
  <c r="AA303" i="5"/>
  <c r="T308" i="4"/>
  <c r="AC303" i="5"/>
  <c r="U308" i="4"/>
  <c r="AD303" i="5"/>
  <c r="X308" i="4"/>
  <c r="AI303" i="5"/>
  <c r="Y308" i="4"/>
  <c r="AJ303" i="5"/>
  <c r="Z308" i="4"/>
  <c r="AL303" i="5"/>
  <c r="F303" i="5"/>
  <c r="H303" i="5"/>
  <c r="I303" i="5"/>
  <c r="Z303" i="5"/>
  <c r="AN303" i="5"/>
  <c r="O304" i="5"/>
  <c r="K304" i="5"/>
  <c r="AG304" i="5"/>
  <c r="V310" i="4"/>
  <c r="AF304" i="5"/>
  <c r="C310" i="4"/>
  <c r="C304" i="5"/>
  <c r="D310" i="4"/>
  <c r="E304" i="5"/>
  <c r="I310" i="4"/>
  <c r="L304" i="5"/>
  <c r="J310" i="4"/>
  <c r="N304" i="5"/>
  <c r="L310" i="4"/>
  <c r="Q304" i="5"/>
  <c r="M310" i="4"/>
  <c r="R304" i="5"/>
  <c r="N310" i="4"/>
  <c r="T304" i="5"/>
  <c r="O310" i="4"/>
  <c r="U304" i="5"/>
  <c r="P310" i="4"/>
  <c r="W304" i="5"/>
  <c r="Q310" i="4"/>
  <c r="X304" i="5"/>
  <c r="AA304" i="5"/>
  <c r="X310" i="4"/>
  <c r="AI304" i="5"/>
  <c r="Y310" i="4"/>
  <c r="AJ304" i="5"/>
  <c r="Z310" i="4"/>
  <c r="AL304" i="5"/>
  <c r="F304" i="5"/>
  <c r="H304" i="5"/>
  <c r="I304" i="5"/>
  <c r="Z304" i="5"/>
  <c r="AN304" i="5"/>
  <c r="O305" i="5"/>
  <c r="K305" i="5"/>
  <c r="AG305" i="5"/>
  <c r="V301" i="4"/>
  <c r="AF305" i="5"/>
  <c r="C301" i="4"/>
  <c r="C305" i="5"/>
  <c r="D301" i="4"/>
  <c r="E305" i="5"/>
  <c r="I301" i="4"/>
  <c r="L305" i="5"/>
  <c r="J301" i="4"/>
  <c r="N305" i="5"/>
  <c r="L301" i="4"/>
  <c r="Q305" i="5"/>
  <c r="M301" i="4"/>
  <c r="R305" i="5"/>
  <c r="N301" i="4"/>
  <c r="T305" i="5"/>
  <c r="O301" i="4"/>
  <c r="U305" i="5"/>
  <c r="P301" i="4"/>
  <c r="W305" i="5"/>
  <c r="Q301" i="4"/>
  <c r="X305" i="5"/>
  <c r="AA305" i="5"/>
  <c r="AC305" i="5"/>
  <c r="AD305" i="5"/>
  <c r="X301" i="4"/>
  <c r="AI305" i="5"/>
  <c r="Y301" i="4"/>
  <c r="AJ305" i="5"/>
  <c r="Z301" i="4"/>
  <c r="AL305" i="5"/>
  <c r="F305" i="5"/>
  <c r="H305" i="5"/>
  <c r="I305" i="5"/>
  <c r="Z305" i="5"/>
  <c r="AN305" i="5"/>
  <c r="O306" i="5"/>
  <c r="K306" i="5"/>
  <c r="AG306" i="5"/>
  <c r="V311" i="4"/>
  <c r="AF306" i="5"/>
  <c r="C311" i="4"/>
  <c r="C306" i="5"/>
  <c r="D311" i="4"/>
  <c r="E306" i="5"/>
  <c r="I311" i="4"/>
  <c r="L306" i="5"/>
  <c r="J311" i="4"/>
  <c r="N306" i="5"/>
  <c r="L311" i="4"/>
  <c r="Q306" i="5"/>
  <c r="M311" i="4"/>
  <c r="R306" i="5"/>
  <c r="N311" i="4"/>
  <c r="T306" i="5"/>
  <c r="O311" i="4"/>
  <c r="U306" i="5"/>
  <c r="P311" i="4"/>
  <c r="W306" i="5"/>
  <c r="Q311" i="4"/>
  <c r="X306" i="5"/>
  <c r="AA306" i="5"/>
  <c r="T311" i="4"/>
  <c r="AC306" i="5"/>
  <c r="AD306" i="5"/>
  <c r="X311" i="4"/>
  <c r="AI306" i="5"/>
  <c r="Y311" i="4"/>
  <c r="AJ306" i="5"/>
  <c r="Z311" i="4"/>
  <c r="AL306" i="5"/>
  <c r="F306" i="5"/>
  <c r="H306" i="5"/>
  <c r="I306" i="5"/>
  <c r="Z306" i="5"/>
  <c r="AN306" i="5"/>
  <c r="O307" i="5"/>
  <c r="K307" i="5"/>
  <c r="AG307" i="5"/>
  <c r="V312" i="4"/>
  <c r="AF307" i="5"/>
  <c r="C312" i="4"/>
  <c r="C307" i="5"/>
  <c r="D312" i="4"/>
  <c r="E307" i="5"/>
  <c r="I312" i="4"/>
  <c r="L307" i="5"/>
  <c r="J312" i="4"/>
  <c r="N307" i="5"/>
  <c r="L312" i="4"/>
  <c r="Q307" i="5"/>
  <c r="M312" i="4"/>
  <c r="R307" i="5"/>
  <c r="N312" i="4"/>
  <c r="T307" i="5"/>
  <c r="O312" i="4"/>
  <c r="U307" i="5"/>
  <c r="P312" i="4"/>
  <c r="W307" i="5"/>
  <c r="Q312" i="4"/>
  <c r="X307" i="5"/>
  <c r="AA307" i="5"/>
  <c r="X312" i="4"/>
  <c r="AI307" i="5"/>
  <c r="Y312" i="4"/>
  <c r="AJ307" i="5"/>
  <c r="Z312" i="4"/>
  <c r="AL307" i="5"/>
  <c r="F307" i="5"/>
  <c r="H307" i="5"/>
  <c r="I307" i="5"/>
  <c r="Z307" i="5"/>
  <c r="AN307" i="5"/>
  <c r="O308" i="5"/>
  <c r="K308" i="5"/>
  <c r="AG308" i="5"/>
  <c r="V313" i="4"/>
  <c r="AF308" i="5"/>
  <c r="C313" i="4"/>
  <c r="C308" i="5"/>
  <c r="D313" i="4"/>
  <c r="E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T313" i="4"/>
  <c r="AC308" i="5"/>
  <c r="AD308" i="5"/>
  <c r="X313" i="4"/>
  <c r="AI308" i="5"/>
  <c r="Y313" i="4"/>
  <c r="AJ308" i="5"/>
  <c r="Z313" i="4"/>
  <c r="AL308" i="5"/>
  <c r="F308" i="5"/>
  <c r="H308" i="5"/>
  <c r="I308" i="5"/>
  <c r="Z308" i="5"/>
  <c r="AN308" i="5"/>
  <c r="O309" i="5"/>
  <c r="K309" i="5"/>
  <c r="AG309" i="5"/>
  <c r="V314" i="4"/>
  <c r="AF309" i="5"/>
  <c r="C314" i="4"/>
  <c r="C309" i="5"/>
  <c r="D314" i="4"/>
  <c r="E309" i="5"/>
  <c r="I314" i="4"/>
  <c r="L309" i="5"/>
  <c r="J314" i="4"/>
  <c r="N309" i="5"/>
  <c r="L314" i="4"/>
  <c r="Q309" i="5"/>
  <c r="M314" i="4"/>
  <c r="R309" i="5"/>
  <c r="N314" i="4"/>
  <c r="T309" i="5"/>
  <c r="O314" i="4"/>
  <c r="U309" i="5"/>
  <c r="P314" i="4"/>
  <c r="W309" i="5"/>
  <c r="Q314" i="4"/>
  <c r="X309" i="5"/>
  <c r="AA309" i="5"/>
  <c r="X314" i="4"/>
  <c r="AI309" i="5"/>
  <c r="Y314" i="4"/>
  <c r="AJ309" i="5"/>
  <c r="Z314" i="4"/>
  <c r="AL309" i="5"/>
  <c r="F309" i="5"/>
  <c r="H309" i="5"/>
  <c r="I309" i="5"/>
  <c r="Z309" i="5"/>
  <c r="AN309" i="5"/>
  <c r="O310" i="5"/>
  <c r="K310" i="5"/>
  <c r="AG310" i="5"/>
  <c r="V302" i="4"/>
  <c r="AF310" i="5"/>
  <c r="C302" i="4"/>
  <c r="C310" i="5"/>
  <c r="D302" i="4"/>
  <c r="E310" i="5"/>
  <c r="I302" i="4"/>
  <c r="L310" i="5"/>
  <c r="J302" i="4"/>
  <c r="N310" i="5"/>
  <c r="L302" i="4"/>
  <c r="Q310" i="5"/>
  <c r="M302" i="4"/>
  <c r="R310" i="5"/>
  <c r="N302" i="4"/>
  <c r="T310" i="5"/>
  <c r="O302" i="4"/>
  <c r="U310" i="5"/>
  <c r="P302" i="4"/>
  <c r="W310" i="5"/>
  <c r="Q302" i="4"/>
  <c r="X310" i="5"/>
  <c r="AA310" i="5"/>
  <c r="AC310" i="5"/>
  <c r="AD310" i="5"/>
  <c r="X302" i="4"/>
  <c r="AI310" i="5"/>
  <c r="Y302" i="4"/>
  <c r="AJ310" i="5"/>
  <c r="Z302" i="4"/>
  <c r="AL310" i="5"/>
  <c r="F310" i="5"/>
  <c r="H310" i="5"/>
  <c r="I310" i="5"/>
  <c r="Z310" i="5"/>
  <c r="AN310" i="5"/>
  <c r="AG311" i="5"/>
  <c r="V315" i="4"/>
  <c r="AF311" i="5"/>
  <c r="C315" i="4"/>
  <c r="C311" i="5"/>
  <c r="N315" i="4"/>
  <c r="T311" i="5"/>
  <c r="O315" i="4"/>
  <c r="U311" i="5"/>
  <c r="P315" i="4"/>
  <c r="W311" i="5"/>
  <c r="Q315" i="4"/>
  <c r="X311" i="5"/>
  <c r="AA311" i="5"/>
  <c r="AC311" i="5"/>
  <c r="AD311" i="5"/>
  <c r="X315" i="4"/>
  <c r="AI311" i="5"/>
  <c r="Y315" i="4"/>
  <c r="AJ311" i="5"/>
  <c r="Z315" i="4"/>
  <c r="AL311" i="5"/>
  <c r="F311" i="5"/>
  <c r="H311" i="5"/>
  <c r="I311" i="5"/>
  <c r="Z311" i="5"/>
  <c r="AN311" i="5"/>
  <c r="O312" i="5"/>
  <c r="K312" i="5"/>
  <c r="AG312" i="5"/>
  <c r="V309" i="4"/>
  <c r="AF312" i="5"/>
  <c r="C309" i="4"/>
  <c r="C312" i="5"/>
  <c r="D309" i="4"/>
  <c r="E312" i="5"/>
  <c r="I309" i="4"/>
  <c r="L312" i="5"/>
  <c r="J309" i="4"/>
  <c r="N312" i="5"/>
  <c r="L309" i="4"/>
  <c r="Q312" i="5"/>
  <c r="M309" i="4"/>
  <c r="R312" i="5"/>
  <c r="N309" i="4"/>
  <c r="T312" i="5"/>
  <c r="O309" i="4"/>
  <c r="U312" i="5"/>
  <c r="P309" i="4"/>
  <c r="W312" i="5"/>
  <c r="Q309" i="4"/>
  <c r="X312" i="5"/>
  <c r="AA312" i="5"/>
  <c r="AC312" i="5"/>
  <c r="AD312" i="5"/>
  <c r="X309" i="4"/>
  <c r="AI312" i="5"/>
  <c r="Y309" i="4"/>
  <c r="AJ312" i="5"/>
  <c r="Z309" i="4"/>
  <c r="AL312" i="5"/>
  <c r="F312" i="5"/>
  <c r="H312" i="5"/>
  <c r="I312" i="5"/>
  <c r="Z312" i="5"/>
  <c r="AN312" i="5"/>
  <c r="O313" i="5"/>
  <c r="K313" i="5"/>
  <c r="AG313" i="5"/>
  <c r="V300" i="4"/>
  <c r="AF313" i="5"/>
  <c r="C300" i="4"/>
  <c r="C313" i="5"/>
  <c r="D300" i="4"/>
  <c r="E313" i="5"/>
  <c r="I300" i="4"/>
  <c r="L313" i="5"/>
  <c r="J300" i="4"/>
  <c r="N313" i="5"/>
  <c r="L300" i="4"/>
  <c r="Q313" i="5"/>
  <c r="M300" i="4"/>
  <c r="R313" i="5"/>
  <c r="N300" i="4"/>
  <c r="T313" i="5"/>
  <c r="O300" i="4"/>
  <c r="U313" i="5"/>
  <c r="P300" i="4"/>
  <c r="W313" i="5"/>
  <c r="Q300" i="4"/>
  <c r="X313" i="5"/>
  <c r="AA313" i="5"/>
  <c r="AC313" i="5"/>
  <c r="AD313" i="5"/>
  <c r="X300" i="4"/>
  <c r="AI313" i="5"/>
  <c r="Y300" i="4"/>
  <c r="AJ313" i="5"/>
  <c r="Z300" i="4"/>
  <c r="AL313" i="5"/>
  <c r="F313" i="5"/>
  <c r="H313" i="5"/>
  <c r="I313" i="5"/>
  <c r="Z313" i="5"/>
  <c r="AN313" i="5"/>
  <c r="O314" i="5"/>
  <c r="K314" i="5"/>
  <c r="AG314" i="5"/>
  <c r="V303" i="4"/>
  <c r="AF314" i="5"/>
  <c r="C303" i="4"/>
  <c r="C314" i="5"/>
  <c r="D303" i="4"/>
  <c r="E314" i="5"/>
  <c r="I303" i="4"/>
  <c r="L314" i="5"/>
  <c r="J303" i="4"/>
  <c r="N314" i="5"/>
  <c r="L303" i="4"/>
  <c r="Q314" i="5"/>
  <c r="M303" i="4"/>
  <c r="R314" i="5"/>
  <c r="N303" i="4"/>
  <c r="T314" i="5"/>
  <c r="O303" i="4"/>
  <c r="U314" i="5"/>
  <c r="P303" i="4"/>
  <c r="W314" i="5"/>
  <c r="Q303" i="4"/>
  <c r="X314" i="5"/>
  <c r="AA314" i="5"/>
  <c r="AC314" i="5"/>
  <c r="AD314" i="5"/>
  <c r="X303" i="4"/>
  <c r="AI314" i="5"/>
  <c r="Y303" i="4"/>
  <c r="AJ314" i="5"/>
  <c r="Z303" i="4"/>
  <c r="AL314" i="5"/>
  <c r="F314" i="5"/>
  <c r="H314" i="5"/>
  <c r="I314" i="5"/>
  <c r="Z314" i="5"/>
  <c r="AN314" i="5"/>
  <c r="O315" i="5"/>
  <c r="K315" i="5"/>
  <c r="AG315" i="5"/>
  <c r="V304" i="4"/>
  <c r="AF315" i="5"/>
  <c r="C304" i="4"/>
  <c r="C315" i="5"/>
  <c r="D304" i="4"/>
  <c r="E315" i="5"/>
  <c r="I304" i="4"/>
  <c r="L315" i="5"/>
  <c r="J304" i="4"/>
  <c r="N315" i="5"/>
  <c r="L304" i="4"/>
  <c r="Q315" i="5"/>
  <c r="M304" i="4"/>
  <c r="R315" i="5"/>
  <c r="N304" i="4"/>
  <c r="T315" i="5"/>
  <c r="O304" i="4"/>
  <c r="U315" i="5"/>
  <c r="P304" i="4"/>
  <c r="W315" i="5"/>
  <c r="Q304" i="4"/>
  <c r="X315" i="5"/>
  <c r="AA315" i="5"/>
  <c r="AC315" i="5"/>
  <c r="AD315" i="5"/>
  <c r="X304" i="4"/>
  <c r="AI315" i="5"/>
  <c r="Y304" i="4"/>
  <c r="AJ315" i="5"/>
  <c r="Z304" i="4"/>
  <c r="AL315" i="5"/>
  <c r="F315" i="5"/>
  <c r="H315" i="5"/>
  <c r="I315" i="5"/>
  <c r="Z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46" i="4"/>
  <c r="V346" i="4"/>
  <c r="AF318" i="5"/>
  <c r="C318" i="5"/>
  <c r="D346" i="4"/>
  <c r="E318" i="5"/>
  <c r="I318" i="5"/>
  <c r="I346" i="4"/>
  <c r="L318" i="5"/>
  <c r="J346" i="4"/>
  <c r="N318" i="5"/>
  <c r="L346" i="4"/>
  <c r="Q318" i="5"/>
  <c r="M346" i="4"/>
  <c r="R318" i="5"/>
  <c r="N346" i="4"/>
  <c r="T318" i="5"/>
  <c r="O346" i="4"/>
  <c r="U318" i="5"/>
  <c r="P346" i="4"/>
  <c r="W318" i="5"/>
  <c r="Q346" i="4"/>
  <c r="X318" i="5"/>
  <c r="AA318" i="5"/>
  <c r="AC318" i="5"/>
  <c r="AD318" i="5"/>
  <c r="X346" i="4"/>
  <c r="AI318" i="5"/>
  <c r="Y346" i="4"/>
  <c r="AJ318" i="5"/>
  <c r="AL318" i="5"/>
  <c r="Z318" i="5"/>
  <c r="AN318" i="5"/>
  <c r="O319" i="5"/>
  <c r="K319" i="5"/>
  <c r="AG319" i="5"/>
  <c r="B336" i="4"/>
  <c r="V336" i="4"/>
  <c r="AF319" i="5"/>
  <c r="C319" i="5"/>
  <c r="D336" i="4"/>
  <c r="E319" i="5"/>
  <c r="I319" i="5"/>
  <c r="I336" i="4"/>
  <c r="L319" i="5"/>
  <c r="J336" i="4"/>
  <c r="N319" i="5"/>
  <c r="L336" i="4"/>
  <c r="Q319" i="5"/>
  <c r="M336" i="4"/>
  <c r="R319" i="5"/>
  <c r="N336" i="4"/>
  <c r="T319" i="5"/>
  <c r="O336" i="4"/>
  <c r="U319" i="5"/>
  <c r="P336" i="4"/>
  <c r="W319" i="5"/>
  <c r="Q336" i="4"/>
  <c r="X319" i="5"/>
  <c r="AA319" i="5"/>
  <c r="AC319" i="5"/>
  <c r="AD319" i="5"/>
  <c r="X336" i="4"/>
  <c r="AI319" i="5"/>
  <c r="Y336" i="4"/>
  <c r="AJ319" i="5"/>
  <c r="AL319" i="5"/>
  <c r="Z319" i="5"/>
  <c r="AN319" i="5"/>
  <c r="O320" i="5"/>
  <c r="K320" i="5"/>
  <c r="AG320" i="5"/>
  <c r="B337" i="4"/>
  <c r="V337" i="4"/>
  <c r="AF320" i="5"/>
  <c r="C320" i="5"/>
  <c r="D337" i="4"/>
  <c r="E320" i="5"/>
  <c r="I320" i="5"/>
  <c r="I337" i="4"/>
  <c r="L320" i="5"/>
  <c r="J337" i="4"/>
  <c r="N320" i="5"/>
  <c r="L337" i="4"/>
  <c r="Q320" i="5"/>
  <c r="M337" i="4"/>
  <c r="R320" i="5"/>
  <c r="N337" i="4"/>
  <c r="T320" i="5"/>
  <c r="O337" i="4"/>
  <c r="U320" i="5"/>
  <c r="P337" i="4"/>
  <c r="W320" i="5"/>
  <c r="Q337" i="4"/>
  <c r="X320" i="5"/>
  <c r="AA320" i="5"/>
  <c r="AC320" i="5"/>
  <c r="AD320" i="5"/>
  <c r="X337" i="4"/>
  <c r="AI320" i="5"/>
  <c r="Y337" i="4"/>
  <c r="AJ320" i="5"/>
  <c r="AL320" i="5"/>
  <c r="Z320" i="5"/>
  <c r="AN320" i="5"/>
  <c r="O321" i="5"/>
  <c r="K321" i="5"/>
  <c r="AG321" i="5"/>
  <c r="B319" i="4"/>
  <c r="V319" i="4"/>
  <c r="AF321" i="5"/>
  <c r="C321" i="5"/>
  <c r="D319" i="4"/>
  <c r="E321" i="5"/>
  <c r="I319" i="4"/>
  <c r="L321" i="5"/>
  <c r="J319" i="4"/>
  <c r="N321" i="5"/>
  <c r="L319" i="4"/>
  <c r="Q321" i="5"/>
  <c r="M319" i="4"/>
  <c r="R321" i="5"/>
  <c r="N319" i="4"/>
  <c r="T321" i="5"/>
  <c r="O319" i="4"/>
  <c r="U321" i="5"/>
  <c r="P319" i="4"/>
  <c r="W321" i="5"/>
  <c r="Q319" i="4"/>
  <c r="X321" i="5"/>
  <c r="AA321" i="5"/>
  <c r="AC321" i="5"/>
  <c r="AD321" i="5"/>
  <c r="X319" i="4"/>
  <c r="AI321" i="5"/>
  <c r="Y319" i="4"/>
  <c r="AJ321" i="5"/>
  <c r="AL321" i="5"/>
  <c r="F321" i="5"/>
  <c r="H321" i="5"/>
  <c r="I321" i="5"/>
  <c r="Z321" i="5"/>
  <c r="AN321" i="5"/>
  <c r="O322" i="5"/>
  <c r="K322" i="5"/>
  <c r="AG322" i="5"/>
  <c r="AF322" i="5"/>
  <c r="C322" i="5"/>
  <c r="B316" i="4"/>
  <c r="D316" i="4"/>
  <c r="E322" i="5"/>
  <c r="I322" i="5"/>
  <c r="I316" i="4"/>
  <c r="L322" i="5"/>
  <c r="J316" i="4"/>
  <c r="N322" i="5"/>
  <c r="L316" i="4"/>
  <c r="Q322" i="5"/>
  <c r="M316" i="4"/>
  <c r="R322" i="5"/>
  <c r="N316" i="4"/>
  <c r="T322" i="5"/>
  <c r="O316" i="4"/>
  <c r="U322" i="5"/>
  <c r="P316" i="4"/>
  <c r="W322" i="5"/>
  <c r="Q316" i="4"/>
  <c r="X322" i="5"/>
  <c r="AA322" i="5"/>
  <c r="AC322" i="5"/>
  <c r="AD322" i="5"/>
  <c r="X316" i="4"/>
  <c r="AI322" i="5"/>
  <c r="Y316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22" i="4"/>
  <c r="V322" i="4"/>
  <c r="AF325" i="5"/>
  <c r="C325" i="5"/>
  <c r="D322" i="4"/>
  <c r="E325" i="5"/>
  <c r="I322" i="4"/>
  <c r="L325" i="5"/>
  <c r="J322" i="4"/>
  <c r="N325" i="5"/>
  <c r="L322" i="4"/>
  <c r="Q325" i="5"/>
  <c r="M322" i="4"/>
  <c r="R325" i="5"/>
  <c r="N322" i="4"/>
  <c r="T325" i="5"/>
  <c r="O322" i="4"/>
  <c r="U325" i="5"/>
  <c r="P322" i="4"/>
  <c r="W325" i="5"/>
  <c r="Q322" i="4"/>
  <c r="X325" i="5"/>
  <c r="AA325" i="5"/>
  <c r="AC325" i="5"/>
  <c r="AD325" i="5"/>
  <c r="X322" i="4"/>
  <c r="AI325" i="5"/>
  <c r="Y322" i="4"/>
  <c r="AJ325" i="5"/>
  <c r="AL325" i="5"/>
  <c r="F325" i="5"/>
  <c r="H325" i="5"/>
  <c r="I325" i="5"/>
  <c r="Z325" i="5"/>
  <c r="AN325" i="5"/>
  <c r="O326" i="5"/>
  <c r="K326" i="5"/>
  <c r="AG326" i="5"/>
  <c r="B348" i="4"/>
  <c r="V348" i="4"/>
  <c r="AF326" i="5"/>
  <c r="C326" i="5"/>
  <c r="D348" i="4"/>
  <c r="E326" i="5"/>
  <c r="I348" i="4"/>
  <c r="L326" i="5"/>
  <c r="J348" i="4"/>
  <c r="N326" i="5"/>
  <c r="L348" i="4"/>
  <c r="Q326" i="5"/>
  <c r="M348" i="4"/>
  <c r="R326" i="5"/>
  <c r="N348" i="4"/>
  <c r="T326" i="5"/>
  <c r="O348" i="4"/>
  <c r="U326" i="5"/>
  <c r="P348" i="4"/>
  <c r="W326" i="5"/>
  <c r="Q348" i="4"/>
  <c r="X326" i="5"/>
  <c r="AA326" i="5"/>
  <c r="AC326" i="5"/>
  <c r="AD326" i="5"/>
  <c r="X348" i="4"/>
  <c r="AI326" i="5"/>
  <c r="Y348" i="4"/>
  <c r="AJ326" i="5"/>
  <c r="AL326" i="5"/>
  <c r="F326" i="5"/>
  <c r="H326" i="5"/>
  <c r="I326" i="5"/>
  <c r="Z326" i="5"/>
  <c r="AN326" i="5"/>
  <c r="O327" i="5"/>
  <c r="K327" i="5"/>
  <c r="AG327" i="5"/>
  <c r="B338" i="4"/>
  <c r="V338" i="4"/>
  <c r="AF327" i="5"/>
  <c r="C327" i="5"/>
  <c r="D338" i="4"/>
  <c r="E327" i="5"/>
  <c r="I327" i="5"/>
  <c r="I338" i="4"/>
  <c r="L327" i="5"/>
  <c r="J338" i="4"/>
  <c r="N327" i="5"/>
  <c r="L338" i="4"/>
  <c r="Q327" i="5"/>
  <c r="M338" i="4"/>
  <c r="R327" i="5"/>
  <c r="N338" i="4"/>
  <c r="T327" i="5"/>
  <c r="O338" i="4"/>
  <c r="U327" i="5"/>
  <c r="P338" i="4"/>
  <c r="W327" i="5"/>
  <c r="Q338" i="4"/>
  <c r="X327" i="5"/>
  <c r="AA327" i="5"/>
  <c r="AC327" i="5"/>
  <c r="AD327" i="5"/>
  <c r="X338" i="4"/>
  <c r="AI327" i="5"/>
  <c r="Y338" i="4"/>
  <c r="AJ327" i="5"/>
  <c r="AL327" i="5"/>
  <c r="Z327" i="5"/>
  <c r="AN327" i="5"/>
  <c r="O328" i="5"/>
  <c r="K328" i="5"/>
  <c r="AG328" i="5"/>
  <c r="B317" i="4"/>
  <c r="AF328" i="5"/>
  <c r="C328" i="5"/>
  <c r="D317" i="4"/>
  <c r="E328" i="5"/>
  <c r="I328" i="5"/>
  <c r="I317" i="4"/>
  <c r="L328" i="5"/>
  <c r="J317" i="4"/>
  <c r="N328" i="5"/>
  <c r="L317" i="4"/>
  <c r="Q328" i="5"/>
  <c r="M317" i="4"/>
  <c r="R328" i="5"/>
  <c r="N317" i="4"/>
  <c r="T328" i="5"/>
  <c r="O317" i="4"/>
  <c r="U328" i="5"/>
  <c r="P317" i="4"/>
  <c r="W328" i="5"/>
  <c r="Q317" i="4"/>
  <c r="X328" i="5"/>
  <c r="AA328" i="5"/>
  <c r="AC328" i="5"/>
  <c r="AD328" i="5"/>
  <c r="X317" i="4"/>
  <c r="AI328" i="5"/>
  <c r="Z328" i="5"/>
  <c r="AN328" i="5"/>
  <c r="O329" i="5"/>
  <c r="K329" i="5"/>
  <c r="AG329" i="5"/>
  <c r="B339" i="4"/>
  <c r="V339" i="4"/>
  <c r="AF329" i="5"/>
  <c r="C329" i="5"/>
  <c r="D339" i="4"/>
  <c r="E329" i="5"/>
  <c r="I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Z329" i="5"/>
  <c r="AN329" i="5"/>
  <c r="O330" i="5"/>
  <c r="K330" i="5"/>
  <c r="AG330" i="5"/>
  <c r="B340" i="4"/>
  <c r="V340" i="4"/>
  <c r="AF330" i="5"/>
  <c r="C330" i="5"/>
  <c r="D340" i="4"/>
  <c r="E330" i="5"/>
  <c r="I330" i="5"/>
  <c r="I340" i="4"/>
  <c r="L330" i="5"/>
  <c r="J340" i="4"/>
  <c r="N330" i="5"/>
  <c r="L340" i="4"/>
  <c r="Q330" i="5"/>
  <c r="M340" i="4"/>
  <c r="R330" i="5"/>
  <c r="N340" i="4"/>
  <c r="T330" i="5"/>
  <c r="O340" i="4"/>
  <c r="U330" i="5"/>
  <c r="P340" i="4"/>
  <c r="W330" i="5"/>
  <c r="Q340" i="4"/>
  <c r="X330" i="5"/>
  <c r="AA330" i="5"/>
  <c r="AC330" i="5"/>
  <c r="AD330" i="5"/>
  <c r="X340" i="4"/>
  <c r="AI330" i="5"/>
  <c r="Y340" i="4"/>
  <c r="AJ330" i="5"/>
  <c r="AL330" i="5"/>
  <c r="Z330" i="5"/>
  <c r="AN330" i="5"/>
  <c r="O331" i="5"/>
  <c r="K331" i="5"/>
  <c r="AG331" i="5"/>
  <c r="B341" i="4"/>
  <c r="V341" i="4"/>
  <c r="AF331" i="5"/>
  <c r="C331" i="5"/>
  <c r="D341" i="4"/>
  <c r="E331" i="5"/>
  <c r="I341" i="4"/>
  <c r="L331" i="5"/>
  <c r="J341" i="4"/>
  <c r="N331" i="5"/>
  <c r="L341" i="4"/>
  <c r="Q331" i="5"/>
  <c r="M341" i="4"/>
  <c r="R331" i="5"/>
  <c r="N341" i="4"/>
  <c r="T331" i="5"/>
  <c r="O341" i="4"/>
  <c r="U331" i="5"/>
  <c r="P341" i="4"/>
  <c r="W331" i="5"/>
  <c r="Q341" i="4"/>
  <c r="X331" i="5"/>
  <c r="AA331" i="5"/>
  <c r="AC331" i="5"/>
  <c r="AD331" i="5"/>
  <c r="X341" i="4"/>
  <c r="AI331" i="5"/>
  <c r="Y341" i="4"/>
  <c r="AJ331" i="5"/>
  <c r="AL331" i="5"/>
  <c r="F331" i="5"/>
  <c r="H331" i="5"/>
  <c r="I331" i="5"/>
  <c r="Z331" i="5"/>
  <c r="AN331" i="5"/>
  <c r="O332" i="5"/>
  <c r="K332" i="5"/>
  <c r="AG332" i="5"/>
  <c r="B343" i="4"/>
  <c r="V343" i="4"/>
  <c r="AF332" i="5"/>
  <c r="C332" i="5"/>
  <c r="D343" i="4"/>
  <c r="E332" i="5"/>
  <c r="I343" i="4"/>
  <c r="L332" i="5"/>
  <c r="J343" i="4"/>
  <c r="N332" i="5"/>
  <c r="L343" i="4"/>
  <c r="Q332" i="5"/>
  <c r="M343" i="4"/>
  <c r="R332" i="5"/>
  <c r="N343" i="4"/>
  <c r="T332" i="5"/>
  <c r="O343" i="4"/>
  <c r="U332" i="5"/>
  <c r="P343" i="4"/>
  <c r="W332" i="5"/>
  <c r="Q343" i="4"/>
  <c r="X332" i="5"/>
  <c r="AA332" i="5"/>
  <c r="AC332" i="5"/>
  <c r="AD332" i="5"/>
  <c r="X343" i="4"/>
  <c r="AI332" i="5"/>
  <c r="Y343" i="4"/>
  <c r="AJ332" i="5"/>
  <c r="AL332" i="5"/>
  <c r="F332" i="5"/>
  <c r="H332" i="5"/>
  <c r="I332" i="5"/>
  <c r="Z332" i="5"/>
  <c r="AN332" i="5"/>
  <c r="O333" i="5"/>
  <c r="K333" i="5"/>
  <c r="AG333" i="5"/>
  <c r="B323" i="4"/>
  <c r="V323" i="4"/>
  <c r="AF333" i="5"/>
  <c r="C333" i="5"/>
  <c r="D323" i="4"/>
  <c r="E333" i="5"/>
  <c r="I333" i="5"/>
  <c r="I323" i="4"/>
  <c r="L333" i="5"/>
  <c r="J323" i="4"/>
  <c r="N333" i="5"/>
  <c r="L323" i="4"/>
  <c r="Q333" i="5"/>
  <c r="M323" i="4"/>
  <c r="R333" i="5"/>
  <c r="N323" i="4"/>
  <c r="T333" i="5"/>
  <c r="O323" i="4"/>
  <c r="U333" i="5"/>
  <c r="P323" i="4"/>
  <c r="W333" i="5"/>
  <c r="Q323" i="4"/>
  <c r="X333" i="5"/>
  <c r="AA333" i="5"/>
  <c r="AC333" i="5"/>
  <c r="AD333" i="5"/>
  <c r="X323" i="4"/>
  <c r="AI333" i="5"/>
  <c r="Y323" i="4"/>
  <c r="AJ333" i="5"/>
  <c r="AL333" i="5"/>
  <c r="Z333" i="5"/>
  <c r="AN333" i="5"/>
  <c r="O334" i="5"/>
  <c r="K334" i="5"/>
  <c r="AG334" i="5"/>
  <c r="AF334" i="5"/>
  <c r="C334" i="5"/>
  <c r="B318" i="4"/>
  <c r="D318" i="4"/>
  <c r="E334" i="5"/>
  <c r="I334" i="5"/>
  <c r="I318" i="4"/>
  <c r="L334" i="5"/>
  <c r="J318" i="4"/>
  <c r="N334" i="5"/>
  <c r="L318" i="4"/>
  <c r="Q334" i="5"/>
  <c r="M318" i="4"/>
  <c r="R334" i="5"/>
  <c r="N318" i="4"/>
  <c r="T334" i="5"/>
  <c r="O318" i="4"/>
  <c r="U334" i="5"/>
  <c r="P318" i="4"/>
  <c r="W334" i="5"/>
  <c r="Q318" i="4"/>
  <c r="X334" i="5"/>
  <c r="AA334" i="5"/>
  <c r="AC334" i="5"/>
  <c r="AD334" i="5"/>
  <c r="X318" i="4"/>
  <c r="AI334" i="5"/>
  <c r="Y318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Z336" i="5"/>
  <c r="AN336" i="5"/>
  <c r="O337" i="5"/>
  <c r="K337" i="5"/>
  <c r="AG337" i="5"/>
  <c r="B326" i="4"/>
  <c r="V326" i="4"/>
  <c r="AF337" i="5"/>
  <c r="C337" i="5"/>
  <c r="D326" i="4"/>
  <c r="E337" i="5"/>
  <c r="I326" i="4"/>
  <c r="L337" i="5"/>
  <c r="J326" i="4"/>
  <c r="N337" i="5"/>
  <c r="L326" i="4"/>
  <c r="Q337" i="5"/>
  <c r="M326" i="4"/>
  <c r="R337" i="5"/>
  <c r="N326" i="4"/>
  <c r="T337" i="5"/>
  <c r="O326" i="4"/>
  <c r="U337" i="5"/>
  <c r="P326" i="4"/>
  <c r="W337" i="5"/>
  <c r="Q326" i="4"/>
  <c r="X337" i="5"/>
  <c r="AA337" i="5"/>
  <c r="AC337" i="5"/>
  <c r="AD337" i="5"/>
  <c r="X326" i="4"/>
  <c r="AI337" i="5"/>
  <c r="Y326" i="4"/>
  <c r="AJ337" i="5"/>
  <c r="AL337" i="5"/>
  <c r="F337" i="5"/>
  <c r="H337" i="5"/>
  <c r="I337" i="5"/>
  <c r="Z337" i="5"/>
  <c r="AN337" i="5"/>
  <c r="O338" i="5"/>
  <c r="K338" i="5"/>
  <c r="AG338" i="5"/>
  <c r="B347" i="4"/>
  <c r="V347" i="4"/>
  <c r="AF338" i="5"/>
  <c r="C338" i="5"/>
  <c r="D347" i="4"/>
  <c r="E338" i="5"/>
  <c r="I338" i="5"/>
  <c r="I347" i="4"/>
  <c r="L338" i="5"/>
  <c r="J347" i="4"/>
  <c r="N338" i="5"/>
  <c r="L347" i="4"/>
  <c r="Q338" i="5"/>
  <c r="M347" i="4"/>
  <c r="R338" i="5"/>
  <c r="N347" i="4"/>
  <c r="T338" i="5"/>
  <c r="O347" i="4"/>
  <c r="U338" i="5"/>
  <c r="P347" i="4"/>
  <c r="W338" i="5"/>
  <c r="Q347" i="4"/>
  <c r="X338" i="5"/>
  <c r="AA338" i="5"/>
  <c r="AC338" i="5"/>
  <c r="AD338" i="5"/>
  <c r="X347" i="4"/>
  <c r="AI338" i="5"/>
  <c r="Y347" i="4"/>
  <c r="AJ338" i="5"/>
  <c r="AL338" i="5"/>
  <c r="Z338" i="5"/>
  <c r="AN338" i="5"/>
  <c r="O339" i="5"/>
  <c r="K339" i="5"/>
  <c r="AG339" i="5"/>
  <c r="B327" i="4"/>
  <c r="V327" i="4"/>
  <c r="AF339" i="5"/>
  <c r="C339" i="5"/>
  <c r="D327" i="4"/>
  <c r="E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F339" i="5"/>
  <c r="H339" i="5"/>
  <c r="I339" i="5"/>
  <c r="Z339" i="5"/>
  <c r="AN339" i="5"/>
  <c r="O340" i="5"/>
  <c r="K340" i="5"/>
  <c r="AG340" i="5"/>
  <c r="B328" i="4"/>
  <c r="V328" i="4"/>
  <c r="AF340" i="5"/>
  <c r="C340" i="5"/>
  <c r="D328" i="4"/>
  <c r="E340" i="5"/>
  <c r="I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Z340" i="5"/>
  <c r="AN340" i="5"/>
  <c r="O341" i="5"/>
  <c r="K341" i="5"/>
  <c r="AG341" i="5"/>
  <c r="B329" i="4"/>
  <c r="V329" i="4"/>
  <c r="AF341" i="5"/>
  <c r="C341" i="5"/>
  <c r="D329" i="4"/>
  <c r="E341" i="5"/>
  <c r="I329" i="4"/>
  <c r="L341" i="5"/>
  <c r="J329" i="4"/>
  <c r="N341" i="5"/>
  <c r="L329" i="4"/>
  <c r="Q341" i="5"/>
  <c r="M329" i="4"/>
  <c r="R341" i="5"/>
  <c r="N329" i="4"/>
  <c r="T341" i="5"/>
  <c r="O329" i="4"/>
  <c r="U341" i="5"/>
  <c r="P329" i="4"/>
  <c r="W341" i="5"/>
  <c r="Q329" i="4"/>
  <c r="X341" i="5"/>
  <c r="AA341" i="5"/>
  <c r="AC341" i="5"/>
  <c r="AD341" i="5"/>
  <c r="X329" i="4"/>
  <c r="AI341" i="5"/>
  <c r="Y329" i="4"/>
  <c r="AJ341" i="5"/>
  <c r="AL341" i="5"/>
  <c r="F341" i="5"/>
  <c r="H341" i="5"/>
  <c r="I341" i="5"/>
  <c r="Z341" i="5"/>
  <c r="AN341" i="5"/>
  <c r="O342" i="5"/>
  <c r="K342" i="5"/>
  <c r="AG342" i="5"/>
  <c r="B330" i="4"/>
  <c r="V330" i="4"/>
  <c r="AF342" i="5"/>
  <c r="C342" i="5"/>
  <c r="D330" i="4"/>
  <c r="E342" i="5"/>
  <c r="I342" i="5"/>
  <c r="I330" i="4"/>
  <c r="L342" i="5"/>
  <c r="J330" i="4"/>
  <c r="N342" i="5"/>
  <c r="L330" i="4"/>
  <c r="Q342" i="5"/>
  <c r="M330" i="4"/>
  <c r="R342" i="5"/>
  <c r="N330" i="4"/>
  <c r="T342" i="5"/>
  <c r="O330" i="4"/>
  <c r="U342" i="5"/>
  <c r="P330" i="4"/>
  <c r="W342" i="5"/>
  <c r="Q330" i="4"/>
  <c r="X342" i="5"/>
  <c r="AA342" i="5"/>
  <c r="AC342" i="5"/>
  <c r="AD342" i="5"/>
  <c r="X330" i="4"/>
  <c r="AI342" i="5"/>
  <c r="Y330" i="4"/>
  <c r="AJ342" i="5"/>
  <c r="AL342" i="5"/>
  <c r="Z342" i="5"/>
  <c r="AN342" i="5"/>
  <c r="O343" i="5"/>
  <c r="K343" i="5"/>
  <c r="AG343" i="5"/>
  <c r="B342" i="4"/>
  <c r="V342" i="4"/>
  <c r="AF343" i="5"/>
  <c r="C343" i="5"/>
  <c r="D342" i="4"/>
  <c r="E343" i="5"/>
  <c r="I343" i="5"/>
  <c r="I342" i="4"/>
  <c r="L343" i="5"/>
  <c r="J342" i="4"/>
  <c r="N343" i="5"/>
  <c r="L342" i="4"/>
  <c r="Q343" i="5"/>
  <c r="M342" i="4"/>
  <c r="R343" i="5"/>
  <c r="N342" i="4"/>
  <c r="T343" i="5"/>
  <c r="O342" i="4"/>
  <c r="U343" i="5"/>
  <c r="P342" i="4"/>
  <c r="W343" i="5"/>
  <c r="Q342" i="4"/>
  <c r="X343" i="5"/>
  <c r="AA343" i="5"/>
  <c r="AC343" i="5"/>
  <c r="AD343" i="5"/>
  <c r="X342" i="4"/>
  <c r="AI343" i="5"/>
  <c r="Y342" i="4"/>
  <c r="AJ343" i="5"/>
  <c r="AL343" i="5"/>
  <c r="Z343" i="5"/>
  <c r="AN343" i="5"/>
  <c r="O344" i="5"/>
  <c r="K344" i="5"/>
  <c r="AG344" i="5"/>
  <c r="B331" i="4"/>
  <c r="V331" i="4"/>
  <c r="AF344" i="5"/>
  <c r="C344" i="5"/>
  <c r="D331" i="4"/>
  <c r="E344" i="5"/>
  <c r="I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Z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H345" i="5"/>
  <c r="I345" i="5"/>
  <c r="Z345" i="5"/>
  <c r="AN345" i="5"/>
  <c r="O346" i="5"/>
  <c r="K346" i="5"/>
  <c r="AG346" i="5"/>
  <c r="B333" i="4"/>
  <c r="V333" i="4"/>
  <c r="AF346" i="5"/>
  <c r="C346" i="5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F346" i="5"/>
  <c r="H346" i="5"/>
  <c r="I346" i="5"/>
  <c r="Z346" i="5"/>
  <c r="AN346" i="5"/>
  <c r="O347" i="5"/>
  <c r="K347" i="5"/>
  <c r="AG347" i="5"/>
  <c r="B334" i="4"/>
  <c r="V334" i="4"/>
  <c r="AF347" i="5"/>
  <c r="C347" i="5"/>
  <c r="D334" i="4"/>
  <c r="E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F347" i="5"/>
  <c r="H347" i="5"/>
  <c r="I347" i="5"/>
  <c r="Z347" i="5"/>
  <c r="AN347" i="5"/>
  <c r="O348" i="5"/>
  <c r="K348" i="5"/>
  <c r="AG348" i="5"/>
  <c r="B335" i="4"/>
  <c r="V335" i="4"/>
  <c r="AF348" i="5"/>
  <c r="C348" i="5"/>
  <c r="D335" i="4"/>
  <c r="E348" i="5"/>
  <c r="I348" i="5"/>
  <c r="I335" i="4"/>
  <c r="L348" i="5"/>
  <c r="J335" i="4"/>
  <c r="N348" i="5"/>
  <c r="L335" i="4"/>
  <c r="Q348" i="5"/>
  <c r="M335" i="4"/>
  <c r="R348" i="5"/>
  <c r="N335" i="4"/>
  <c r="T348" i="5"/>
  <c r="O335" i="4"/>
  <c r="U348" i="5"/>
  <c r="P335" i="4"/>
  <c r="W348" i="5"/>
  <c r="Q335" i="4"/>
  <c r="X348" i="5"/>
  <c r="AA348" i="5"/>
  <c r="AC348" i="5"/>
  <c r="AD348" i="5"/>
  <c r="X335" i="4"/>
  <c r="AI348" i="5"/>
  <c r="Y335" i="4"/>
  <c r="AJ348" i="5"/>
  <c r="AL348" i="5"/>
  <c r="Z348" i="5"/>
  <c r="AN348" i="5"/>
  <c r="B351" i="4"/>
  <c r="K351" i="4"/>
  <c r="O349" i="5"/>
  <c r="H351" i="4"/>
  <c r="K349" i="5"/>
  <c r="W351" i="4"/>
  <c r="AG349" i="5"/>
  <c r="V351" i="4"/>
  <c r="AF349" i="5"/>
  <c r="C351" i="4"/>
  <c r="C349" i="5"/>
  <c r="D351" i="4"/>
  <c r="E349" i="5"/>
  <c r="I351" i="4"/>
  <c r="L349" i="5"/>
  <c r="J351" i="4"/>
  <c r="N349" i="5"/>
  <c r="L351" i="4"/>
  <c r="Q349" i="5"/>
  <c r="M351" i="4"/>
  <c r="R349" i="5"/>
  <c r="N351" i="4"/>
  <c r="T349" i="5"/>
  <c r="O351" i="4"/>
  <c r="U349" i="5"/>
  <c r="P351" i="4"/>
  <c r="W349" i="5"/>
  <c r="Q351" i="4"/>
  <c r="X349" i="5"/>
  <c r="S351" i="4"/>
  <c r="AA349" i="5"/>
  <c r="T351" i="4"/>
  <c r="AC349" i="5"/>
  <c r="U351" i="4"/>
  <c r="AD349" i="5"/>
  <c r="X351" i="4"/>
  <c r="AI349" i="5"/>
  <c r="Y351" i="4"/>
  <c r="AJ349" i="5"/>
  <c r="Z351" i="4"/>
  <c r="AL349" i="5"/>
  <c r="F349" i="5"/>
  <c r="H349" i="5"/>
  <c r="I349" i="5"/>
  <c r="Z349" i="5"/>
  <c r="AN349" i="5"/>
  <c r="B357" i="4"/>
  <c r="K357" i="4"/>
  <c r="O350" i="5"/>
  <c r="H357" i="4"/>
  <c r="K350" i="5"/>
  <c r="W357" i="4"/>
  <c r="AG350" i="5"/>
  <c r="V357" i="4"/>
  <c r="AF350" i="5"/>
  <c r="C357" i="4"/>
  <c r="C350" i="5"/>
  <c r="D357" i="4"/>
  <c r="E350" i="5"/>
  <c r="I357" i="4"/>
  <c r="L350" i="5"/>
  <c r="J357" i="4"/>
  <c r="N350" i="5"/>
  <c r="L357" i="4"/>
  <c r="Q350" i="5"/>
  <c r="M357" i="4"/>
  <c r="R350" i="5"/>
  <c r="N357" i="4"/>
  <c r="T350" i="5"/>
  <c r="O357" i="4"/>
  <c r="U350" i="5"/>
  <c r="P357" i="4"/>
  <c r="W350" i="5"/>
  <c r="Q357" i="4"/>
  <c r="X350" i="5"/>
  <c r="S357" i="4"/>
  <c r="AA350" i="5"/>
  <c r="T357" i="4"/>
  <c r="AC350" i="5"/>
  <c r="U357" i="4"/>
  <c r="AD350" i="5"/>
  <c r="X357" i="4"/>
  <c r="AI350" i="5"/>
  <c r="Y357" i="4"/>
  <c r="AJ350" i="5"/>
  <c r="Z357" i="4"/>
  <c r="AL350" i="5"/>
  <c r="F350" i="5"/>
  <c r="H350" i="5"/>
  <c r="I350" i="5"/>
  <c r="Z350" i="5"/>
  <c r="AN350" i="5"/>
  <c r="B358" i="4"/>
  <c r="K358" i="4"/>
  <c r="O351" i="5"/>
  <c r="H358" i="4"/>
  <c r="K351" i="5"/>
  <c r="W358" i="4"/>
  <c r="AG351" i="5"/>
  <c r="V358" i="4"/>
  <c r="AF351" i="5"/>
  <c r="C358" i="4"/>
  <c r="C351" i="5"/>
  <c r="D358" i="4"/>
  <c r="E351" i="5"/>
  <c r="I358" i="4"/>
  <c r="L351" i="5"/>
  <c r="J358" i="4"/>
  <c r="N351" i="5"/>
  <c r="L358" i="4"/>
  <c r="Q351" i="5"/>
  <c r="M358" i="4"/>
  <c r="R351" i="5"/>
  <c r="N358" i="4"/>
  <c r="T351" i="5"/>
  <c r="O358" i="4"/>
  <c r="U351" i="5"/>
  <c r="P358" i="4"/>
  <c r="W351" i="5"/>
  <c r="Q358" i="4"/>
  <c r="X351" i="5"/>
  <c r="S358" i="4"/>
  <c r="AA351" i="5"/>
  <c r="T358" i="4"/>
  <c r="AC351" i="5"/>
  <c r="U358" i="4"/>
  <c r="AD351" i="5"/>
  <c r="X358" i="4"/>
  <c r="AI351" i="5"/>
  <c r="Y358" i="4"/>
  <c r="AJ351" i="5"/>
  <c r="Z358" i="4"/>
  <c r="AL351" i="5"/>
  <c r="F351" i="5"/>
  <c r="H351" i="5"/>
  <c r="I351" i="5"/>
  <c r="Z351" i="5"/>
  <c r="AN351" i="5"/>
  <c r="B356" i="4"/>
  <c r="S356" i="4"/>
  <c r="AA352" i="5"/>
  <c r="P356" i="4"/>
  <c r="W352" i="5"/>
  <c r="K356" i="4"/>
  <c r="O352" i="5"/>
  <c r="H356" i="4"/>
  <c r="K352" i="5"/>
  <c r="W356" i="4"/>
  <c r="AG352" i="5"/>
  <c r="V356" i="4"/>
  <c r="AF352" i="5"/>
  <c r="C356" i="4"/>
  <c r="C352" i="5"/>
  <c r="D356" i="4"/>
  <c r="E352" i="5"/>
  <c r="I356" i="4"/>
  <c r="L352" i="5"/>
  <c r="J356" i="4"/>
  <c r="N352" i="5"/>
  <c r="L356" i="4"/>
  <c r="Q352" i="5"/>
  <c r="M356" i="4"/>
  <c r="R352" i="5"/>
  <c r="N356" i="4"/>
  <c r="T352" i="5"/>
  <c r="O356" i="4"/>
  <c r="U352" i="5"/>
  <c r="Q356" i="4"/>
  <c r="X352" i="5"/>
  <c r="R356" i="4"/>
  <c r="Z352" i="5"/>
  <c r="T356" i="4"/>
  <c r="AC352" i="5"/>
  <c r="U356" i="4"/>
  <c r="AD352" i="5"/>
  <c r="X356" i="4"/>
  <c r="AI352" i="5"/>
  <c r="Y356" i="4"/>
  <c r="AJ352" i="5"/>
  <c r="Z356" i="4"/>
  <c r="AL352" i="5"/>
  <c r="F352" i="5"/>
  <c r="H352" i="5"/>
  <c r="I352" i="5"/>
  <c r="AN352" i="5"/>
  <c r="K362" i="4"/>
  <c r="O353" i="5"/>
  <c r="H362" i="4"/>
  <c r="K353" i="5"/>
  <c r="W362" i="4"/>
  <c r="AG353" i="5"/>
  <c r="V362" i="4"/>
  <c r="AF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P362" i="4"/>
  <c r="W353" i="5"/>
  <c r="Q362" i="4"/>
  <c r="X353" i="5"/>
  <c r="T362" i="4"/>
  <c r="AC353" i="5"/>
  <c r="U362" i="4"/>
  <c r="AD353" i="5"/>
  <c r="X362" i="4"/>
  <c r="AI353" i="5"/>
  <c r="Y362" i="4"/>
  <c r="AJ353" i="5"/>
  <c r="Z362" i="4"/>
  <c r="AL353" i="5"/>
  <c r="Z353" i="5"/>
  <c r="F353" i="5"/>
  <c r="H353" i="5"/>
  <c r="I353" i="5"/>
  <c r="AN353" i="5"/>
  <c r="B363" i="4"/>
  <c r="K363" i="4"/>
  <c r="O354" i="5"/>
  <c r="H363" i="4"/>
  <c r="K354" i="5"/>
  <c r="W363" i="4"/>
  <c r="AG354" i="5"/>
  <c r="V363" i="4"/>
  <c r="AF354" i="5"/>
  <c r="C363" i="4"/>
  <c r="C354" i="5"/>
  <c r="D363" i="4"/>
  <c r="E354" i="5"/>
  <c r="I363" i="4"/>
  <c r="L354" i="5"/>
  <c r="J363" i="4"/>
  <c r="N354" i="5"/>
  <c r="L363" i="4"/>
  <c r="Q354" i="5"/>
  <c r="M363" i="4"/>
  <c r="R354" i="5"/>
  <c r="N363" i="4"/>
  <c r="T354" i="5"/>
  <c r="O363" i="4"/>
  <c r="U354" i="5"/>
  <c r="P363" i="4"/>
  <c r="W354" i="5"/>
  <c r="Q363" i="4"/>
  <c r="X354" i="5"/>
  <c r="S363" i="4"/>
  <c r="T363" i="4"/>
  <c r="AC354" i="5"/>
  <c r="U363" i="4"/>
  <c r="AD354" i="5"/>
  <c r="X363" i="4"/>
  <c r="AI354" i="5"/>
  <c r="Y363" i="4"/>
  <c r="AJ354" i="5"/>
  <c r="Z363" i="4"/>
  <c r="AL354" i="5"/>
  <c r="Z354" i="5"/>
  <c r="F354" i="5"/>
  <c r="H354" i="5"/>
  <c r="I354" i="5"/>
  <c r="AN354" i="5"/>
  <c r="B369" i="4"/>
  <c r="K369" i="4"/>
  <c r="O355" i="5"/>
  <c r="H369" i="4"/>
  <c r="K355" i="5"/>
  <c r="W369" i="4"/>
  <c r="AG355" i="5"/>
  <c r="V369" i="4"/>
  <c r="AF355" i="5"/>
  <c r="C369" i="4"/>
  <c r="C355" i="5"/>
  <c r="D369" i="4"/>
  <c r="E355" i="5"/>
  <c r="I369" i="4"/>
  <c r="L355" i="5"/>
  <c r="J369" i="4"/>
  <c r="N355" i="5"/>
  <c r="L369" i="4"/>
  <c r="Q355" i="5"/>
  <c r="M369" i="4"/>
  <c r="R355" i="5"/>
  <c r="N369" i="4"/>
  <c r="T355" i="5"/>
  <c r="O369" i="4"/>
  <c r="U355" i="5"/>
  <c r="P369" i="4"/>
  <c r="W355" i="5"/>
  <c r="Q369" i="4"/>
  <c r="X355" i="5"/>
  <c r="S369" i="4"/>
  <c r="AA355" i="5"/>
  <c r="T369" i="4"/>
  <c r="AC355" i="5"/>
  <c r="U369" i="4"/>
  <c r="AD355" i="5"/>
  <c r="X369" i="4"/>
  <c r="AI355" i="5"/>
  <c r="Y369" i="4"/>
  <c r="AJ355" i="5"/>
  <c r="Z369" i="4"/>
  <c r="AL355" i="5"/>
  <c r="Z355" i="5"/>
  <c r="F355" i="5"/>
  <c r="H355" i="5"/>
  <c r="I355" i="5"/>
  <c r="AN355" i="5"/>
  <c r="B364" i="4"/>
  <c r="K364" i="4"/>
  <c r="O356" i="5"/>
  <c r="H364" i="4"/>
  <c r="K356" i="5"/>
  <c r="W364" i="4"/>
  <c r="AG356" i="5"/>
  <c r="V364" i="4"/>
  <c r="AF356" i="5"/>
  <c r="C364" i="4"/>
  <c r="C356" i="5"/>
  <c r="D364" i="4"/>
  <c r="E356" i="5"/>
  <c r="I364" i="4"/>
  <c r="L356" i="5"/>
  <c r="J364" i="4"/>
  <c r="N356" i="5"/>
  <c r="L364" i="4"/>
  <c r="Q356" i="5"/>
  <c r="M364" i="4"/>
  <c r="R356" i="5"/>
  <c r="N364" i="4"/>
  <c r="T356" i="5"/>
  <c r="O364" i="4"/>
  <c r="U356" i="5"/>
  <c r="P364" i="4"/>
  <c r="W356" i="5"/>
  <c r="Q364" i="4"/>
  <c r="X356" i="5"/>
  <c r="S364" i="4"/>
  <c r="AA356" i="5"/>
  <c r="T364" i="4"/>
  <c r="AC356" i="5"/>
  <c r="U364" i="4"/>
  <c r="AD356" i="5"/>
  <c r="X364" i="4"/>
  <c r="AI356" i="5"/>
  <c r="Y364" i="4"/>
  <c r="AJ356" i="5"/>
  <c r="Z356" i="5"/>
  <c r="F356" i="5"/>
  <c r="H356" i="5"/>
  <c r="I356" i="5"/>
  <c r="AN356" i="5"/>
  <c r="S370" i="4"/>
  <c r="P370" i="4"/>
  <c r="W357" i="5"/>
  <c r="K370" i="4"/>
  <c r="O357" i="5"/>
  <c r="H370" i="4"/>
  <c r="K357" i="5"/>
  <c r="W370" i="4"/>
  <c r="AG357" i="5"/>
  <c r="V370" i="4"/>
  <c r="AF357" i="5"/>
  <c r="C370" i="4"/>
  <c r="C357" i="5"/>
  <c r="D370" i="4"/>
  <c r="E357" i="5"/>
  <c r="I370" i="4"/>
  <c r="L357" i="5"/>
  <c r="J370" i="4"/>
  <c r="N357" i="5"/>
  <c r="L370" i="4"/>
  <c r="Q357" i="5"/>
  <c r="M370" i="4"/>
  <c r="R357" i="5"/>
  <c r="N370" i="4"/>
  <c r="T357" i="5"/>
  <c r="O370" i="4"/>
  <c r="U357" i="5"/>
  <c r="Q370" i="4"/>
  <c r="X357" i="5"/>
  <c r="R370" i="4"/>
  <c r="Z357" i="5"/>
  <c r="T370" i="4"/>
  <c r="AC357" i="5"/>
  <c r="U370" i="4"/>
  <c r="AD357" i="5"/>
  <c r="X370" i="4"/>
  <c r="AI357" i="5"/>
  <c r="F357" i="5"/>
  <c r="H357" i="5"/>
  <c r="I357" i="5"/>
  <c r="AN357" i="5"/>
  <c r="B352" i="4"/>
  <c r="K352" i="4"/>
  <c r="O358" i="5"/>
  <c r="H352" i="4"/>
  <c r="K358" i="5"/>
  <c r="W352" i="4"/>
  <c r="AG358" i="5"/>
  <c r="V352" i="4"/>
  <c r="AF358" i="5"/>
  <c r="C352" i="4"/>
  <c r="C358" i="5"/>
  <c r="D352" i="4"/>
  <c r="E358" i="5"/>
  <c r="I352" i="4"/>
  <c r="L358" i="5"/>
  <c r="J352" i="4"/>
  <c r="N358" i="5"/>
  <c r="L352" i="4"/>
  <c r="Q358" i="5"/>
  <c r="M352" i="4"/>
  <c r="R358" i="5"/>
  <c r="N352" i="4"/>
  <c r="T358" i="5"/>
  <c r="O352" i="4"/>
  <c r="U358" i="5"/>
  <c r="P352" i="4"/>
  <c r="W358" i="5"/>
  <c r="Q352" i="4"/>
  <c r="X358" i="5"/>
  <c r="S352" i="4"/>
  <c r="AA358" i="5"/>
  <c r="T352" i="4"/>
  <c r="AC358" i="5"/>
  <c r="U352" i="4"/>
  <c r="AD358" i="5"/>
  <c r="X352" i="4"/>
  <c r="AI358" i="5"/>
  <c r="Y352" i="4"/>
  <c r="AJ358" i="5"/>
  <c r="Z352" i="4"/>
  <c r="AL358" i="5"/>
  <c r="F358" i="5"/>
  <c r="H358" i="5"/>
  <c r="I358" i="5"/>
  <c r="Z358" i="5"/>
  <c r="AN358" i="5"/>
  <c r="B349" i="4"/>
  <c r="K349" i="4"/>
  <c r="O359" i="5"/>
  <c r="H349" i="4"/>
  <c r="K359" i="5"/>
  <c r="W349" i="4"/>
  <c r="AG359" i="5"/>
  <c r="V349" i="4"/>
  <c r="AF359" i="5"/>
  <c r="C349" i="4"/>
  <c r="C359" i="5"/>
  <c r="D349" i="4"/>
  <c r="E359" i="5"/>
  <c r="I349" i="4"/>
  <c r="L359" i="5"/>
  <c r="J349" i="4"/>
  <c r="N359" i="5"/>
  <c r="L349" i="4"/>
  <c r="Q359" i="5"/>
  <c r="M349" i="4"/>
  <c r="R359" i="5"/>
  <c r="N349" i="4"/>
  <c r="T359" i="5"/>
  <c r="O349" i="4"/>
  <c r="U359" i="5"/>
  <c r="P349" i="4"/>
  <c r="W359" i="5"/>
  <c r="Q349" i="4"/>
  <c r="X359" i="5"/>
  <c r="S349" i="4"/>
  <c r="AA359" i="5"/>
  <c r="T349" i="4"/>
  <c r="AC359" i="5"/>
  <c r="U349" i="4"/>
  <c r="AD359" i="5"/>
  <c r="X349" i="4"/>
  <c r="AI359" i="5"/>
  <c r="Y349" i="4"/>
  <c r="AJ359" i="5"/>
  <c r="Z349" i="4"/>
  <c r="AL359" i="5"/>
  <c r="F359" i="5"/>
  <c r="H359" i="5"/>
  <c r="I359" i="5"/>
  <c r="Z359" i="5"/>
  <c r="AN359" i="5"/>
  <c r="B359" i="4"/>
  <c r="K359" i="4"/>
  <c r="O360" i="5"/>
  <c r="H359" i="4"/>
  <c r="K360" i="5"/>
  <c r="W359" i="4"/>
  <c r="AG360" i="5"/>
  <c r="V359" i="4"/>
  <c r="AF360" i="5"/>
  <c r="C359" i="4"/>
  <c r="C360" i="5"/>
  <c r="D359" i="4"/>
  <c r="E360" i="5"/>
  <c r="I359" i="4"/>
  <c r="L360" i="5"/>
  <c r="J359" i="4"/>
  <c r="N360" i="5"/>
  <c r="L359" i="4"/>
  <c r="Q360" i="5"/>
  <c r="M359" i="4"/>
  <c r="R360" i="5"/>
  <c r="N359" i="4"/>
  <c r="T360" i="5"/>
  <c r="O359" i="4"/>
  <c r="U360" i="5"/>
  <c r="P359" i="4"/>
  <c r="W360" i="5"/>
  <c r="Q359" i="4"/>
  <c r="X360" i="5"/>
  <c r="S359" i="4"/>
  <c r="AA360" i="5"/>
  <c r="T359" i="4"/>
  <c r="AC360" i="5"/>
  <c r="U359" i="4"/>
  <c r="AD360" i="5"/>
  <c r="X359" i="4"/>
  <c r="AI360" i="5"/>
  <c r="Y359" i="4"/>
  <c r="AJ360" i="5"/>
  <c r="Z359" i="4"/>
  <c r="AL360" i="5"/>
  <c r="F360" i="5"/>
  <c r="H360" i="5"/>
  <c r="I360" i="5"/>
  <c r="Z360" i="5"/>
  <c r="AN360" i="5"/>
  <c r="B360" i="4"/>
  <c r="K360" i="4"/>
  <c r="O361" i="5"/>
  <c r="H360" i="4"/>
  <c r="K361" i="5"/>
  <c r="W360" i="4"/>
  <c r="AG361" i="5"/>
  <c r="V360" i="4"/>
  <c r="AF361" i="5"/>
  <c r="C360" i="4"/>
  <c r="C361" i="5"/>
  <c r="D360" i="4"/>
  <c r="E361" i="5"/>
  <c r="I360" i="4"/>
  <c r="L361" i="5"/>
  <c r="J360" i="4"/>
  <c r="N361" i="5"/>
  <c r="L360" i="4"/>
  <c r="Q361" i="5"/>
  <c r="M360" i="4"/>
  <c r="R361" i="5"/>
  <c r="N360" i="4"/>
  <c r="T361" i="5"/>
  <c r="O360" i="4"/>
  <c r="U361" i="5"/>
  <c r="P360" i="4"/>
  <c r="W361" i="5"/>
  <c r="Q360" i="4"/>
  <c r="X361" i="5"/>
  <c r="S360" i="4"/>
  <c r="AA361" i="5"/>
  <c r="T360" i="4"/>
  <c r="AC361" i="5"/>
  <c r="U360" i="4"/>
  <c r="AD361" i="5"/>
  <c r="X360" i="4"/>
  <c r="AI361" i="5"/>
  <c r="Y360" i="4"/>
  <c r="AJ361" i="5"/>
  <c r="Z360" i="4"/>
  <c r="AL361" i="5"/>
  <c r="F361" i="5"/>
  <c r="H361" i="5"/>
  <c r="I361" i="5"/>
  <c r="Z361" i="5"/>
  <c r="AN361" i="5"/>
  <c r="B365" i="4"/>
  <c r="K365" i="4"/>
  <c r="O362" i="5"/>
  <c r="H365" i="4"/>
  <c r="K362" i="5"/>
  <c r="W365" i="4"/>
  <c r="AG362" i="5"/>
  <c r="V365" i="4"/>
  <c r="AF362" i="5"/>
  <c r="C365" i="4"/>
  <c r="C362" i="5"/>
  <c r="D365" i="4"/>
  <c r="E362" i="5"/>
  <c r="I365" i="4"/>
  <c r="L362" i="5"/>
  <c r="J365" i="4"/>
  <c r="N362" i="5"/>
  <c r="L365" i="4"/>
  <c r="Q362" i="5"/>
  <c r="M365" i="4"/>
  <c r="R362" i="5"/>
  <c r="N365" i="4"/>
  <c r="T362" i="5"/>
  <c r="O365" i="4"/>
  <c r="U362" i="5"/>
  <c r="P365" i="4"/>
  <c r="W362" i="5"/>
  <c r="Q365" i="4"/>
  <c r="X362" i="5"/>
  <c r="S365" i="4"/>
  <c r="AA362" i="5"/>
  <c r="T365" i="4"/>
  <c r="AC362" i="5"/>
  <c r="U365" i="4"/>
  <c r="AD362" i="5"/>
  <c r="X365" i="4"/>
  <c r="AI362" i="5"/>
  <c r="Y365" i="4"/>
  <c r="AJ362" i="5"/>
  <c r="Z365" i="4"/>
  <c r="AL362" i="5"/>
  <c r="F362" i="5"/>
  <c r="H362" i="5"/>
  <c r="I362" i="5"/>
  <c r="Z362" i="5"/>
  <c r="AN362" i="5"/>
  <c r="B350" i="4"/>
  <c r="K350" i="4"/>
  <c r="O363" i="5"/>
  <c r="H350" i="4"/>
  <c r="K363" i="5"/>
  <c r="W350" i="4"/>
  <c r="AG363" i="5"/>
  <c r="V350" i="4"/>
  <c r="AF363" i="5"/>
  <c r="C350" i="4"/>
  <c r="C363" i="5"/>
  <c r="D350" i="4"/>
  <c r="E363" i="5"/>
  <c r="I350" i="4"/>
  <c r="L363" i="5"/>
  <c r="J350" i="4"/>
  <c r="N363" i="5"/>
  <c r="L350" i="4"/>
  <c r="Q363" i="5"/>
  <c r="M350" i="4"/>
  <c r="R363" i="5"/>
  <c r="N350" i="4"/>
  <c r="T363" i="5"/>
  <c r="O350" i="4"/>
  <c r="U363" i="5"/>
  <c r="P350" i="4"/>
  <c r="W363" i="5"/>
  <c r="Q350" i="4"/>
  <c r="X363" i="5"/>
  <c r="S350" i="4"/>
  <c r="AA363" i="5"/>
  <c r="T350" i="4"/>
  <c r="AC363" i="5"/>
  <c r="U350" i="4"/>
  <c r="AD363" i="5"/>
  <c r="X350" i="4"/>
  <c r="AI363" i="5"/>
  <c r="Y350" i="4"/>
  <c r="AJ363" i="5"/>
  <c r="Z350" i="4"/>
  <c r="AL363" i="5"/>
  <c r="F363" i="5"/>
  <c r="H363" i="5"/>
  <c r="I363" i="5"/>
  <c r="Z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F364" i="5"/>
  <c r="H364" i="5"/>
  <c r="I364" i="5"/>
  <c r="Z364" i="5"/>
  <c r="AN364" i="5"/>
  <c r="B367" i="4"/>
  <c r="K367" i="4"/>
  <c r="O365" i="5"/>
  <c r="H367" i="4"/>
  <c r="K365" i="5"/>
  <c r="W367" i="4"/>
  <c r="AG365" i="5"/>
  <c r="V367" i="4"/>
  <c r="AF365" i="5"/>
  <c r="C367" i="4"/>
  <c r="C365" i="5"/>
  <c r="D367" i="4"/>
  <c r="E365" i="5"/>
  <c r="I367" i="4"/>
  <c r="L365" i="5"/>
  <c r="J367" i="4"/>
  <c r="N365" i="5"/>
  <c r="L367" i="4"/>
  <c r="Q365" i="5"/>
  <c r="M367" i="4"/>
  <c r="R365" i="5"/>
  <c r="N367" i="4"/>
  <c r="T365" i="5"/>
  <c r="O367" i="4"/>
  <c r="U365" i="5"/>
  <c r="P367" i="4"/>
  <c r="W365" i="5"/>
  <c r="Q367" i="4"/>
  <c r="X365" i="5"/>
  <c r="S367" i="4"/>
  <c r="AA365" i="5"/>
  <c r="T367" i="4"/>
  <c r="AC365" i="5"/>
  <c r="U367" i="4"/>
  <c r="AD365" i="5"/>
  <c r="X367" i="4"/>
  <c r="AI365" i="5"/>
  <c r="Y367" i="4"/>
  <c r="AJ365" i="5"/>
  <c r="Z367" i="4"/>
  <c r="AL365" i="5"/>
  <c r="F365" i="5"/>
  <c r="H365" i="5"/>
  <c r="I365" i="5"/>
  <c r="Z365" i="5"/>
  <c r="AN365" i="5"/>
  <c r="B368" i="4"/>
  <c r="K368" i="4"/>
  <c r="O366" i="5"/>
  <c r="H368" i="4"/>
  <c r="K366" i="5"/>
  <c r="W368" i="4"/>
  <c r="AG366" i="5"/>
  <c r="V368" i="4"/>
  <c r="AF366" i="5"/>
  <c r="C368" i="4"/>
  <c r="C366" i="5"/>
  <c r="D368" i="4"/>
  <c r="E366" i="5"/>
  <c r="I368" i="4"/>
  <c r="L366" i="5"/>
  <c r="J368" i="4"/>
  <c r="N366" i="5"/>
  <c r="L368" i="4"/>
  <c r="Q366" i="5"/>
  <c r="M368" i="4"/>
  <c r="R366" i="5"/>
  <c r="N368" i="4"/>
  <c r="T366" i="5"/>
  <c r="O368" i="4"/>
  <c r="U366" i="5"/>
  <c r="P368" i="4"/>
  <c r="W366" i="5"/>
  <c r="Q368" i="4"/>
  <c r="X366" i="5"/>
  <c r="S368" i="4"/>
  <c r="AA366" i="5"/>
  <c r="T368" i="4"/>
  <c r="AC366" i="5"/>
  <c r="U368" i="4"/>
  <c r="AD366" i="5"/>
  <c r="X368" i="4"/>
  <c r="AI366" i="5"/>
  <c r="Y368" i="4"/>
  <c r="AJ366" i="5"/>
  <c r="Z368" i="4"/>
  <c r="AL366" i="5"/>
  <c r="F366" i="5"/>
  <c r="H366" i="5"/>
  <c r="I366" i="5"/>
  <c r="Z366" i="5"/>
  <c r="AN366" i="5"/>
  <c r="B361" i="4"/>
  <c r="S361" i="4"/>
  <c r="AA367" i="5"/>
  <c r="P361" i="4"/>
  <c r="W367" i="5"/>
  <c r="K361" i="4"/>
  <c r="O367" i="5"/>
  <c r="H361" i="4"/>
  <c r="K367" i="5"/>
  <c r="W361" i="4"/>
  <c r="AG367" i="5"/>
  <c r="V361" i="4"/>
  <c r="AF367" i="5"/>
  <c r="C361" i="4"/>
  <c r="C367" i="5"/>
  <c r="D361" i="4"/>
  <c r="E367" i="5"/>
  <c r="I361" i="4"/>
  <c r="L367" i="5"/>
  <c r="J361" i="4"/>
  <c r="N367" i="5"/>
  <c r="L361" i="4"/>
  <c r="Q367" i="5"/>
  <c r="M361" i="4"/>
  <c r="R367" i="5"/>
  <c r="N361" i="4"/>
  <c r="T367" i="5"/>
  <c r="O361" i="4"/>
  <c r="U367" i="5"/>
  <c r="Q361" i="4"/>
  <c r="X367" i="5"/>
  <c r="R361" i="4"/>
  <c r="Z367" i="5"/>
  <c r="T361" i="4"/>
  <c r="AC367" i="5"/>
  <c r="U361" i="4"/>
  <c r="AD367" i="5"/>
  <c r="X361" i="4"/>
  <c r="AI367" i="5"/>
  <c r="F367" i="5"/>
  <c r="H367" i="5"/>
  <c r="I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F368" i="5"/>
  <c r="H368" i="5"/>
  <c r="I368" i="5"/>
  <c r="Z368" i="5"/>
  <c r="AN368" i="5"/>
  <c r="B354" i="4"/>
  <c r="K354" i="4"/>
  <c r="O369" i="5"/>
  <c r="H354" i="4"/>
  <c r="K369" i="5"/>
  <c r="W354" i="4"/>
  <c r="AG369" i="5"/>
  <c r="V354" i="4"/>
  <c r="AF369" i="5"/>
  <c r="C354" i="4"/>
  <c r="C369" i="5"/>
  <c r="D354" i="4"/>
  <c r="E369" i="5"/>
  <c r="I354" i="4"/>
  <c r="L369" i="5"/>
  <c r="J354" i="4"/>
  <c r="N369" i="5"/>
  <c r="L354" i="4"/>
  <c r="Q369" i="5"/>
  <c r="M354" i="4"/>
  <c r="R369" i="5"/>
  <c r="N354" i="4"/>
  <c r="T369" i="5"/>
  <c r="O354" i="4"/>
  <c r="U369" i="5"/>
  <c r="P354" i="4"/>
  <c r="W369" i="5"/>
  <c r="Q354" i="4"/>
  <c r="X369" i="5"/>
  <c r="S354" i="4"/>
  <c r="AA369" i="5"/>
  <c r="T354" i="4"/>
  <c r="AC369" i="5"/>
  <c r="U354" i="4"/>
  <c r="AD369" i="5"/>
  <c r="X354" i="4"/>
  <c r="AI369" i="5"/>
  <c r="Y354" i="4"/>
  <c r="AJ369" i="5"/>
  <c r="Z354" i="4"/>
  <c r="AL369" i="5"/>
  <c r="F369" i="5"/>
  <c r="H369" i="5"/>
  <c r="I369" i="5"/>
  <c r="Z369" i="5"/>
  <c r="AN369" i="5"/>
  <c r="B355" i="4"/>
  <c r="K355" i="4"/>
  <c r="O370" i="5"/>
  <c r="H355" i="4"/>
  <c r="K370" i="5"/>
  <c r="W355" i="4"/>
  <c r="AG370" i="5"/>
  <c r="V355" i="4"/>
  <c r="AF370" i="5"/>
  <c r="C355" i="4"/>
  <c r="C370" i="5"/>
  <c r="D355" i="4"/>
  <c r="E370" i="5"/>
  <c r="I355" i="4"/>
  <c r="L370" i="5"/>
  <c r="J355" i="4"/>
  <c r="N370" i="5"/>
  <c r="L355" i="4"/>
  <c r="Q370" i="5"/>
  <c r="M355" i="4"/>
  <c r="R370" i="5"/>
  <c r="N355" i="4"/>
  <c r="T370" i="5"/>
  <c r="O355" i="4"/>
  <c r="U370" i="5"/>
  <c r="P355" i="4"/>
  <c r="W370" i="5"/>
  <c r="Q355" i="4"/>
  <c r="X370" i="5"/>
  <c r="S355" i="4"/>
  <c r="AA370" i="5"/>
  <c r="T355" i="4"/>
  <c r="AC370" i="5"/>
  <c r="U355" i="4"/>
  <c r="AD370" i="5"/>
  <c r="X355" i="4"/>
  <c r="AI370" i="5"/>
  <c r="Y355" i="4"/>
  <c r="AJ370" i="5"/>
  <c r="Z355" i="4"/>
  <c r="AL370" i="5"/>
  <c r="F370" i="5"/>
  <c r="H370" i="5"/>
  <c r="I370" i="5"/>
  <c r="Z370" i="5"/>
  <c r="AN370" i="5"/>
  <c r="B380" i="4"/>
  <c r="K380" i="4"/>
  <c r="O371" i="5"/>
  <c r="H380" i="4"/>
  <c r="K371" i="5"/>
  <c r="W380" i="4"/>
  <c r="AG371" i="5"/>
  <c r="AF371" i="5"/>
  <c r="C380" i="4"/>
  <c r="C371" i="5"/>
  <c r="D380" i="4"/>
  <c r="E371" i="5"/>
  <c r="I380" i="4"/>
  <c r="L371" i="5"/>
  <c r="J380" i="4"/>
  <c r="N371" i="5"/>
  <c r="L380" i="4"/>
  <c r="Q371" i="5"/>
  <c r="M380" i="4"/>
  <c r="R371" i="5"/>
  <c r="N380" i="4"/>
  <c r="T371" i="5"/>
  <c r="O380" i="4"/>
  <c r="U371" i="5"/>
  <c r="P380" i="4"/>
  <c r="W371" i="5"/>
  <c r="Q380" i="4"/>
  <c r="X371" i="5"/>
  <c r="S380" i="4"/>
  <c r="AA371" i="5"/>
  <c r="T380" i="4"/>
  <c r="AC371" i="5"/>
  <c r="U380" i="4"/>
  <c r="AD371" i="5"/>
  <c r="X380" i="4"/>
  <c r="AI371" i="5"/>
  <c r="Y380" i="4"/>
  <c r="AJ371" i="5"/>
  <c r="Z380" i="4"/>
  <c r="AL371" i="5"/>
  <c r="F371" i="5"/>
  <c r="H371" i="5"/>
  <c r="I371" i="5"/>
  <c r="Z371" i="5"/>
  <c r="AN371" i="5"/>
  <c r="B378" i="4"/>
  <c r="K378" i="4"/>
  <c r="O372" i="5"/>
  <c r="H378" i="4"/>
  <c r="K372" i="5"/>
  <c r="W378" i="4"/>
  <c r="AG372" i="5"/>
  <c r="AF372" i="5"/>
  <c r="C378" i="4"/>
  <c r="C372" i="5"/>
  <c r="D378" i="4"/>
  <c r="E372" i="5"/>
  <c r="I378" i="4"/>
  <c r="L372" i="5"/>
  <c r="J378" i="4"/>
  <c r="N372" i="5"/>
  <c r="L378" i="4"/>
  <c r="Q372" i="5"/>
  <c r="M378" i="4"/>
  <c r="R372" i="5"/>
  <c r="N378" i="4"/>
  <c r="T372" i="5"/>
  <c r="O378" i="4"/>
  <c r="U372" i="5"/>
  <c r="P378" i="4"/>
  <c r="W372" i="5"/>
  <c r="Q378" i="4"/>
  <c r="X372" i="5"/>
  <c r="S378" i="4"/>
  <c r="AA372" i="5"/>
  <c r="T378" i="4"/>
  <c r="AC372" i="5"/>
  <c r="U378" i="4"/>
  <c r="AD372" i="5"/>
  <c r="X378" i="4"/>
  <c r="AI372" i="5"/>
  <c r="Y378" i="4"/>
  <c r="AJ372" i="5"/>
  <c r="Z378" i="4"/>
  <c r="AL372" i="5"/>
  <c r="F372" i="5"/>
  <c r="H372" i="5"/>
  <c r="I372" i="5"/>
  <c r="Z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F373" i="5"/>
  <c r="H373" i="5"/>
  <c r="I373" i="5"/>
  <c r="Z373" i="5"/>
  <c r="AN373" i="5"/>
  <c r="B375" i="4"/>
  <c r="K375" i="4"/>
  <c r="O374" i="5"/>
  <c r="H375" i="4"/>
  <c r="K374" i="5"/>
  <c r="W375" i="4"/>
  <c r="AG374" i="5"/>
  <c r="AF374" i="5"/>
  <c r="C375" i="4"/>
  <c r="C374" i="5"/>
  <c r="D375" i="4"/>
  <c r="E374" i="5"/>
  <c r="I375" i="4"/>
  <c r="L374" i="5"/>
  <c r="J375" i="4"/>
  <c r="N374" i="5"/>
  <c r="L375" i="4"/>
  <c r="Q374" i="5"/>
  <c r="M375" i="4"/>
  <c r="R374" i="5"/>
  <c r="N375" i="4"/>
  <c r="T374" i="5"/>
  <c r="O375" i="4"/>
  <c r="U374" i="5"/>
  <c r="P375" i="4"/>
  <c r="W374" i="5"/>
  <c r="Q375" i="4"/>
  <c r="X374" i="5"/>
  <c r="S375" i="4"/>
  <c r="AA374" i="5"/>
  <c r="T375" i="4"/>
  <c r="AC374" i="5"/>
  <c r="U375" i="4"/>
  <c r="AD374" i="5"/>
  <c r="X375" i="4"/>
  <c r="AI374" i="5"/>
  <c r="Y375" i="4"/>
  <c r="AJ374" i="5"/>
  <c r="Z375" i="4"/>
  <c r="AL374" i="5"/>
  <c r="F374" i="5"/>
  <c r="H374" i="5"/>
  <c r="I374" i="5"/>
  <c r="Z374" i="5"/>
  <c r="AN374" i="5"/>
  <c r="W371" i="4"/>
  <c r="AG375" i="5"/>
  <c r="AF375" i="5"/>
  <c r="C371" i="4"/>
  <c r="C375" i="5"/>
  <c r="N371" i="4"/>
  <c r="T375" i="5"/>
  <c r="O371" i="4"/>
  <c r="U375" i="5"/>
  <c r="P371" i="4"/>
  <c r="W375" i="5"/>
  <c r="Q371" i="4"/>
  <c r="X375" i="5"/>
  <c r="S371" i="4"/>
  <c r="AA375" i="5"/>
  <c r="T371" i="4"/>
  <c r="AC375" i="5"/>
  <c r="U371" i="4"/>
  <c r="AD375" i="5"/>
  <c r="X371" i="4"/>
  <c r="AI375" i="5"/>
  <c r="Y371" i="4"/>
  <c r="AJ375" i="5"/>
  <c r="Z371" i="4"/>
  <c r="AL375" i="5"/>
  <c r="F375" i="5"/>
  <c r="H375" i="5"/>
  <c r="I375" i="5"/>
  <c r="Z375" i="5"/>
  <c r="AN375" i="5"/>
  <c r="B372" i="4"/>
  <c r="K372" i="4"/>
  <c r="O376" i="5"/>
  <c r="H372" i="4"/>
  <c r="K376" i="5"/>
  <c r="W372" i="4"/>
  <c r="AG376" i="5"/>
  <c r="AF376" i="5"/>
  <c r="C372" i="4"/>
  <c r="C376" i="5"/>
  <c r="D372" i="4"/>
  <c r="E376" i="5"/>
  <c r="I372" i="4"/>
  <c r="L376" i="5"/>
  <c r="J372" i="4"/>
  <c r="N376" i="5"/>
  <c r="L372" i="4"/>
  <c r="Q376" i="5"/>
  <c r="M372" i="4"/>
  <c r="R376" i="5"/>
  <c r="N372" i="4"/>
  <c r="T376" i="5"/>
  <c r="O372" i="4"/>
  <c r="U376" i="5"/>
  <c r="P372" i="4"/>
  <c r="W376" i="5"/>
  <c r="Q372" i="4"/>
  <c r="X376" i="5"/>
  <c r="S372" i="4"/>
  <c r="AA376" i="5"/>
  <c r="T372" i="4"/>
  <c r="AC376" i="5"/>
  <c r="U372" i="4"/>
  <c r="AD376" i="5"/>
  <c r="X372" i="4"/>
  <c r="AI376" i="5"/>
  <c r="Y372" i="4"/>
  <c r="AJ376" i="5"/>
  <c r="Z372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77" i="4"/>
  <c r="K377" i="4"/>
  <c r="O378" i="5"/>
  <c r="H377" i="4"/>
  <c r="K378" i="5"/>
  <c r="W377" i="4"/>
  <c r="AG378" i="5"/>
  <c r="AF378" i="5"/>
  <c r="C377" i="4"/>
  <c r="C378" i="5"/>
  <c r="D377" i="4"/>
  <c r="E378" i="5"/>
  <c r="I377" i="4"/>
  <c r="L378" i="5"/>
  <c r="J377" i="4"/>
  <c r="N378" i="5"/>
  <c r="L377" i="4"/>
  <c r="Q378" i="5"/>
  <c r="M377" i="4"/>
  <c r="R378" i="5"/>
  <c r="N377" i="4"/>
  <c r="T378" i="5"/>
  <c r="O377" i="4"/>
  <c r="U378" i="5"/>
  <c r="P377" i="4"/>
  <c r="W378" i="5"/>
  <c r="Q377" i="4"/>
  <c r="X378" i="5"/>
  <c r="S377" i="4"/>
  <c r="AA378" i="5"/>
  <c r="T377" i="4"/>
  <c r="AC378" i="5"/>
  <c r="U377" i="4"/>
  <c r="AD378" i="5"/>
  <c r="X377" i="4"/>
  <c r="AI378" i="5"/>
  <c r="Y377" i="4"/>
  <c r="AJ378" i="5"/>
  <c r="Z377" i="4"/>
  <c r="AL378" i="5"/>
  <c r="F378" i="5"/>
  <c r="H378" i="5"/>
  <c r="I378" i="5"/>
  <c r="Z378" i="5"/>
  <c r="AN378" i="5"/>
  <c r="B373" i="4"/>
  <c r="K373" i="4"/>
  <c r="O379" i="5"/>
  <c r="H373" i="4"/>
  <c r="K379" i="5"/>
  <c r="W373" i="4"/>
  <c r="AG379" i="5"/>
  <c r="AF379" i="5"/>
  <c r="C373" i="4"/>
  <c r="C379" i="5"/>
  <c r="D373" i="4"/>
  <c r="E379" i="5"/>
  <c r="I373" i="4"/>
  <c r="L379" i="5"/>
  <c r="J373" i="4"/>
  <c r="N379" i="5"/>
  <c r="L373" i="4"/>
  <c r="Q379" i="5"/>
  <c r="M373" i="4"/>
  <c r="R379" i="5"/>
  <c r="N373" i="4"/>
  <c r="T379" i="5"/>
  <c r="O373" i="4"/>
  <c r="U379" i="5"/>
  <c r="P373" i="4"/>
  <c r="W379" i="5"/>
  <c r="Q373" i="4"/>
  <c r="X379" i="5"/>
  <c r="S373" i="4"/>
  <c r="AA379" i="5"/>
  <c r="T373" i="4"/>
  <c r="AC379" i="5"/>
  <c r="U373" i="4"/>
  <c r="AD379" i="5"/>
  <c r="X373" i="4"/>
  <c r="AI379" i="5"/>
  <c r="Y373" i="4"/>
  <c r="AJ379" i="5"/>
  <c r="Z373" i="4"/>
  <c r="AL379" i="5"/>
  <c r="F379" i="5"/>
  <c r="H379" i="5"/>
  <c r="I379" i="5"/>
  <c r="Z379" i="5"/>
  <c r="AN379" i="5"/>
  <c r="B379" i="4"/>
  <c r="K379" i="4"/>
  <c r="O380" i="5"/>
  <c r="H379" i="4"/>
  <c r="K380" i="5"/>
  <c r="W379" i="4"/>
  <c r="AG380" i="5"/>
  <c r="AF380" i="5"/>
  <c r="C379" i="4"/>
  <c r="C380" i="5"/>
  <c r="D379" i="4"/>
  <c r="E380" i="5"/>
  <c r="I379" i="4"/>
  <c r="L380" i="5"/>
  <c r="J379" i="4"/>
  <c r="N380" i="5"/>
  <c r="L379" i="4"/>
  <c r="Q380" i="5"/>
  <c r="M379" i="4"/>
  <c r="R380" i="5"/>
  <c r="N379" i="4"/>
  <c r="T380" i="5"/>
  <c r="O379" i="4"/>
  <c r="U380" i="5"/>
  <c r="P379" i="4"/>
  <c r="W380" i="5"/>
  <c r="Q379" i="4"/>
  <c r="X380" i="5"/>
  <c r="S379" i="4"/>
  <c r="AA380" i="5"/>
  <c r="T379" i="4"/>
  <c r="AC380" i="5"/>
  <c r="U379" i="4"/>
  <c r="AD380" i="5"/>
  <c r="X379" i="4"/>
  <c r="AI380" i="5"/>
  <c r="Y379" i="4"/>
  <c r="AJ380" i="5"/>
  <c r="Z379" i="4"/>
  <c r="AL380" i="5"/>
  <c r="F380" i="5"/>
  <c r="H380" i="5"/>
  <c r="I380" i="5"/>
  <c r="Z380" i="5"/>
  <c r="AN380" i="5"/>
  <c r="AG381" i="5"/>
  <c r="AF381" i="5"/>
  <c r="C381" i="5"/>
  <c r="T381" i="5"/>
  <c r="U381" i="5"/>
  <c r="W381" i="5"/>
  <c r="X381" i="5"/>
  <c r="AA381" i="5"/>
  <c r="AI381" i="5"/>
  <c r="AJ381" i="5"/>
  <c r="AL381" i="5"/>
  <c r="F381" i="5"/>
  <c r="H381" i="5"/>
  <c r="I381" i="5"/>
  <c r="Z381" i="5"/>
  <c r="AN381" i="5"/>
  <c r="AA384" i="5"/>
  <c r="B384" i="4"/>
  <c r="P384" i="4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J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J386" i="5"/>
  <c r="AL386" i="5"/>
  <c r="AN386" i="5"/>
  <c r="AA387" i="5"/>
  <c r="W387" i="5"/>
  <c r="O387" i="5"/>
  <c r="K387" i="5"/>
  <c r="AG387" i="5"/>
  <c r="AF387" i="5"/>
  <c r="B387" i="4"/>
  <c r="C387" i="4"/>
  <c r="C387" i="5"/>
  <c r="E387" i="5"/>
  <c r="F387" i="5"/>
  <c r="H387" i="5"/>
  <c r="I387" i="5"/>
  <c r="L387" i="5"/>
  <c r="N387" i="5"/>
  <c r="Q387" i="5"/>
  <c r="R387" i="5"/>
  <c r="T387" i="5"/>
  <c r="U387" i="5"/>
  <c r="X387" i="5"/>
  <c r="Z387" i="5"/>
  <c r="AC387" i="5"/>
  <c r="AD387" i="5"/>
  <c r="AI387" i="5"/>
  <c r="AL387" i="5"/>
  <c r="AN387" i="5"/>
  <c r="AA388" i="5"/>
  <c r="W388" i="5"/>
  <c r="O388" i="5"/>
  <c r="K388" i="5"/>
  <c r="AG388" i="5"/>
  <c r="AF388" i="5"/>
  <c r="E388" i="5"/>
  <c r="F388" i="5"/>
  <c r="H388" i="5"/>
  <c r="I388" i="5"/>
  <c r="L388" i="5"/>
  <c r="N388" i="5"/>
  <c r="Q388" i="5"/>
  <c r="R388" i="5"/>
  <c r="T388" i="5"/>
  <c r="U388" i="5"/>
  <c r="X388" i="5"/>
  <c r="Z388" i="5"/>
  <c r="AC388" i="5"/>
  <c r="AD388" i="5"/>
  <c r="AI388" i="5"/>
  <c r="AL388" i="5"/>
  <c r="AN388" i="5"/>
  <c r="AA389" i="5"/>
  <c r="B398" i="4"/>
  <c r="P398" i="4"/>
  <c r="W389" i="5"/>
  <c r="O389" i="5"/>
  <c r="K389" i="5"/>
  <c r="AG389" i="5"/>
  <c r="AF389" i="5"/>
  <c r="C389" i="5"/>
  <c r="L389" i="5"/>
  <c r="N389" i="5"/>
  <c r="L398" i="4"/>
  <c r="Q389" i="5"/>
  <c r="U389" i="5"/>
  <c r="Q398" i="4"/>
  <c r="X389" i="5"/>
  <c r="R398" i="4"/>
  <c r="Z389" i="5"/>
  <c r="AC389" i="5"/>
  <c r="AD389" i="5"/>
  <c r="X398" i="4"/>
  <c r="AI389" i="5"/>
  <c r="Y398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AL390" i="5"/>
  <c r="F390" i="5"/>
  <c r="E390" i="5"/>
  <c r="H390" i="5"/>
  <c r="I390" i="5"/>
  <c r="R390" i="5"/>
  <c r="T390" i="5"/>
  <c r="AN390" i="5"/>
  <c r="AA391" i="5"/>
  <c r="B391" i="4"/>
  <c r="P391" i="4"/>
  <c r="W391" i="5"/>
  <c r="O391" i="5"/>
  <c r="K391" i="5"/>
  <c r="AG391" i="5"/>
  <c r="AF391" i="5"/>
  <c r="C391" i="5"/>
  <c r="L391" i="5"/>
  <c r="N391" i="5"/>
  <c r="L391" i="4"/>
  <c r="Q391" i="5"/>
  <c r="U391" i="5"/>
  <c r="Q391" i="4"/>
  <c r="X391" i="5"/>
  <c r="R391" i="4"/>
  <c r="Z391" i="5"/>
  <c r="AC391" i="5"/>
  <c r="AD391" i="5"/>
  <c r="X391" i="4"/>
  <c r="AI391" i="5"/>
  <c r="Y391" i="4"/>
  <c r="AJ391" i="5"/>
  <c r="AL391" i="5"/>
  <c r="F391" i="5"/>
  <c r="E391" i="5"/>
  <c r="H391" i="5"/>
  <c r="I391" i="5"/>
  <c r="R391" i="5"/>
  <c r="T391" i="5"/>
  <c r="AN391" i="5"/>
  <c r="AA392" i="5"/>
  <c r="B392" i="4"/>
  <c r="P392" i="4"/>
  <c r="W392" i="5"/>
  <c r="O392" i="5"/>
  <c r="K392" i="5"/>
  <c r="AG392" i="5"/>
  <c r="AF392" i="5"/>
  <c r="C392" i="5"/>
  <c r="L392" i="5"/>
  <c r="N392" i="5"/>
  <c r="L392" i="4"/>
  <c r="Q392" i="5"/>
  <c r="U392" i="5"/>
  <c r="Q392" i="4"/>
  <c r="X392" i="5"/>
  <c r="R392" i="4"/>
  <c r="Z392" i="5"/>
  <c r="AC392" i="5"/>
  <c r="AD392" i="5"/>
  <c r="X392" i="4"/>
  <c r="AI392" i="5"/>
  <c r="Y392" i="4"/>
  <c r="AJ392" i="5"/>
  <c r="F392" i="5"/>
  <c r="E392" i="5"/>
  <c r="H392" i="5"/>
  <c r="I392" i="5"/>
  <c r="R392" i="5"/>
  <c r="T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F393" i="5"/>
  <c r="E393" i="5"/>
  <c r="H393" i="5"/>
  <c r="I393" i="5"/>
  <c r="R393" i="5"/>
  <c r="T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F394" i="5"/>
  <c r="E394" i="5"/>
  <c r="H394" i="5"/>
  <c r="I394" i="5"/>
  <c r="R394" i="5"/>
  <c r="T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F395" i="5"/>
  <c r="E395" i="5"/>
  <c r="H395" i="5"/>
  <c r="I395" i="5"/>
  <c r="R395" i="5"/>
  <c r="T395" i="5"/>
  <c r="AN395" i="5"/>
  <c r="AA396" i="5"/>
  <c r="B402" i="4"/>
  <c r="P402" i="4"/>
  <c r="W396" i="5"/>
  <c r="O396" i="5"/>
  <c r="K396" i="5"/>
  <c r="AG396" i="5"/>
  <c r="AF396" i="5"/>
  <c r="C396" i="5"/>
  <c r="L396" i="5"/>
  <c r="N396" i="5"/>
  <c r="L402" i="4"/>
  <c r="Q396" i="5"/>
  <c r="U396" i="5"/>
  <c r="Q402" i="4"/>
  <c r="X396" i="5"/>
  <c r="R402" i="4"/>
  <c r="Z396" i="5"/>
  <c r="AC396" i="5"/>
  <c r="AD396" i="5"/>
  <c r="X402" i="4"/>
  <c r="AI396" i="5"/>
  <c r="Y402" i="4"/>
  <c r="AJ396" i="5"/>
  <c r="AL396" i="5"/>
  <c r="F396" i="5"/>
  <c r="E396" i="5"/>
  <c r="H396" i="5"/>
  <c r="I396" i="5"/>
  <c r="R396" i="5"/>
  <c r="T396" i="5"/>
  <c r="AN396" i="5"/>
  <c r="AA397" i="5"/>
  <c r="B403" i="4"/>
  <c r="P403" i="4"/>
  <c r="W397" i="5"/>
  <c r="O397" i="5"/>
  <c r="K397" i="5"/>
  <c r="AG397" i="5"/>
  <c r="AF397" i="5"/>
  <c r="C397" i="5"/>
  <c r="L397" i="5"/>
  <c r="N397" i="5"/>
  <c r="L403" i="4"/>
  <c r="Q397" i="5"/>
  <c r="U397" i="5"/>
  <c r="Q403" i="4"/>
  <c r="X397" i="5"/>
  <c r="R403" i="4"/>
  <c r="Z397" i="5"/>
  <c r="AC397" i="5"/>
  <c r="AD397" i="5"/>
  <c r="X403" i="4"/>
  <c r="AI397" i="5"/>
  <c r="Y403" i="4"/>
  <c r="AJ397" i="5"/>
  <c r="AL397" i="5"/>
  <c r="F397" i="5"/>
  <c r="E397" i="5"/>
  <c r="H397" i="5"/>
  <c r="I397" i="5"/>
  <c r="R397" i="5"/>
  <c r="T397" i="5"/>
  <c r="AN397" i="5"/>
  <c r="AA398" i="5"/>
  <c r="B393" i="4"/>
  <c r="P393" i="4"/>
  <c r="W398" i="5"/>
  <c r="O398" i="5"/>
  <c r="K398" i="5"/>
  <c r="AG398" i="5"/>
  <c r="AF398" i="5"/>
  <c r="C398" i="5"/>
  <c r="L398" i="5"/>
  <c r="N398" i="5"/>
  <c r="L393" i="4"/>
  <c r="Q398" i="5"/>
  <c r="U398" i="5"/>
  <c r="Q393" i="4"/>
  <c r="X398" i="5"/>
  <c r="R393" i="4"/>
  <c r="Z398" i="5"/>
  <c r="AC398" i="5"/>
  <c r="AD398" i="5"/>
  <c r="X393" i="4"/>
  <c r="AI398" i="5"/>
  <c r="Y393" i="4"/>
  <c r="AJ398" i="5"/>
  <c r="AL398" i="5"/>
  <c r="F398" i="5"/>
  <c r="E398" i="5"/>
  <c r="H398" i="5"/>
  <c r="I398" i="5"/>
  <c r="R398" i="5"/>
  <c r="T398" i="5"/>
  <c r="AN398" i="5"/>
  <c r="AA399" i="5"/>
  <c r="B394" i="4"/>
  <c r="P394" i="4"/>
  <c r="W399" i="5"/>
  <c r="O399" i="5"/>
  <c r="K399" i="5"/>
  <c r="AG399" i="5"/>
  <c r="AF399" i="5"/>
  <c r="C399" i="5"/>
  <c r="L399" i="5"/>
  <c r="N399" i="5"/>
  <c r="L394" i="4"/>
  <c r="Q399" i="5"/>
  <c r="U399" i="5"/>
  <c r="Q394" i="4"/>
  <c r="X399" i="5"/>
  <c r="R394" i="4"/>
  <c r="Z399" i="5"/>
  <c r="AC399" i="5"/>
  <c r="AD399" i="5"/>
  <c r="X394" i="4"/>
  <c r="AI399" i="5"/>
  <c r="Y394" i="4"/>
  <c r="AJ399" i="5"/>
  <c r="AL399" i="5"/>
  <c r="F399" i="5"/>
  <c r="E399" i="5"/>
  <c r="H399" i="5"/>
  <c r="I399" i="5"/>
  <c r="R399" i="5"/>
  <c r="T399" i="5"/>
  <c r="AN399" i="5"/>
  <c r="AA400" i="5"/>
  <c r="B395" i="4"/>
  <c r="P395" i="4"/>
  <c r="W400" i="5"/>
  <c r="O400" i="5"/>
  <c r="K400" i="5"/>
  <c r="AG400" i="5"/>
  <c r="AF400" i="5"/>
  <c r="C400" i="5"/>
  <c r="L400" i="5"/>
  <c r="N400" i="5"/>
  <c r="L395" i="4"/>
  <c r="Q400" i="5"/>
  <c r="U400" i="5"/>
  <c r="Q395" i="4"/>
  <c r="X400" i="5"/>
  <c r="R395" i="4"/>
  <c r="Z400" i="5"/>
  <c r="AC400" i="5"/>
  <c r="AD400" i="5"/>
  <c r="X395" i="4"/>
  <c r="AI400" i="5"/>
  <c r="Y395" i="4"/>
  <c r="AJ400" i="5"/>
  <c r="AL400" i="5"/>
  <c r="F400" i="5"/>
  <c r="E400" i="5"/>
  <c r="H400" i="5"/>
  <c r="I400" i="5"/>
  <c r="R400" i="5"/>
  <c r="T400" i="5"/>
  <c r="AN400" i="5"/>
  <c r="AA401" i="5"/>
  <c r="B404" i="4"/>
  <c r="P404" i="4"/>
  <c r="W401" i="5"/>
  <c r="O401" i="5"/>
  <c r="K401" i="5"/>
  <c r="AG401" i="5"/>
  <c r="AF401" i="5"/>
  <c r="C401" i="5"/>
  <c r="L401" i="5"/>
  <c r="N401" i="5"/>
  <c r="L404" i="4"/>
  <c r="Q401" i="5"/>
  <c r="U401" i="5"/>
  <c r="Q404" i="4"/>
  <c r="X401" i="5"/>
  <c r="R404" i="4"/>
  <c r="Z401" i="5"/>
  <c r="AC401" i="5"/>
  <c r="AD401" i="5"/>
  <c r="X404" i="4"/>
  <c r="AI401" i="5"/>
  <c r="Y404" i="4"/>
  <c r="AJ401" i="5"/>
  <c r="AL401" i="5"/>
  <c r="F401" i="5"/>
  <c r="E401" i="5"/>
  <c r="H401" i="5"/>
  <c r="I401" i="5"/>
  <c r="R401" i="5"/>
  <c r="T401" i="5"/>
  <c r="AN401" i="5"/>
  <c r="AA402" i="5"/>
  <c r="B405" i="4"/>
  <c r="P405" i="4"/>
  <c r="W402" i="5"/>
  <c r="O402" i="5"/>
  <c r="K402" i="5"/>
  <c r="AG402" i="5"/>
  <c r="AF402" i="5"/>
  <c r="C402" i="5"/>
  <c r="L402" i="5"/>
  <c r="N402" i="5"/>
  <c r="L405" i="4"/>
  <c r="Q402" i="5"/>
  <c r="U402" i="5"/>
  <c r="Q405" i="4"/>
  <c r="X402" i="5"/>
  <c r="R405" i="4"/>
  <c r="Z402" i="5"/>
  <c r="AC402" i="5"/>
  <c r="AD402" i="5"/>
  <c r="X405" i="4"/>
  <c r="AI402" i="5"/>
  <c r="Y405" i="4"/>
  <c r="AJ402" i="5"/>
  <c r="AL402" i="5"/>
  <c r="F402" i="5"/>
  <c r="E402" i="5"/>
  <c r="H402" i="5"/>
  <c r="I402" i="5"/>
  <c r="R402" i="5"/>
  <c r="T402" i="5"/>
  <c r="AN402" i="5"/>
  <c r="AA403" i="5"/>
  <c r="B389" i="4"/>
  <c r="P389" i="4"/>
  <c r="W403" i="5"/>
  <c r="O403" i="5"/>
  <c r="K403" i="5"/>
  <c r="AG403" i="5"/>
  <c r="AF403" i="5"/>
  <c r="C403" i="5"/>
  <c r="L403" i="5"/>
  <c r="N403" i="5"/>
  <c r="L389" i="4"/>
  <c r="Q403" i="5"/>
  <c r="U403" i="5"/>
  <c r="Q389" i="4"/>
  <c r="X403" i="5"/>
  <c r="R389" i="4"/>
  <c r="Z403" i="5"/>
  <c r="AC403" i="5"/>
  <c r="AD403" i="5"/>
  <c r="X389" i="4"/>
  <c r="AI403" i="5"/>
  <c r="Y389" i="4"/>
  <c r="AJ403" i="5"/>
  <c r="AL403" i="5"/>
  <c r="F403" i="5"/>
  <c r="E403" i="5"/>
  <c r="H403" i="5"/>
  <c r="I403" i="5"/>
  <c r="R403" i="5"/>
  <c r="T403" i="5"/>
  <c r="AN403" i="5"/>
  <c r="AA404" i="5"/>
  <c r="B406" i="4"/>
  <c r="P406" i="4"/>
  <c r="W404" i="5"/>
  <c r="O404" i="5"/>
  <c r="K404" i="5"/>
  <c r="AG404" i="5"/>
  <c r="AF404" i="5"/>
  <c r="C404" i="5"/>
  <c r="L404" i="5"/>
  <c r="N404" i="5"/>
  <c r="L406" i="4"/>
  <c r="Q404" i="5"/>
  <c r="U404" i="5"/>
  <c r="Q406" i="4"/>
  <c r="X404" i="5"/>
  <c r="R406" i="4"/>
  <c r="Z404" i="5"/>
  <c r="AC404" i="5"/>
  <c r="AD404" i="5"/>
  <c r="X406" i="4"/>
  <c r="AI404" i="5"/>
  <c r="Y406" i="4"/>
  <c r="AJ404" i="5"/>
  <c r="AL404" i="5"/>
  <c r="F404" i="5"/>
  <c r="E404" i="5"/>
  <c r="H404" i="5"/>
  <c r="I404" i="5"/>
  <c r="R404" i="5"/>
  <c r="T404" i="5"/>
  <c r="AN404" i="5"/>
  <c r="AA405" i="5"/>
  <c r="B407" i="4"/>
  <c r="P407" i="4"/>
  <c r="W405" i="5"/>
  <c r="O405" i="5"/>
  <c r="K405" i="5"/>
  <c r="AG405" i="5"/>
  <c r="AF405" i="5"/>
  <c r="C405" i="5"/>
  <c r="L405" i="5"/>
  <c r="N405" i="5"/>
  <c r="L407" i="4"/>
  <c r="Q405" i="5"/>
  <c r="U405" i="5"/>
  <c r="Q407" i="4"/>
  <c r="X405" i="5"/>
  <c r="R407" i="4"/>
  <c r="Z405" i="5"/>
  <c r="AC405" i="5"/>
  <c r="AD405" i="5"/>
  <c r="X407" i="4"/>
  <c r="AI405" i="5"/>
  <c r="Y407" i="4"/>
  <c r="AJ405" i="5"/>
  <c r="AL405" i="5"/>
  <c r="F405" i="5"/>
  <c r="E405" i="5"/>
  <c r="H405" i="5"/>
  <c r="I405" i="5"/>
  <c r="R405" i="5"/>
  <c r="T405" i="5"/>
  <c r="AN405" i="5"/>
  <c r="AA406" i="5"/>
  <c r="B396" i="4"/>
  <c r="P396" i="4"/>
  <c r="W406" i="5"/>
  <c r="O406" i="5"/>
  <c r="K406" i="5"/>
  <c r="AG406" i="5"/>
  <c r="AF406" i="5"/>
  <c r="C406" i="5"/>
  <c r="L406" i="5"/>
  <c r="N406" i="5"/>
  <c r="L396" i="4"/>
  <c r="Q406" i="5"/>
  <c r="U406" i="5"/>
  <c r="Q396" i="4"/>
  <c r="X406" i="5"/>
  <c r="R396" i="4"/>
  <c r="Z406" i="5"/>
  <c r="AC406" i="5"/>
  <c r="AD406" i="5"/>
  <c r="X396" i="4"/>
  <c r="AI406" i="5"/>
  <c r="Y396" i="4"/>
  <c r="AJ406" i="5"/>
  <c r="AL406" i="5"/>
  <c r="F406" i="5"/>
  <c r="E406" i="5"/>
  <c r="H406" i="5"/>
  <c r="I406" i="5"/>
  <c r="R406" i="5"/>
  <c r="T406" i="5"/>
  <c r="AN406" i="5"/>
  <c r="AA407" i="5"/>
  <c r="B397" i="4"/>
  <c r="P397" i="4"/>
  <c r="W407" i="5"/>
  <c r="O407" i="5"/>
  <c r="K407" i="5"/>
  <c r="AG407" i="5"/>
  <c r="AF407" i="5"/>
  <c r="C407" i="5"/>
  <c r="L407" i="5"/>
  <c r="N407" i="5"/>
  <c r="L397" i="4"/>
  <c r="Q407" i="5"/>
  <c r="U407" i="5"/>
  <c r="Q397" i="4"/>
  <c r="X407" i="5"/>
  <c r="R397" i="4"/>
  <c r="Z407" i="5"/>
  <c r="AC407" i="5"/>
  <c r="AD407" i="5"/>
  <c r="X397" i="4"/>
  <c r="AI407" i="5"/>
  <c r="Y39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A412" i="5"/>
  <c r="B412" i="4"/>
  <c r="P412" i="4"/>
  <c r="W412" i="5"/>
  <c r="O412" i="5"/>
  <c r="K412" i="5"/>
  <c r="AG412" i="5"/>
  <c r="AF412" i="5"/>
  <c r="C412" i="5"/>
  <c r="L412" i="5"/>
  <c r="N412" i="5"/>
  <c r="L412" i="4"/>
  <c r="Q412" i="5"/>
  <c r="U412" i="5"/>
  <c r="Q412" i="4"/>
  <c r="X412" i="5"/>
  <c r="R412" i="4"/>
  <c r="Z412" i="5"/>
  <c r="AC412" i="5"/>
  <c r="AD412" i="5"/>
  <c r="X412" i="4"/>
  <c r="AI412" i="5"/>
  <c r="Y412" i="4"/>
  <c r="AJ412" i="5"/>
  <c r="AL412" i="5"/>
  <c r="F412" i="5"/>
  <c r="E412" i="5"/>
  <c r="H412" i="5"/>
  <c r="I412" i="5"/>
  <c r="R412" i="5"/>
  <c r="T412" i="5"/>
  <c r="AN412" i="5"/>
  <c r="AA413" i="5"/>
  <c r="B413" i="4"/>
  <c r="P413" i="4"/>
  <c r="W413" i="5"/>
  <c r="O413" i="5"/>
  <c r="K413" i="5"/>
  <c r="AG413" i="5"/>
  <c r="AF413" i="5"/>
  <c r="C413" i="5"/>
  <c r="L413" i="5"/>
  <c r="N413" i="5"/>
  <c r="L413" i="4"/>
  <c r="Q413" i="5"/>
  <c r="U413" i="5"/>
  <c r="Q413" i="4"/>
  <c r="X413" i="5"/>
  <c r="R413" i="4"/>
  <c r="Z413" i="5"/>
  <c r="AC413" i="5"/>
  <c r="AD413" i="5"/>
  <c r="X413" i="4"/>
  <c r="AI413" i="5"/>
  <c r="Y413" i="4"/>
  <c r="AJ413" i="5"/>
  <c r="AL413" i="5"/>
  <c r="F413" i="5"/>
  <c r="E413" i="5"/>
  <c r="H413" i="5"/>
  <c r="I413" i="5"/>
  <c r="R413" i="5"/>
  <c r="T413" i="5"/>
  <c r="AN413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I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H2" i="5"/>
  <c r="I2" i="5"/>
  <c r="Z2" i="5"/>
  <c r="AN2" i="5"/>
  <c r="AZ210" i="1"/>
  <c r="BA210" i="1"/>
  <c r="BB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BC210" i="1"/>
  <c r="CT210" i="1"/>
  <c r="AZ209" i="1"/>
  <c r="BA209" i="1"/>
  <c r="BB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BC209" i="1"/>
  <c r="CT209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90" i="1"/>
  <c r="BA190" i="1"/>
  <c r="BB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BC190" i="1"/>
  <c r="CT190" i="1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AZ168" i="1"/>
  <c r="BA168" i="1"/>
  <c r="BB168" i="1"/>
  <c r="CT168" i="1"/>
  <c r="AI301" i="4"/>
  <c r="AI311" i="4"/>
  <c r="AZ393" i="1"/>
  <c r="BA393" i="1"/>
  <c r="BB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BC393" i="1"/>
  <c r="CT393" i="1"/>
  <c r="AZ394" i="1"/>
  <c r="BA394" i="1"/>
  <c r="BB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BC394" i="1"/>
  <c r="CT394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E310" i="4"/>
  <c r="F310" i="4"/>
  <c r="R310" i="4"/>
  <c r="AA310" i="4"/>
  <c r="AC310" i="4"/>
  <c r="AD310" i="4"/>
  <c r="AE310" i="4"/>
  <c r="AF310" i="4"/>
  <c r="AG310" i="4"/>
  <c r="AH310" i="4"/>
  <c r="AI310" i="4"/>
  <c r="AJ310" i="4"/>
  <c r="AL310" i="4"/>
  <c r="B304" i="5"/>
  <c r="AM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315" i="6"/>
  <c r="C315" i="6"/>
  <c r="D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D411" i="9"/>
  <c r="E411" i="9"/>
  <c r="F411" i="9"/>
  <c r="G411" i="9"/>
  <c r="C115" i="7"/>
  <c r="D115" i="7"/>
  <c r="E115" i="7"/>
  <c r="AZ388" i="1"/>
  <c r="BA388" i="1"/>
  <c r="BB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BC388" i="1"/>
  <c r="CT388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217" i="1"/>
  <c r="BA217" i="1"/>
  <c r="BB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BC217" i="1"/>
  <c r="CT217" i="1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56" i="1"/>
  <c r="BA156" i="1"/>
  <c r="BB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10" i="9"/>
  <c r="F410" i="9"/>
  <c r="G410" i="9"/>
  <c r="E410" i="9"/>
  <c r="D409" i="9"/>
  <c r="F409" i="9"/>
  <c r="G409" i="9"/>
  <c r="E409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83" i="1"/>
  <c r="BA383" i="1"/>
  <c r="BB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BC383" i="1"/>
  <c r="CT383" i="1"/>
  <c r="AZ382" i="1"/>
  <c r="BA382" i="1"/>
  <c r="BB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BC382" i="1"/>
  <c r="CT382" i="1"/>
  <c r="AZ386" i="1"/>
  <c r="BA386" i="1"/>
  <c r="BB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BC386" i="1"/>
  <c r="CT386" i="1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85" i="1"/>
  <c r="BA385" i="1"/>
  <c r="BB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BC385" i="1"/>
  <c r="CT385" i="1"/>
  <c r="AZ387" i="1"/>
  <c r="BA387" i="1"/>
  <c r="BB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BC387" i="1"/>
  <c r="CT387" i="1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68" i="1"/>
  <c r="BA368" i="1"/>
  <c r="BB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BC368" i="1"/>
  <c r="CT368" i="1"/>
  <c r="AZ369" i="1"/>
  <c r="BA369" i="1"/>
  <c r="BB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BC369" i="1"/>
  <c r="CT369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B14" i="3"/>
  <c r="C14" i="3"/>
  <c r="E14" i="3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H289" i="4"/>
  <c r="AH26" i="4"/>
  <c r="AH245" i="4"/>
  <c r="AH131" i="4"/>
  <c r="AH133" i="4"/>
  <c r="AH130" i="4"/>
  <c r="AH7" i="4"/>
  <c r="AH23" i="4"/>
  <c r="AH132" i="4"/>
  <c r="AH24" i="4"/>
  <c r="AH179" i="4"/>
  <c r="AH180" i="4"/>
  <c r="AH287" i="4"/>
  <c r="AH291" i="4"/>
  <c r="AH187" i="4"/>
  <c r="AH250" i="4"/>
  <c r="AH77" i="4"/>
  <c r="AH192" i="4"/>
  <c r="AH121" i="4"/>
  <c r="AH265" i="4"/>
  <c r="AH270" i="4"/>
  <c r="AH271" i="4"/>
  <c r="AH233" i="4"/>
  <c r="AH247" i="4"/>
  <c r="AH241" i="4"/>
  <c r="AH244" i="4"/>
  <c r="AH264" i="4"/>
  <c r="AH151" i="4"/>
  <c r="AH268" i="4"/>
  <c r="AH266" i="4"/>
  <c r="AH267" i="4"/>
  <c r="AH238" i="4"/>
  <c r="AH240" i="4"/>
  <c r="AH243" i="4"/>
  <c r="AH269" i="4"/>
  <c r="AH273" i="4"/>
  <c r="AH272" i="4"/>
  <c r="AH210" i="4"/>
  <c r="AH220" i="4"/>
  <c r="AH221" i="4"/>
  <c r="AH199" i="4"/>
  <c r="AH213" i="4"/>
  <c r="AH25" i="4"/>
  <c r="AH288" i="4"/>
  <c r="AH239" i="4"/>
  <c r="AH242" i="4"/>
  <c r="AH274" i="4"/>
  <c r="AH186" i="4"/>
  <c r="AH190" i="4"/>
  <c r="AH113" i="4"/>
  <c r="AH9" i="4"/>
  <c r="AH10" i="4"/>
  <c r="AH83" i="4"/>
  <c r="AH279" i="4"/>
  <c r="AH285" i="4"/>
  <c r="AH82" i="4"/>
  <c r="AH16" i="4"/>
  <c r="AH84" i="4"/>
  <c r="AH68" i="4"/>
  <c r="AH87" i="4"/>
  <c r="AH100" i="4"/>
  <c r="AH196" i="4"/>
  <c r="AH292" i="4"/>
  <c r="AH8" i="4"/>
  <c r="AH218" i="4"/>
  <c r="AH282" i="4"/>
  <c r="AH293" i="4"/>
  <c r="AH251" i="4"/>
  <c r="AH252" i="4"/>
  <c r="AH280" i="4"/>
  <c r="AH281" i="4"/>
  <c r="AH228" i="4"/>
  <c r="AH298" i="4"/>
  <c r="AH295" i="4"/>
  <c r="AH297" i="4"/>
  <c r="AH197" i="4"/>
  <c r="AH156" i="4"/>
  <c r="AH246" i="4"/>
  <c r="AH194" i="4"/>
  <c r="AH248" i="4"/>
  <c r="AH141" i="4"/>
  <c r="AH116" i="4"/>
  <c r="AH296" i="4"/>
  <c r="AH235" i="4"/>
  <c r="AH234" i="4"/>
  <c r="AH191" i="4"/>
  <c r="AH155" i="4"/>
  <c r="AH249" i="4"/>
  <c r="AH258" i="4"/>
  <c r="AH286" i="4"/>
  <c r="AH256" i="4"/>
  <c r="AH255" i="4"/>
  <c r="AH73" i="4"/>
  <c r="AH230" i="4"/>
  <c r="AH212" i="4"/>
  <c r="AH129" i="4"/>
  <c r="AH253" i="4"/>
  <c r="AH178" i="4"/>
  <c r="AH237" i="4"/>
  <c r="AH222" i="4"/>
  <c r="AH278" i="4"/>
  <c r="AH189" i="4"/>
  <c r="AH231" i="4"/>
  <c r="AH254" i="4"/>
  <c r="AH204" i="4"/>
  <c r="AH149" i="4"/>
  <c r="AH219" i="4"/>
  <c r="AH145" i="4"/>
  <c r="AH122" i="4"/>
  <c r="AH183" i="4"/>
  <c r="AH229" i="4"/>
  <c r="AH257" i="4"/>
  <c r="AH259" i="4"/>
  <c r="AH261" i="4"/>
  <c r="AH260" i="4"/>
  <c r="AH114" i="4"/>
  <c r="AH236" i="4"/>
  <c r="AH176" i="4"/>
  <c r="AH177" i="4"/>
  <c r="AH28" i="4"/>
  <c r="AH135" i="4"/>
  <c r="AH214" i="4"/>
  <c r="AH137" i="4"/>
  <c r="AH139" i="4"/>
  <c r="AH27" i="4"/>
  <c r="AH138" i="4"/>
  <c r="AH143" i="4"/>
  <c r="AH140" i="4"/>
  <c r="AH134" i="4"/>
  <c r="AH111" i="4"/>
  <c r="AH127" i="4"/>
  <c r="AH290" i="4"/>
  <c r="AH223" i="4"/>
  <c r="AH117" i="4"/>
  <c r="AH142" i="4"/>
  <c r="AH50" i="4"/>
  <c r="AH49" i="4"/>
  <c r="AH123" i="4"/>
  <c r="AH92" i="4"/>
  <c r="AH93" i="4"/>
  <c r="AH91" i="4"/>
  <c r="AH96" i="4"/>
  <c r="AH95" i="4"/>
  <c r="AH173" i="4"/>
  <c r="AH168" i="4"/>
  <c r="AH277" i="4"/>
  <c r="AH152" i="4"/>
  <c r="AH158" i="4"/>
  <c r="AH166" i="4"/>
  <c r="AH276" i="4"/>
  <c r="AH211" i="4"/>
  <c r="AH165" i="4"/>
  <c r="AH124" i="4"/>
  <c r="AH144" i="4"/>
  <c r="AH167" i="4"/>
  <c r="AH174" i="4"/>
  <c r="AH294" i="4"/>
  <c r="AH120" i="4"/>
  <c r="AH80" i="4"/>
  <c r="AH206" i="4"/>
  <c r="AH169" i="4"/>
  <c r="AH171" i="4"/>
  <c r="AH172" i="4"/>
  <c r="AH299" i="4"/>
  <c r="AH200" i="4"/>
  <c r="AH201" i="4"/>
  <c r="AH52" i="4"/>
  <c r="AH54" i="4"/>
  <c r="AH14" i="4"/>
  <c r="AH163" i="4"/>
  <c r="AH47" i="4"/>
  <c r="AH85" i="4"/>
  <c r="AH86" i="4"/>
  <c r="AH88" i="4"/>
  <c r="AH90" i="4"/>
  <c r="AH170" i="4"/>
  <c r="AH74" i="4"/>
  <c r="AH45" i="4"/>
  <c r="AH182" i="4"/>
  <c r="AH162" i="4"/>
  <c r="AH59" i="4"/>
  <c r="AH48" i="4"/>
  <c r="AH193" i="4"/>
  <c r="AH195" i="4"/>
  <c r="AH5" i="4"/>
  <c r="AH112" i="4"/>
  <c r="AH126" i="4"/>
  <c r="AH202" i="4"/>
  <c r="AH207" i="4"/>
  <c r="AH6" i="4"/>
  <c r="AH4" i="4"/>
  <c r="AH164" i="4"/>
  <c r="AH42" i="4"/>
  <c r="AH208" i="4"/>
  <c r="AH115" i="4"/>
  <c r="AH161" i="4"/>
  <c r="AH105" i="4"/>
  <c r="AH65" i="4"/>
  <c r="AH125" i="4"/>
  <c r="AH22" i="4"/>
  <c r="AH53" i="4"/>
  <c r="AH284" i="4"/>
  <c r="AH215" i="4"/>
  <c r="AH209" i="4"/>
  <c r="AH118" i="4"/>
  <c r="AH128" i="4"/>
  <c r="AH55" i="4"/>
  <c r="AH57" i="4"/>
  <c r="AH56" i="4"/>
  <c r="AH51" i="4"/>
  <c r="AH89" i="4"/>
  <c r="AH94" i="4"/>
  <c r="AH72" i="4"/>
  <c r="AH69" i="4"/>
  <c r="AH20" i="4"/>
  <c r="AH71" i="4"/>
  <c r="AH157" i="4"/>
  <c r="AH21" i="4"/>
  <c r="AH79" i="4"/>
  <c r="AH224" i="4"/>
  <c r="AH136" i="4"/>
  <c r="AH2" i="4"/>
  <c r="AH198" i="4"/>
  <c r="AH205" i="4"/>
  <c r="AH101" i="4"/>
  <c r="AH30" i="4"/>
  <c r="AH225" i="4"/>
  <c r="AH12" i="4"/>
  <c r="AH64" i="4"/>
  <c r="AH3" i="4"/>
  <c r="AH44" i="4"/>
  <c r="AH43" i="4"/>
  <c r="AH275" i="4"/>
  <c r="AH226" i="4"/>
  <c r="AH160" i="4"/>
  <c r="AH159" i="4"/>
  <c r="AH153" i="4"/>
  <c r="AH18" i="4"/>
  <c r="AH40" i="4"/>
  <c r="AH184" i="4"/>
  <c r="AH99" i="4"/>
  <c r="AH97" i="4"/>
  <c r="AH203" i="4"/>
  <c r="AH78" i="4"/>
  <c r="AH13" i="4"/>
  <c r="AH217" i="4"/>
  <c r="AH70" i="4"/>
  <c r="AH185" i="4"/>
  <c r="AH39" i="4"/>
  <c r="AH216" i="4"/>
  <c r="AH31" i="4"/>
  <c r="AH181" i="4"/>
  <c r="AH60" i="4"/>
  <c r="AH148" i="4"/>
  <c r="AH63" i="4"/>
  <c r="AH146" i="4"/>
  <c r="AH61" i="4"/>
  <c r="AH227" i="4"/>
  <c r="AH98" i="4"/>
  <c r="AH19" i="4"/>
  <c r="AH62" i="4"/>
  <c r="AH11" i="4"/>
  <c r="AH147" i="4"/>
  <c r="AH38" i="4"/>
  <c r="AH75" i="4"/>
  <c r="AH104" i="4"/>
  <c r="AH150" i="4"/>
  <c r="AH103" i="4"/>
  <c r="AH119" i="4"/>
  <c r="AH76" i="4"/>
  <c r="AH29" i="4"/>
  <c r="AH17" i="4"/>
  <c r="AH58" i="4"/>
  <c r="AH154" i="4"/>
  <c r="AH109" i="4"/>
  <c r="AH110" i="4"/>
  <c r="AH66" i="4"/>
  <c r="AH102" i="4"/>
  <c r="AH175" i="4"/>
  <c r="AH81" i="4"/>
  <c r="AH107" i="4"/>
  <c r="AH32" i="4"/>
  <c r="AH15" i="4"/>
  <c r="AH41" i="4"/>
  <c r="AH106" i="4"/>
  <c r="AH33" i="4"/>
  <c r="AH36" i="4"/>
  <c r="AH108" i="4"/>
  <c r="AH46" i="4"/>
  <c r="AH37" i="4"/>
  <c r="AH35" i="4"/>
  <c r="AH34" i="4"/>
  <c r="AH308" i="4"/>
  <c r="AH307" i="4"/>
  <c r="AH305" i="4"/>
  <c r="AH306" i="4"/>
  <c r="AH311" i="4"/>
  <c r="AH312" i="4"/>
  <c r="AH313" i="4"/>
  <c r="AH314" i="4"/>
  <c r="AH301" i="4"/>
  <c r="AH302" i="4"/>
  <c r="AH300" i="4"/>
  <c r="AH303" i="4"/>
  <c r="AH304" i="4"/>
  <c r="AH309" i="4"/>
  <c r="AH315" i="4"/>
  <c r="AH343" i="4"/>
  <c r="AH334" i="4"/>
  <c r="AH332" i="4"/>
  <c r="AH333" i="4"/>
  <c r="AH335" i="4"/>
  <c r="AH325" i="4"/>
  <c r="AH342" i="4"/>
  <c r="AH324" i="4"/>
  <c r="AH323" i="4"/>
  <c r="AH326" i="4"/>
  <c r="AH340" i="4"/>
  <c r="AH347" i="4"/>
  <c r="AH319" i="4"/>
  <c r="AH327" i="4"/>
  <c r="AH328" i="4"/>
  <c r="AH329" i="4"/>
  <c r="AH330" i="4"/>
  <c r="AH320" i="4"/>
  <c r="AH321" i="4"/>
  <c r="AH322" i="4"/>
  <c r="AH348" i="4"/>
  <c r="AH339" i="4"/>
  <c r="AH338" i="4"/>
  <c r="AH341" i="4"/>
  <c r="AH331" i="4"/>
  <c r="AH318" i="4"/>
  <c r="AH317" i="4"/>
  <c r="AH316" i="4"/>
  <c r="AH336" i="4"/>
  <c r="AH337" i="4"/>
  <c r="AH346" i="4"/>
  <c r="AH344" i="4"/>
  <c r="AH345" i="4"/>
  <c r="AH352" i="4"/>
  <c r="AH349" i="4"/>
  <c r="AH362" i="4"/>
  <c r="AH363" i="4"/>
  <c r="AH353" i="4"/>
  <c r="AH354" i="4"/>
  <c r="AH355" i="4"/>
  <c r="AH350" i="4"/>
  <c r="AH351" i="4"/>
  <c r="AH359" i="4"/>
  <c r="AH360" i="4"/>
  <c r="AH365" i="4"/>
  <c r="AH366" i="4"/>
  <c r="AH367" i="4"/>
  <c r="AH368" i="4"/>
  <c r="AH357" i="4"/>
  <c r="AH358" i="4"/>
  <c r="AH369" i="4"/>
  <c r="AH364" i="4"/>
  <c r="AH370" i="4"/>
  <c r="AH361" i="4"/>
  <c r="AH356" i="4"/>
  <c r="AH372" i="4"/>
  <c r="AH378" i="4"/>
  <c r="AH379" i="4"/>
  <c r="AH380" i="4"/>
  <c r="AH374" i="4"/>
  <c r="AH371" i="4"/>
  <c r="AH377" i="4"/>
  <c r="AH375" i="4"/>
  <c r="AH376" i="4"/>
  <c r="AH382" i="4"/>
  <c r="AH373" i="4"/>
  <c r="AH386" i="4"/>
  <c r="AH388" i="4"/>
  <c r="AH387" i="4"/>
  <c r="AH385" i="4"/>
  <c r="AH384" i="4"/>
  <c r="AH392" i="4"/>
  <c r="AH391" i="4"/>
  <c r="AH396" i="4"/>
  <c r="AH390" i="4"/>
  <c r="AH409" i="4"/>
  <c r="AH393" i="4"/>
  <c r="AH399" i="4"/>
  <c r="AH400" i="4"/>
  <c r="AH401" i="4"/>
  <c r="AH402" i="4"/>
  <c r="AH405" i="4"/>
  <c r="AH406" i="4"/>
  <c r="AH407" i="4"/>
  <c r="AH395" i="4"/>
  <c r="AH404" i="4"/>
  <c r="AH408" i="4"/>
  <c r="AH411" i="4"/>
  <c r="AH412" i="4"/>
  <c r="AH413" i="4"/>
  <c r="AH403" i="4"/>
  <c r="AH394" i="4"/>
  <c r="AH397" i="4"/>
  <c r="AH398" i="4"/>
  <c r="AH410" i="4"/>
  <c r="AH389" i="4"/>
  <c r="AH188" i="4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55" i="1"/>
  <c r="BA255" i="1"/>
  <c r="BB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BC255" i="1"/>
  <c r="CT255" i="1"/>
  <c r="N64" i="4"/>
  <c r="AZ361" i="1"/>
  <c r="BA361" i="1"/>
  <c r="BB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BC361" i="1"/>
  <c r="CT361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6" i="6"/>
  <c r="AA279" i="6"/>
  <c r="AA291" i="6"/>
  <c r="AA298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3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2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4" i="6"/>
  <c r="AA234" i="6"/>
  <c r="AA196" i="6"/>
  <c r="AA142" i="6"/>
  <c r="AA175" i="6"/>
  <c r="AA176" i="6"/>
  <c r="AA131" i="6"/>
  <c r="AA12" i="6"/>
  <c r="AA297" i="6"/>
  <c r="AA197" i="6"/>
  <c r="AA209" i="6"/>
  <c r="AA143" i="6"/>
  <c r="AA210" i="6"/>
  <c r="AA132" i="6"/>
  <c r="AA13" i="6"/>
  <c r="AA46" i="6"/>
  <c r="AA261" i="6"/>
  <c r="AA24" i="6"/>
  <c r="AA235" i="6"/>
  <c r="AA198" i="6"/>
  <c r="AA72" i="6"/>
  <c r="AA262" i="6"/>
  <c r="AA38" i="6"/>
  <c r="AA73" i="6"/>
  <c r="AA74" i="6"/>
  <c r="AA285" i="6"/>
  <c r="AA75" i="6"/>
  <c r="AA236" i="6"/>
  <c r="AA237" i="6"/>
  <c r="AA211" i="6"/>
  <c r="AA273" i="6"/>
  <c r="AA212" i="6"/>
  <c r="AA133" i="6"/>
  <c r="AA76" i="6"/>
  <c r="AA213" i="6"/>
  <c r="AA25" i="6"/>
  <c r="AA135" i="6"/>
  <c r="AA238" i="6"/>
  <c r="AA161" i="6"/>
  <c r="AA77" i="6"/>
  <c r="AA263" i="6"/>
  <c r="AA274" i="6"/>
  <c r="AA126" i="6"/>
  <c r="AA144" i="6"/>
  <c r="AA239" i="6"/>
  <c r="AA275" i="6"/>
  <c r="AA57" i="6"/>
  <c r="AA214" i="6"/>
  <c r="AA276" i="6"/>
  <c r="AA286" i="6"/>
  <c r="AA118" i="6"/>
  <c r="AA119" i="6"/>
  <c r="AA14" i="6"/>
  <c r="AA120" i="6"/>
  <c r="AA199" i="6"/>
  <c r="AA153" i="6"/>
  <c r="AA215" i="6"/>
  <c r="AA200" i="6"/>
  <c r="AA26" i="6"/>
  <c r="AA264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7" i="6"/>
  <c r="AA288" i="6"/>
  <c r="AA34" i="6"/>
  <c r="AA178" i="6"/>
  <c r="AA154" i="6"/>
  <c r="AA248" i="6"/>
  <c r="AA277" i="6"/>
  <c r="AA249" i="6"/>
  <c r="AA80" i="6"/>
  <c r="AA250" i="6"/>
  <c r="AA81" i="6"/>
  <c r="AA265" i="6"/>
  <c r="AA162" i="6"/>
  <c r="AA289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8" i="6"/>
  <c r="AA256" i="6"/>
  <c r="AA257" i="6"/>
  <c r="AA267" i="6"/>
  <c r="AA268" i="6"/>
  <c r="AA280" i="6"/>
  <c r="AA281" i="6"/>
  <c r="AA282" i="6"/>
  <c r="AA227" i="6"/>
  <c r="AA157" i="6"/>
  <c r="AA35" i="6"/>
  <c r="AA151" i="6"/>
  <c r="AA290" i="6"/>
  <c r="AA269" i="6"/>
  <c r="AA270" i="6"/>
  <c r="AA122" i="6"/>
  <c r="AA228" i="6"/>
  <c r="AA229" i="6"/>
  <c r="AA230" i="6"/>
  <c r="AA258" i="6"/>
  <c r="AA271" i="6"/>
  <c r="AA231" i="6"/>
  <c r="AA83" i="6"/>
  <c r="AA84" i="6"/>
  <c r="AA63" i="6"/>
  <c r="AA60" i="6"/>
  <c r="AA292" i="6"/>
  <c r="AA293" i="6"/>
  <c r="AA294" i="6"/>
  <c r="AA295" i="6"/>
  <c r="AA171" i="6"/>
  <c r="AA172" i="6"/>
  <c r="AA181" i="6"/>
  <c r="AA158" i="6"/>
  <c r="AA173" i="6"/>
  <c r="AA259" i="6"/>
  <c r="AA296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2" i="6"/>
  <c r="AA308" i="6"/>
  <c r="AA300" i="6"/>
  <c r="AA301" i="6"/>
  <c r="AA303" i="6"/>
  <c r="AA304" i="6"/>
  <c r="AA305" i="6"/>
  <c r="AA306" i="6"/>
  <c r="AA307" i="6"/>
  <c r="AA309" i="6"/>
  <c r="AA310" i="6"/>
  <c r="AA311" i="6"/>
  <c r="AA312" i="6"/>
  <c r="AA313" i="6"/>
  <c r="AA314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7" i="6"/>
  <c r="AA343" i="6"/>
  <c r="AA344" i="6"/>
  <c r="AA348" i="6"/>
  <c r="AA345" i="6"/>
  <c r="AA346" i="6"/>
  <c r="AA357" i="6"/>
  <c r="AA367" i="6"/>
  <c r="AA362" i="6"/>
  <c r="AA349" i="6"/>
  <c r="AA363" i="6"/>
  <c r="AA350" i="6"/>
  <c r="AA351" i="6"/>
  <c r="AA352" i="6"/>
  <c r="AA353" i="6"/>
  <c r="AA354" i="6"/>
  <c r="AA355" i="6"/>
  <c r="AA356" i="6"/>
  <c r="AA364" i="6"/>
  <c r="AA365" i="6"/>
  <c r="AA366" i="6"/>
  <c r="AA368" i="6"/>
  <c r="AA369" i="6"/>
  <c r="AA370" i="6"/>
  <c r="AA358" i="6"/>
  <c r="AA359" i="6"/>
  <c r="AA360" i="6"/>
  <c r="AA361" i="6"/>
  <c r="AA381" i="6"/>
  <c r="AA371" i="6"/>
  <c r="AA372" i="6"/>
  <c r="AA373" i="6"/>
  <c r="AA374" i="6"/>
  <c r="AA375" i="6"/>
  <c r="AA376" i="6"/>
  <c r="AA377" i="6"/>
  <c r="AA378" i="6"/>
  <c r="AA379" i="6"/>
  <c r="AA380" i="6"/>
  <c r="AA385" i="6"/>
  <c r="AA388" i="6"/>
  <c r="AA384" i="6"/>
  <c r="AA387" i="6"/>
  <c r="AA386" i="6"/>
  <c r="AA412" i="6"/>
  <c r="AA390" i="6"/>
  <c r="AA411" i="6"/>
  <c r="AA410" i="6"/>
  <c r="AA393" i="6"/>
  <c r="AA394" i="6"/>
  <c r="AA395" i="6"/>
  <c r="AA396" i="6"/>
  <c r="AA397" i="6"/>
  <c r="AA392" i="6"/>
  <c r="AA408" i="6"/>
  <c r="AA398" i="6"/>
  <c r="AA399" i="6"/>
  <c r="AA400" i="6"/>
  <c r="AA401" i="6"/>
  <c r="AA402" i="6"/>
  <c r="AA403" i="6"/>
  <c r="AA389" i="6"/>
  <c r="AA409" i="6"/>
  <c r="AA404" i="6"/>
  <c r="AA391" i="6"/>
  <c r="AA413" i="6"/>
  <c r="AA405" i="6"/>
  <c r="AA406" i="6"/>
  <c r="AA407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6" i="6"/>
  <c r="Z279" i="6"/>
  <c r="Z291" i="6"/>
  <c r="Z298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3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2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4" i="6"/>
  <c r="Z234" i="6"/>
  <c r="Z196" i="6"/>
  <c r="Z142" i="6"/>
  <c r="Z175" i="6"/>
  <c r="Z176" i="6"/>
  <c r="Z131" i="6"/>
  <c r="Z12" i="6"/>
  <c r="Z297" i="6"/>
  <c r="Z197" i="6"/>
  <c r="Z209" i="6"/>
  <c r="Z143" i="6"/>
  <c r="Z210" i="6"/>
  <c r="Z132" i="6"/>
  <c r="Z13" i="6"/>
  <c r="Z46" i="6"/>
  <c r="Z261" i="6"/>
  <c r="Z24" i="6"/>
  <c r="Z235" i="6"/>
  <c r="Z198" i="6"/>
  <c r="Z72" i="6"/>
  <c r="Z262" i="6"/>
  <c r="Z38" i="6"/>
  <c r="Z73" i="6"/>
  <c r="Z74" i="6"/>
  <c r="Z285" i="6"/>
  <c r="Z75" i="6"/>
  <c r="Z236" i="6"/>
  <c r="Z237" i="6"/>
  <c r="Z211" i="6"/>
  <c r="Z273" i="6"/>
  <c r="Z212" i="6"/>
  <c r="Z133" i="6"/>
  <c r="Z76" i="6"/>
  <c r="Z213" i="6"/>
  <c r="Z25" i="6"/>
  <c r="Z135" i="6"/>
  <c r="Z238" i="6"/>
  <c r="Z161" i="6"/>
  <c r="Z77" i="6"/>
  <c r="Z263" i="6"/>
  <c r="Z274" i="6"/>
  <c r="Z126" i="6"/>
  <c r="Z144" i="6"/>
  <c r="Z239" i="6"/>
  <c r="Z275" i="6"/>
  <c r="Z57" i="6"/>
  <c r="Z214" i="6"/>
  <c r="Z276" i="6"/>
  <c r="Z286" i="6"/>
  <c r="Z118" i="6"/>
  <c r="Z119" i="6"/>
  <c r="Z14" i="6"/>
  <c r="Z120" i="6"/>
  <c r="Z199" i="6"/>
  <c r="Z153" i="6"/>
  <c r="Z215" i="6"/>
  <c r="Z200" i="6"/>
  <c r="Z26" i="6"/>
  <c r="Z264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7" i="6"/>
  <c r="Z288" i="6"/>
  <c r="Z34" i="6"/>
  <c r="Z178" i="6"/>
  <c r="Z154" i="6"/>
  <c r="Z248" i="6"/>
  <c r="Z277" i="6"/>
  <c r="Z249" i="6"/>
  <c r="Z80" i="6"/>
  <c r="Z250" i="6"/>
  <c r="Z81" i="6"/>
  <c r="Z265" i="6"/>
  <c r="Z162" i="6"/>
  <c r="Z289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8" i="6"/>
  <c r="Z256" i="6"/>
  <c r="Z257" i="6"/>
  <c r="Z267" i="6"/>
  <c r="Z268" i="6"/>
  <c r="Z280" i="6"/>
  <c r="Z281" i="6"/>
  <c r="Z282" i="6"/>
  <c r="Z227" i="6"/>
  <c r="Z157" i="6"/>
  <c r="Z35" i="6"/>
  <c r="Z151" i="6"/>
  <c r="Z290" i="6"/>
  <c r="Z269" i="6"/>
  <c r="Z270" i="6"/>
  <c r="Z122" i="6"/>
  <c r="Z228" i="6"/>
  <c r="Z229" i="6"/>
  <c r="Z230" i="6"/>
  <c r="Z258" i="6"/>
  <c r="Z271" i="6"/>
  <c r="Z231" i="6"/>
  <c r="Z83" i="6"/>
  <c r="Z84" i="6"/>
  <c r="Z63" i="6"/>
  <c r="Z60" i="6"/>
  <c r="Z292" i="6"/>
  <c r="Z293" i="6"/>
  <c r="Z294" i="6"/>
  <c r="Z295" i="6"/>
  <c r="Z171" i="6"/>
  <c r="Z172" i="6"/>
  <c r="Z181" i="6"/>
  <c r="Z158" i="6"/>
  <c r="Z173" i="6"/>
  <c r="Z259" i="6"/>
  <c r="Z296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2" i="6"/>
  <c r="Z308" i="6"/>
  <c r="Z300" i="6"/>
  <c r="Z301" i="6"/>
  <c r="Z303" i="6"/>
  <c r="Z304" i="6"/>
  <c r="Z305" i="6"/>
  <c r="Z306" i="6"/>
  <c r="Z307" i="6"/>
  <c r="Z309" i="6"/>
  <c r="Z310" i="6"/>
  <c r="Z311" i="6"/>
  <c r="Z312" i="6"/>
  <c r="Z313" i="6"/>
  <c r="Z314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7" i="6"/>
  <c r="Z343" i="6"/>
  <c r="Z344" i="6"/>
  <c r="Z348" i="6"/>
  <c r="Z345" i="6"/>
  <c r="Z346" i="6"/>
  <c r="Z357" i="6"/>
  <c r="Z367" i="6"/>
  <c r="Z362" i="6"/>
  <c r="Z349" i="6"/>
  <c r="Z363" i="6"/>
  <c r="Z350" i="6"/>
  <c r="Z351" i="6"/>
  <c r="Z352" i="6"/>
  <c r="Z353" i="6"/>
  <c r="Z354" i="6"/>
  <c r="Z355" i="6"/>
  <c r="Z356" i="6"/>
  <c r="Z364" i="6"/>
  <c r="Z365" i="6"/>
  <c r="Z366" i="6"/>
  <c r="Z368" i="6"/>
  <c r="Z369" i="6"/>
  <c r="Z370" i="6"/>
  <c r="Z358" i="6"/>
  <c r="Z359" i="6"/>
  <c r="Z360" i="6"/>
  <c r="Z361" i="6"/>
  <c r="Z381" i="6"/>
  <c r="Z371" i="6"/>
  <c r="Z372" i="6"/>
  <c r="Z373" i="6"/>
  <c r="Z374" i="6"/>
  <c r="Z375" i="6"/>
  <c r="Z376" i="6"/>
  <c r="Z377" i="6"/>
  <c r="Z378" i="6"/>
  <c r="Z379" i="6"/>
  <c r="Z380" i="6"/>
  <c r="Z385" i="6"/>
  <c r="Z388" i="6"/>
  <c r="Z384" i="6"/>
  <c r="Z387" i="6"/>
  <c r="Z386" i="6"/>
  <c r="Z412" i="6"/>
  <c r="Z390" i="6"/>
  <c r="Z411" i="6"/>
  <c r="Z410" i="6"/>
  <c r="Z393" i="6"/>
  <c r="Z394" i="6"/>
  <c r="Z395" i="6"/>
  <c r="Z396" i="6"/>
  <c r="Z397" i="6"/>
  <c r="Z392" i="6"/>
  <c r="Z408" i="6"/>
  <c r="Z398" i="6"/>
  <c r="Z399" i="6"/>
  <c r="Z400" i="6"/>
  <c r="Z401" i="6"/>
  <c r="Z402" i="6"/>
  <c r="Z403" i="6"/>
  <c r="Z389" i="6"/>
  <c r="Z409" i="6"/>
  <c r="Z404" i="6"/>
  <c r="Z391" i="6"/>
  <c r="Z413" i="6"/>
  <c r="Z405" i="6"/>
  <c r="Z406" i="6"/>
  <c r="Z407" i="6"/>
  <c r="Z3" i="6"/>
  <c r="AO29" i="5"/>
  <c r="AO9" i="5"/>
  <c r="AO11" i="5"/>
  <c r="AO10" i="5"/>
  <c r="AO270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7" i="5"/>
  <c r="AO269" i="5"/>
  <c r="AO289" i="5"/>
  <c r="AO274" i="5"/>
  <c r="AO294" i="5"/>
  <c r="AO282" i="5"/>
  <c r="AO292" i="5"/>
  <c r="AO283" i="5"/>
  <c r="AO280" i="5"/>
  <c r="AO295" i="5"/>
  <c r="AO8" i="5"/>
  <c r="AO3" i="5"/>
  <c r="AO296" i="5"/>
  <c r="AO286" i="5"/>
  <c r="AO290" i="5"/>
  <c r="AO288" i="5"/>
  <c r="AO291" i="5"/>
  <c r="AO5" i="5"/>
  <c r="AO14" i="5"/>
  <c r="AO281" i="5"/>
  <c r="AO27" i="5"/>
  <c r="AO15" i="5"/>
  <c r="AO28" i="5"/>
  <c r="AO32" i="5"/>
  <c r="AO33" i="5"/>
  <c r="AO118" i="5"/>
  <c r="AO406" i="5"/>
  <c r="AO49" i="5"/>
  <c r="AO278" i="5"/>
  <c r="AO67" i="5"/>
  <c r="AO243" i="5"/>
  <c r="AO39" i="5"/>
  <c r="AO47" i="5"/>
  <c r="AO245" i="5"/>
  <c r="AO246" i="5"/>
  <c r="AO248" i="5"/>
  <c r="AO244" i="5"/>
  <c r="AO247" i="5"/>
  <c r="AO40" i="5"/>
  <c r="AO65" i="5"/>
  <c r="AO38" i="5"/>
  <c r="AO121" i="5"/>
  <c r="AO62" i="5"/>
  <c r="AO41" i="5"/>
  <c r="AO42" i="5"/>
  <c r="AO390" i="5"/>
  <c r="AO43" i="5"/>
  <c r="AO44" i="5"/>
  <c r="AO45" i="5"/>
  <c r="AO124" i="5"/>
  <c r="AO154" i="5"/>
  <c r="AO255" i="5"/>
  <c r="AO177" i="5"/>
  <c r="AO165" i="5"/>
  <c r="AO250" i="5"/>
  <c r="AO109" i="5"/>
  <c r="AO170" i="5"/>
  <c r="AO223" i="5"/>
  <c r="AO52" i="5"/>
  <c r="AO50" i="5"/>
  <c r="AO51" i="5"/>
  <c r="AO53" i="5"/>
  <c r="AO256" i="5"/>
  <c r="AO55" i="5"/>
  <c r="AO275" i="5"/>
  <c r="AO409" i="5"/>
  <c r="AO56" i="5"/>
  <c r="AO398" i="5"/>
  <c r="AO57" i="5"/>
  <c r="AO58" i="5"/>
  <c r="AO60" i="5"/>
  <c r="AO257" i="5"/>
  <c r="AO59" i="5"/>
  <c r="AO122" i="5"/>
  <c r="AO64" i="5"/>
  <c r="AO98" i="5"/>
  <c r="AO68" i="5"/>
  <c r="AO69" i="5"/>
  <c r="AO71" i="5"/>
  <c r="AO63" i="5"/>
  <c r="AO96" i="5"/>
  <c r="AO46" i="5"/>
  <c r="AO115" i="5"/>
  <c r="AO276" i="5"/>
  <c r="AO242" i="5"/>
  <c r="AO48" i="5"/>
  <c r="AO190" i="5"/>
  <c r="AO162" i="5"/>
  <c r="AO70" i="5"/>
  <c r="AO183" i="5"/>
  <c r="AO185" i="5"/>
  <c r="AO386" i="5"/>
  <c r="AO393" i="5"/>
  <c r="AO394" i="5"/>
  <c r="AO395" i="5"/>
  <c r="AO396" i="5"/>
  <c r="AO397" i="5"/>
  <c r="AO400" i="5"/>
  <c r="AO401" i="5"/>
  <c r="AO402" i="5"/>
  <c r="AO403" i="5"/>
  <c r="AO404" i="5"/>
  <c r="AO405" i="5"/>
  <c r="AO408" i="5"/>
  <c r="AO411" i="5"/>
  <c r="AO412" i="5"/>
  <c r="AO413" i="5"/>
  <c r="AO164" i="5"/>
  <c r="AO297" i="5"/>
  <c r="AO75" i="5"/>
  <c r="AO127" i="5"/>
  <c r="AO125" i="5"/>
  <c r="AO265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60" i="5"/>
  <c r="AO261" i="5"/>
  <c r="AO259" i="5"/>
  <c r="AO264" i="5"/>
  <c r="AO54" i="5"/>
  <c r="AO267" i="5"/>
  <c r="AO82" i="5"/>
  <c r="AO84" i="5"/>
  <c r="AO266" i="5"/>
  <c r="AO81" i="5"/>
  <c r="AO83" i="5"/>
  <c r="AO86" i="5"/>
  <c r="AO253" i="5"/>
  <c r="AO262" i="5"/>
  <c r="AO85" i="5"/>
  <c r="AO92" i="5"/>
  <c r="AO252" i="5"/>
  <c r="AO348" i="5"/>
  <c r="AO335" i="5"/>
  <c r="AO345" i="5"/>
  <c r="AO346" i="5"/>
  <c r="AO331" i="5"/>
  <c r="AO343" i="5"/>
  <c r="AO319" i="5"/>
  <c r="AO320" i="5"/>
  <c r="AO337" i="5"/>
  <c r="AO341" i="5"/>
  <c r="AO339" i="5"/>
  <c r="AO340" i="5"/>
  <c r="AO317" i="5"/>
  <c r="AO329" i="5"/>
  <c r="AO318" i="5"/>
  <c r="AO322" i="5"/>
  <c r="AO333" i="5"/>
  <c r="AO323" i="5"/>
  <c r="AO327" i="5"/>
  <c r="AO321" i="5"/>
  <c r="AO324" i="5"/>
  <c r="AO338" i="5"/>
  <c r="AO328" i="5"/>
  <c r="AO332" i="5"/>
  <c r="AO342" i="5"/>
  <c r="AO330" i="5"/>
  <c r="AO325" i="5"/>
  <c r="AO334" i="5"/>
  <c r="AO336" i="5"/>
  <c r="AO326" i="5"/>
  <c r="AO300" i="5"/>
  <c r="AO301" i="5"/>
  <c r="AO302" i="5"/>
  <c r="AO303" i="5"/>
  <c r="AO316" i="5"/>
  <c r="AO384" i="5"/>
  <c r="AO388" i="5"/>
  <c r="AO93" i="5"/>
  <c r="AO95" i="5"/>
  <c r="AO172" i="5"/>
  <c r="AO79" i="5"/>
  <c r="AO94" i="5"/>
  <c r="AO106" i="5"/>
  <c r="AO107" i="5"/>
  <c r="AO108" i="5"/>
  <c r="AO156" i="5"/>
  <c r="AO150" i="5"/>
  <c r="AO279" i="5"/>
  <c r="AO97" i="5"/>
  <c r="AO254" i="5"/>
  <c r="AO263" i="5"/>
  <c r="AO228" i="5"/>
  <c r="AO66" i="5"/>
  <c r="AO277" i="5"/>
  <c r="AO143" i="5"/>
  <c r="AO101" i="5"/>
  <c r="AO100" i="5"/>
  <c r="AO99" i="5"/>
  <c r="AO193" i="5"/>
  <c r="AO157" i="5"/>
  <c r="AO102" i="5"/>
  <c r="AO103" i="5"/>
  <c r="AO347" i="5"/>
  <c r="AO344" i="5"/>
  <c r="AO311" i="5"/>
  <c r="AO308" i="5"/>
  <c r="AO312" i="5"/>
  <c r="AO307" i="5"/>
  <c r="AO310" i="5"/>
  <c r="AO309" i="5"/>
  <c r="AO306" i="5"/>
  <c r="AO313" i="5"/>
  <c r="AO314" i="5"/>
  <c r="AO305" i="5"/>
  <c r="AO315" i="5"/>
  <c r="AO352" i="5"/>
  <c r="AO357" i="5"/>
  <c r="AO367" i="5"/>
  <c r="AO387" i="5"/>
  <c r="AO350" i="5"/>
  <c r="AO359" i="5"/>
  <c r="AO358" i="5"/>
  <c r="AO370" i="5"/>
  <c r="AO368" i="5"/>
  <c r="AO369" i="5"/>
  <c r="AO353" i="5"/>
  <c r="AO354" i="5"/>
  <c r="AO356" i="5"/>
  <c r="AO355" i="5"/>
  <c r="AO349" i="5"/>
  <c r="AO365" i="5"/>
  <c r="AO362" i="5"/>
  <c r="AO364" i="5"/>
  <c r="AO366" i="5"/>
  <c r="AO363" i="5"/>
  <c r="AO361" i="5"/>
  <c r="AO360" i="5"/>
  <c r="AO351" i="5"/>
  <c r="AO161" i="5"/>
  <c r="AO273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5" i="5"/>
  <c r="AO179" i="5"/>
  <c r="AO222" i="5"/>
  <c r="AO187" i="5"/>
  <c r="AO208" i="5"/>
  <c r="AO203" i="5"/>
  <c r="AO105" i="5"/>
  <c r="AO139" i="5"/>
  <c r="AO77" i="5"/>
  <c r="AO399" i="5"/>
  <c r="AO204" i="5"/>
  <c r="AO205" i="5"/>
  <c r="AO234" i="5"/>
  <c r="AO235" i="5"/>
  <c r="AO110" i="5"/>
  <c r="AO238" i="5"/>
  <c r="AO111" i="5"/>
  <c r="AO112" i="5"/>
  <c r="AO178" i="5"/>
  <c r="AO206" i="5"/>
  <c r="AO251" i="5"/>
  <c r="AO163" i="5"/>
  <c r="AO236" i="5"/>
  <c r="AO284" i="5"/>
  <c r="AO249" i="5"/>
  <c r="AO117" i="5"/>
  <c r="AO200" i="5"/>
  <c r="AO293" i="5"/>
  <c r="AO23" i="5"/>
  <c r="AO407" i="5"/>
  <c r="AO166" i="5"/>
  <c r="AO24" i="5"/>
  <c r="AO207" i="5"/>
  <c r="AO272" i="5"/>
  <c r="AO6" i="5"/>
  <c r="AO153" i="5"/>
  <c r="AO151" i="5"/>
  <c r="AO392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91" i="5"/>
  <c r="AO131" i="5"/>
  <c r="AO210" i="5"/>
  <c r="AO214" i="5"/>
  <c r="AO167" i="5"/>
  <c r="AO88" i="5"/>
  <c r="AO268" i="5"/>
  <c r="AO212" i="5"/>
  <c r="AO209" i="5"/>
  <c r="AO211" i="5"/>
  <c r="AO159" i="5"/>
  <c r="AO160" i="5"/>
  <c r="AO258" i="5"/>
  <c r="AO168" i="5"/>
  <c r="AO87" i="5"/>
  <c r="AO132" i="5"/>
  <c r="AO239" i="5"/>
  <c r="AO229" i="5"/>
  <c r="AO145" i="5"/>
  <c r="AO169" i="5"/>
  <c r="AO158" i="5"/>
  <c r="AO138" i="5"/>
  <c r="AO186" i="5"/>
  <c r="AO226" i="5"/>
  <c r="AO38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1" i="5"/>
  <c r="AO389" i="5"/>
  <c r="AO371" i="5"/>
  <c r="AO379" i="5"/>
  <c r="AO378" i="5"/>
  <c r="AO373" i="5"/>
  <c r="AO376" i="5"/>
  <c r="AO381" i="5"/>
  <c r="AO380" i="5"/>
  <c r="AO372" i="5"/>
  <c r="AO375" i="5"/>
  <c r="AO374" i="5"/>
  <c r="AO377" i="5"/>
  <c r="AO271" i="5"/>
  <c r="AO410" i="5"/>
  <c r="AO298" i="5"/>
  <c r="AO30" i="5"/>
  <c r="C2" i="7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80" i="1"/>
  <c r="BA79" i="1"/>
  <c r="BA124" i="1"/>
  <c r="BA122" i="1"/>
  <c r="BA126" i="1"/>
  <c r="BA127" i="1"/>
  <c r="BA128" i="1"/>
  <c r="BA129" i="1"/>
  <c r="BA266" i="1"/>
  <c r="BA277" i="1"/>
  <c r="BA278" i="1"/>
  <c r="BA360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74" i="1"/>
  <c r="BA75" i="1"/>
  <c r="BA77" i="1"/>
  <c r="BA78" i="1"/>
  <c r="BA87" i="1"/>
  <c r="BA88" i="1"/>
  <c r="BA89" i="1"/>
  <c r="BA91" i="1"/>
  <c r="BA92" i="1"/>
  <c r="BA95" i="1"/>
  <c r="BA96" i="1"/>
  <c r="BA97" i="1"/>
  <c r="BA98" i="1"/>
  <c r="BA99" i="1"/>
  <c r="BA102" i="1"/>
  <c r="BA103" i="1"/>
  <c r="BA105" i="1"/>
  <c r="BA106" i="1"/>
  <c r="BA101" i="1"/>
  <c r="BA108" i="1"/>
  <c r="BA104" i="1"/>
  <c r="BA100" i="1"/>
  <c r="BA109" i="1"/>
  <c r="BA107" i="1"/>
  <c r="BA116" i="1"/>
  <c r="BA131" i="1"/>
  <c r="BA123" i="1"/>
  <c r="BA117" i="1"/>
  <c r="BA130" i="1"/>
  <c r="BA118" i="1"/>
  <c r="BA119" i="1"/>
  <c r="BA120" i="1"/>
  <c r="BA121" i="1"/>
  <c r="BA145" i="1"/>
  <c r="BA147" i="1"/>
  <c r="BA148" i="1"/>
  <c r="BA146" i="1"/>
  <c r="BA162" i="1"/>
  <c r="BA163" i="1"/>
  <c r="BA166" i="1"/>
  <c r="BA167" i="1"/>
  <c r="BA176" i="1"/>
  <c r="BA186" i="1"/>
  <c r="BA187" i="1"/>
  <c r="BA188" i="1"/>
  <c r="BA373" i="1"/>
  <c r="BA377" i="1"/>
  <c r="BA376" i="1"/>
  <c r="BA375" i="1"/>
  <c r="BA374" i="1"/>
  <c r="BA195" i="1"/>
  <c r="BA196" i="1"/>
  <c r="BA198" i="1"/>
  <c r="BA197" i="1"/>
  <c r="BA201" i="1"/>
  <c r="BA202" i="1"/>
  <c r="BA208" i="1"/>
  <c r="BA207" i="1"/>
  <c r="BA206" i="1"/>
  <c r="BA214" i="1"/>
  <c r="BA215" i="1"/>
  <c r="BA378" i="1"/>
  <c r="BA380" i="1"/>
  <c r="BA379" i="1"/>
  <c r="BA381" i="1"/>
  <c r="BA400" i="1"/>
  <c r="BA401" i="1"/>
  <c r="BA402" i="1"/>
  <c r="BA403" i="1"/>
  <c r="BA404" i="1"/>
  <c r="BA405" i="1"/>
  <c r="BA219" i="1"/>
  <c r="BA220" i="1"/>
  <c r="BA221" i="1"/>
  <c r="BA222" i="1"/>
  <c r="BA223" i="1"/>
  <c r="BA224" i="1"/>
  <c r="BA250" i="1"/>
  <c r="BA251" i="1"/>
  <c r="BA254" i="1"/>
  <c r="BA253" i="1"/>
  <c r="BA252" i="1"/>
  <c r="BA256" i="1"/>
  <c r="BA257" i="1"/>
  <c r="BA258" i="1"/>
  <c r="BA259" i="1"/>
  <c r="BA260" i="1"/>
  <c r="BA261" i="1"/>
  <c r="BA262" i="1"/>
  <c r="BA264" i="1"/>
  <c r="BA265" i="1"/>
  <c r="BA269" i="1"/>
  <c r="BA271" i="1"/>
  <c r="BA270" i="1"/>
  <c r="BA272" i="1"/>
  <c r="BA273" i="1"/>
  <c r="BA280" i="1"/>
  <c r="BA281" i="1"/>
  <c r="BA282" i="1"/>
  <c r="BA274" i="1"/>
  <c r="BA275" i="1"/>
  <c r="BA299" i="1"/>
  <c r="BA300" i="1"/>
  <c r="BA304" i="1"/>
  <c r="BA305" i="1"/>
  <c r="BA306" i="1"/>
  <c r="BA307" i="1"/>
  <c r="BA308" i="1"/>
  <c r="BA320" i="1"/>
  <c r="BA321" i="1"/>
  <c r="BA325" i="1"/>
  <c r="BA327" i="1"/>
  <c r="BA326" i="1"/>
  <c r="BA328" i="1"/>
  <c r="BA329" i="1"/>
  <c r="BA330" i="1"/>
  <c r="BA331" i="1"/>
  <c r="BA332" i="1"/>
  <c r="BA333" i="1"/>
  <c r="BA354" i="1"/>
  <c r="BA355" i="1"/>
  <c r="BA412" i="1"/>
  <c r="BA414" i="1"/>
  <c r="BA413" i="1"/>
  <c r="BA416" i="1"/>
  <c r="BA417" i="1"/>
  <c r="BA418" i="1"/>
  <c r="BA419" i="1"/>
  <c r="BA415" i="1"/>
  <c r="BA359" i="1"/>
  <c r="BA29" i="1"/>
  <c r="AZ29" i="1"/>
  <c r="AA3" i="2"/>
  <c r="AD3" i="2"/>
  <c r="AE3" i="2"/>
  <c r="AF3" i="2"/>
  <c r="AG3" i="2"/>
  <c r="AH3" i="2"/>
  <c r="AI3" i="2"/>
  <c r="AJ3" i="2"/>
  <c r="AK3" i="2"/>
  <c r="AL3" i="2"/>
  <c r="AM3" i="2"/>
  <c r="AZ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C162" i="1"/>
  <c r="BB162" i="1"/>
  <c r="AZ162" i="1"/>
  <c r="BB278" i="1"/>
  <c r="BB4" i="1"/>
  <c r="BB13" i="1"/>
  <c r="BB275" i="1"/>
  <c r="BB277" i="1"/>
  <c r="BB280" i="1"/>
  <c r="BB281" i="1"/>
  <c r="BB282" i="1"/>
  <c r="BB299" i="1"/>
  <c r="BB42" i="1"/>
  <c r="BB43" i="1"/>
  <c r="BB44" i="1"/>
  <c r="BB45" i="1"/>
  <c r="BB46" i="1"/>
  <c r="BB47" i="1"/>
  <c r="BB74" i="1"/>
  <c r="BB75" i="1"/>
  <c r="BB77" i="1"/>
  <c r="BB78" i="1"/>
  <c r="BB79" i="1"/>
  <c r="BB80" i="1"/>
  <c r="BB87" i="1"/>
  <c r="BB88" i="1"/>
  <c r="BB89" i="1"/>
  <c r="BB91" i="1"/>
  <c r="BB92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6" i="1"/>
  <c r="BB117" i="1"/>
  <c r="BB118" i="1"/>
  <c r="BB119" i="1"/>
  <c r="BB120" i="1"/>
  <c r="BB121" i="1"/>
  <c r="BB122" i="1"/>
  <c r="BB123" i="1"/>
  <c r="BB124" i="1"/>
  <c r="BB126" i="1"/>
  <c r="BB127" i="1"/>
  <c r="BB128" i="1"/>
  <c r="BB129" i="1"/>
  <c r="BB130" i="1"/>
  <c r="BB131" i="1"/>
  <c r="BB145" i="1"/>
  <c r="BB146" i="1"/>
  <c r="BB147" i="1"/>
  <c r="BB148" i="1"/>
  <c r="BB166" i="1"/>
  <c r="BB167" i="1"/>
  <c r="BB176" i="1"/>
  <c r="BB186" i="1"/>
  <c r="BB187" i="1"/>
  <c r="BB188" i="1"/>
  <c r="BB373" i="1"/>
  <c r="BB374" i="1"/>
  <c r="BB375" i="1"/>
  <c r="BB376" i="1"/>
  <c r="BB377" i="1"/>
  <c r="BB195" i="1"/>
  <c r="BB196" i="1"/>
  <c r="BB197" i="1"/>
  <c r="BB198" i="1"/>
  <c r="BB201" i="1"/>
  <c r="BB202" i="1"/>
  <c r="BB206" i="1"/>
  <c r="BB207" i="1"/>
  <c r="BB208" i="1"/>
  <c r="BB214" i="1"/>
  <c r="BB215" i="1"/>
  <c r="BB378" i="1"/>
  <c r="BB379" i="1"/>
  <c r="BB380" i="1"/>
  <c r="BB381" i="1"/>
  <c r="BB400" i="1"/>
  <c r="BB401" i="1"/>
  <c r="BB402" i="1"/>
  <c r="BB403" i="1"/>
  <c r="BB404" i="1"/>
  <c r="BB405" i="1"/>
  <c r="BB219" i="1"/>
  <c r="BB220" i="1"/>
  <c r="BB221" i="1"/>
  <c r="BB222" i="1"/>
  <c r="BB223" i="1"/>
  <c r="BB224" i="1"/>
  <c r="BB250" i="1"/>
  <c r="BB251" i="1"/>
  <c r="BB252" i="1"/>
  <c r="BB253" i="1"/>
  <c r="BB254" i="1"/>
  <c r="BB256" i="1"/>
  <c r="BB257" i="1"/>
  <c r="BB258" i="1"/>
  <c r="BB259" i="1"/>
  <c r="BB260" i="1"/>
  <c r="BB261" i="1"/>
  <c r="BB262" i="1"/>
  <c r="BB264" i="1"/>
  <c r="BB265" i="1"/>
  <c r="BB266" i="1"/>
  <c r="BB269" i="1"/>
  <c r="BB270" i="1"/>
  <c r="BB271" i="1"/>
  <c r="BB272" i="1"/>
  <c r="BB273" i="1"/>
  <c r="BB274" i="1"/>
  <c r="BB39" i="1"/>
  <c r="BB40" i="1"/>
  <c r="BB41" i="1"/>
  <c r="AZ39" i="1"/>
  <c r="AZ277" i="1"/>
  <c r="AZ278" i="1"/>
  <c r="AZ280" i="1"/>
  <c r="AZ281" i="1"/>
  <c r="AZ282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BC208" i="1"/>
  <c r="BC207" i="1"/>
  <c r="BC38" i="1"/>
  <c r="BC109" i="1"/>
  <c r="BC282" i="1"/>
  <c r="BC38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1" i="4"/>
  <c r="AF128" i="4"/>
  <c r="AF157" i="4"/>
  <c r="AF88" i="4"/>
  <c r="AF288" i="4"/>
  <c r="AF159" i="4"/>
  <c r="AF160" i="4"/>
  <c r="AF97" i="4"/>
  <c r="AF3" i="4"/>
  <c r="AF278" i="4"/>
  <c r="AF266" i="4"/>
  <c r="AF125" i="4"/>
  <c r="AF174" i="4"/>
  <c r="AF169" i="4"/>
  <c r="AF171" i="4"/>
  <c r="AF172" i="4"/>
  <c r="AF299" i="4"/>
  <c r="AF74" i="4"/>
  <c r="AF45" i="4"/>
  <c r="AF170" i="4"/>
  <c r="AF207" i="4"/>
  <c r="AF208" i="4"/>
  <c r="AF136" i="4"/>
  <c r="AF75" i="4"/>
  <c r="AF175" i="4"/>
  <c r="AF173" i="4"/>
  <c r="AF182" i="4"/>
  <c r="AF200" i="4"/>
  <c r="AF201" i="4"/>
  <c r="AF72" i="4"/>
  <c r="AF126" i="4"/>
  <c r="AF217" i="4"/>
  <c r="AF216" i="4"/>
  <c r="AF270" i="4"/>
  <c r="AF271" i="4"/>
  <c r="AF116" i="4"/>
  <c r="AF183" i="4"/>
  <c r="AF85" i="4"/>
  <c r="AF86" i="4"/>
  <c r="AF118" i="4"/>
  <c r="AF117" i="4"/>
  <c r="AF249" i="4"/>
  <c r="AF258" i="4"/>
  <c r="AF235" i="4"/>
  <c r="AF178" i="4"/>
  <c r="AF91" i="4"/>
  <c r="AF96" i="4"/>
  <c r="AF90" i="4"/>
  <c r="AF185" i="4"/>
  <c r="AF184" i="4"/>
  <c r="AF127" i="4"/>
  <c r="AF95" i="4"/>
  <c r="AF155" i="4"/>
  <c r="AF109" i="4"/>
  <c r="AF156" i="4"/>
  <c r="AF49" i="4"/>
  <c r="AF50" i="4"/>
  <c r="AF115" i="4"/>
  <c r="AF47" i="4"/>
  <c r="AF92" i="4"/>
  <c r="AF93" i="4"/>
  <c r="AF26" i="4"/>
  <c r="AF130" i="4"/>
  <c r="AF132" i="4"/>
  <c r="AF133" i="4"/>
  <c r="AF204" i="4"/>
  <c r="AF5" i="4"/>
  <c r="AF6" i="4"/>
  <c r="AF4" i="4"/>
  <c r="AF129" i="4"/>
  <c r="AF253" i="4"/>
  <c r="AF233" i="4"/>
  <c r="AF247" i="4"/>
  <c r="AF120" i="4"/>
  <c r="AF2" i="4"/>
  <c r="AF274" i="4"/>
  <c r="AF296" i="4"/>
  <c r="AF272" i="4"/>
  <c r="AF241" i="4"/>
  <c r="AF244" i="4"/>
  <c r="AF264" i="4"/>
  <c r="AF239" i="4"/>
  <c r="AF14" i="4"/>
  <c r="AF59" i="4"/>
  <c r="AF291" i="4"/>
  <c r="AF292" i="4"/>
  <c r="AF27" i="4"/>
  <c r="AF65" i="4"/>
  <c r="AF275" i="4"/>
  <c r="AF153" i="4"/>
  <c r="AF203" i="4"/>
  <c r="AF98" i="4"/>
  <c r="AF238" i="4"/>
  <c r="AF240" i="4"/>
  <c r="AF142" i="4"/>
  <c r="AF144" i="4"/>
  <c r="AF286" i="4"/>
  <c r="AF138" i="4"/>
  <c r="AF143" i="4"/>
  <c r="AF282" i="4"/>
  <c r="AF256" i="4"/>
  <c r="AF145" i="4"/>
  <c r="AF113" i="4"/>
  <c r="AF213" i="4"/>
  <c r="AF190" i="4"/>
  <c r="AF255" i="4"/>
  <c r="AF28" i="4"/>
  <c r="AF73" i="4"/>
  <c r="AF187" i="4"/>
  <c r="AF210" i="4"/>
  <c r="AF250" i="4"/>
  <c r="AF77" i="4"/>
  <c r="AF25" i="4"/>
  <c r="AF186" i="4"/>
  <c r="AF9" i="4"/>
  <c r="AF279" i="4"/>
  <c r="AF285" i="4"/>
  <c r="AF8" i="4"/>
  <c r="AF297" i="4"/>
  <c r="AF251" i="4"/>
  <c r="AF252" i="4"/>
  <c r="AF280" i="4"/>
  <c r="AF281" i="4"/>
  <c r="AF196" i="4"/>
  <c r="AF218" i="4"/>
  <c r="AF228" i="4"/>
  <c r="AF298" i="4"/>
  <c r="AF295" i="4"/>
  <c r="AF246" i="4"/>
  <c r="AF248" i="4"/>
  <c r="AF194" i="4"/>
  <c r="AF141" i="4"/>
  <c r="AF191" i="4"/>
  <c r="AF230" i="4"/>
  <c r="AF237" i="4"/>
  <c r="AF222" i="4"/>
  <c r="AF231" i="4"/>
  <c r="AF122" i="4"/>
  <c r="AF229" i="4"/>
  <c r="AF261" i="4"/>
  <c r="AF236" i="4"/>
  <c r="AF290" i="4"/>
  <c r="AF223" i="4"/>
  <c r="AF111" i="4"/>
  <c r="AF123" i="4"/>
  <c r="AF124" i="4"/>
  <c r="AF211" i="4"/>
  <c r="AF165" i="4"/>
  <c r="AF166" i="4"/>
  <c r="AF167" i="4"/>
  <c r="AF80" i="4"/>
  <c r="AF52" i="4"/>
  <c r="AF54" i="4"/>
  <c r="AF202" i="4"/>
  <c r="AF193" i="4"/>
  <c r="AF112" i="4"/>
  <c r="AF215" i="4"/>
  <c r="AF53" i="4"/>
  <c r="AF89" i="4"/>
  <c r="AF51" i="4"/>
  <c r="AF55" i="4"/>
  <c r="AF57" i="4"/>
  <c r="AF20" i="4"/>
  <c r="AF101" i="4"/>
  <c r="AF44" i="4"/>
  <c r="AF99" i="4"/>
  <c r="AF70" i="4"/>
  <c r="AF181" i="4"/>
  <c r="AF63" i="4"/>
  <c r="AF61" i="4"/>
  <c r="AF62" i="4"/>
  <c r="AF11" i="4"/>
  <c r="AF38" i="4"/>
  <c r="AF104" i="4"/>
  <c r="AF29" i="4"/>
  <c r="AF58" i="4"/>
  <c r="AF154" i="4"/>
  <c r="AF102" i="4"/>
  <c r="AF15" i="4"/>
  <c r="AF106" i="4"/>
  <c r="AF108" i="4"/>
  <c r="AF37" i="4"/>
  <c r="AF34" i="4"/>
  <c r="AF188" i="4"/>
  <c r="AF24" i="4"/>
  <c r="AF220" i="4"/>
  <c r="AF212" i="4"/>
  <c r="AF195" i="4"/>
  <c r="AF209" i="4"/>
  <c r="AF7" i="4"/>
  <c r="AF179" i="4"/>
  <c r="AF192" i="4"/>
  <c r="AF189" i="4"/>
  <c r="AF69" i="4"/>
  <c r="AF56" i="4"/>
  <c r="AF60" i="4"/>
  <c r="AF131" i="4"/>
  <c r="AF265" i="4"/>
  <c r="AF199" i="4"/>
  <c r="AF219" i="4"/>
  <c r="AF168" i="4"/>
  <c r="AF21" i="4"/>
  <c r="AF43" i="4"/>
  <c r="AF150" i="4"/>
  <c r="AF180" i="4"/>
  <c r="AF121" i="4"/>
  <c r="AF10" i="4"/>
  <c r="AF260" i="4"/>
  <c r="AF13" i="4"/>
  <c r="AF107" i="4"/>
  <c r="AF221" i="4"/>
  <c r="AF254" i="4"/>
  <c r="AF23" i="4"/>
  <c r="AF206" i="4"/>
  <c r="AF71" i="4"/>
  <c r="AF79" i="4"/>
  <c r="AF205" i="4"/>
  <c r="AF31" i="4"/>
  <c r="AF148" i="4"/>
  <c r="AF146" i="4"/>
  <c r="AF147" i="4"/>
  <c r="AF42" i="4"/>
  <c r="AF224" i="4"/>
  <c r="AF225" i="4"/>
  <c r="AF78" i="4"/>
  <c r="AF227" i="4"/>
  <c r="AF18" i="4"/>
  <c r="AF287" i="4"/>
  <c r="AF114" i="4"/>
  <c r="AF294" i="4"/>
  <c r="AF12" i="4"/>
  <c r="AF19" i="4"/>
  <c r="AF162" i="4"/>
  <c r="AF48" i="4"/>
  <c r="AF276" i="4"/>
  <c r="AF149" i="4"/>
  <c r="AF163" i="4"/>
  <c r="AF164" i="4"/>
  <c r="AF161" i="4"/>
  <c r="AF198" i="4"/>
  <c r="AF82" i="4"/>
  <c r="AF83" i="4"/>
  <c r="AF84" i="4"/>
  <c r="AF68" i="4"/>
  <c r="AF87" i="4"/>
  <c r="AF100" i="4"/>
  <c r="AF17" i="4"/>
  <c r="AF242" i="4"/>
  <c r="AF273" i="4"/>
  <c r="AF105" i="4"/>
  <c r="AF64" i="4"/>
  <c r="AF176" i="4"/>
  <c r="AF139" i="4"/>
  <c r="AF140" i="4"/>
  <c r="AF177" i="4"/>
  <c r="AF137" i="4"/>
  <c r="AF16" i="4"/>
  <c r="AF293" i="4"/>
  <c r="AF197" i="4"/>
  <c r="AF234" i="4"/>
  <c r="AF259" i="4"/>
  <c r="AF40" i="4"/>
  <c r="AF39" i="4"/>
  <c r="AF103" i="4"/>
  <c r="AF32" i="4"/>
  <c r="AF33" i="4"/>
  <c r="AF36" i="4"/>
  <c r="AF46" i="4"/>
  <c r="AF35" i="4"/>
  <c r="AF277" i="4"/>
  <c r="AF94" i="4"/>
  <c r="AF119" i="4"/>
  <c r="AF226" i="4"/>
  <c r="AF245" i="4"/>
  <c r="AF267" i="4"/>
  <c r="AF110" i="4"/>
  <c r="AF152" i="4"/>
  <c r="AF158" i="4"/>
  <c r="AF41" i="4"/>
  <c r="AF257" i="4"/>
  <c r="AF30" i="4"/>
  <c r="AF81" i="4"/>
  <c r="AF76" i="4"/>
  <c r="AF22" i="4"/>
  <c r="AF268" i="4"/>
  <c r="AF134" i="4"/>
  <c r="AF135" i="4"/>
  <c r="AF243" i="4"/>
  <c r="AF269" i="4"/>
  <c r="AF66" i="4"/>
  <c r="AF284" i="4"/>
  <c r="AF214" i="4"/>
  <c r="AF304" i="4"/>
  <c r="AF308" i="4"/>
  <c r="AF305" i="4"/>
  <c r="AF306" i="4"/>
  <c r="AF301" i="4"/>
  <c r="AF302" i="4"/>
  <c r="AF300" i="4"/>
  <c r="AF303" i="4"/>
  <c r="AF311" i="4"/>
  <c r="AF312" i="4"/>
  <c r="AF313" i="4"/>
  <c r="AF309" i="4"/>
  <c r="AF315" i="4"/>
  <c r="AF307" i="4"/>
  <c r="AF314" i="4"/>
  <c r="AF342" i="4"/>
  <c r="AF336" i="4"/>
  <c r="AF337" i="4"/>
  <c r="AF334" i="4"/>
  <c r="AF332" i="4"/>
  <c r="AF333" i="4"/>
  <c r="AF319" i="4"/>
  <c r="AF327" i="4"/>
  <c r="AF328" i="4"/>
  <c r="AF329" i="4"/>
  <c r="AF330" i="4"/>
  <c r="AF316" i="4"/>
  <c r="AF335" i="4"/>
  <c r="AF331" i="4"/>
  <c r="AF343" i="4"/>
  <c r="AF324" i="4"/>
  <c r="AF323" i="4"/>
  <c r="AF326" i="4"/>
  <c r="AF318" i="4"/>
  <c r="AF325" i="4"/>
  <c r="AF347" i="4"/>
  <c r="AF339" i="4"/>
  <c r="AF340" i="4"/>
  <c r="AF338" i="4"/>
  <c r="AF317" i="4"/>
  <c r="AF341" i="4"/>
  <c r="AF320" i="4"/>
  <c r="AF321" i="4"/>
  <c r="AF322" i="4"/>
  <c r="AF348" i="4"/>
  <c r="AF346" i="4"/>
  <c r="AF344" i="4"/>
  <c r="AF345" i="4"/>
  <c r="AF362" i="4"/>
  <c r="AF363" i="4"/>
  <c r="AF369" i="4"/>
  <c r="AF364" i="4"/>
  <c r="AF370" i="4"/>
  <c r="AF361" i="4"/>
  <c r="AF358" i="4"/>
  <c r="AF352" i="4"/>
  <c r="AF356" i="4"/>
  <c r="AF351" i="4"/>
  <c r="AF359" i="4"/>
  <c r="AF360" i="4"/>
  <c r="AF365" i="4"/>
  <c r="AF366" i="4"/>
  <c r="AF367" i="4"/>
  <c r="AF368" i="4"/>
  <c r="AF357" i="4"/>
  <c r="AF353" i="4"/>
  <c r="AF354" i="4"/>
  <c r="AF355" i="4"/>
  <c r="AF349" i="4"/>
  <c r="AF350" i="4"/>
  <c r="AF372" i="4"/>
  <c r="AF378" i="4"/>
  <c r="AF379" i="4"/>
  <c r="AF380" i="4"/>
  <c r="AF374" i="4"/>
  <c r="AF371" i="4"/>
  <c r="AF377" i="4"/>
  <c r="AF375" i="4"/>
  <c r="AF376" i="4"/>
  <c r="AF373" i="4"/>
  <c r="AF382" i="4"/>
  <c r="AF388" i="4"/>
  <c r="AF385" i="4"/>
  <c r="AF387" i="4"/>
  <c r="AF384" i="4"/>
  <c r="AF386" i="4"/>
  <c r="AF392" i="4"/>
  <c r="AF397" i="4"/>
  <c r="AF410" i="4"/>
  <c r="AF399" i="4"/>
  <c r="AF400" i="4"/>
  <c r="AF401" i="4"/>
  <c r="AF402" i="4"/>
  <c r="AF405" i="4"/>
  <c r="AF406" i="4"/>
  <c r="AF407" i="4"/>
  <c r="AF409" i="4"/>
  <c r="AF389" i="4"/>
  <c r="AF391" i="4"/>
  <c r="AF398" i="4"/>
  <c r="AF390" i="4"/>
  <c r="AF393" i="4"/>
  <c r="AF394" i="4"/>
  <c r="AF395" i="4"/>
  <c r="AF404" i="4"/>
  <c r="AF396" i="4"/>
  <c r="AF408" i="4"/>
  <c r="AF411" i="4"/>
  <c r="AF412" i="4"/>
  <c r="AF413" i="4"/>
  <c r="AF403" i="4"/>
  <c r="AF289" i="4"/>
  <c r="AE245" i="4"/>
  <c r="BC118" i="5"/>
  <c r="B8" i="3"/>
  <c r="C8" i="3"/>
  <c r="E8" i="3"/>
  <c r="B9" i="3"/>
  <c r="C9" i="3"/>
  <c r="E9" i="3"/>
  <c r="I9" i="3"/>
  <c r="J9" i="3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2" i="6"/>
  <c r="D228" i="6"/>
  <c r="D229" i="6"/>
  <c r="D230" i="6"/>
  <c r="D298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1" i="6"/>
  <c r="D236" i="6"/>
  <c r="D220" i="6"/>
  <c r="D202" i="6"/>
  <c r="D204" i="6"/>
  <c r="D226" i="6"/>
  <c r="D281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6" i="6"/>
  <c r="D215" i="6"/>
  <c r="D264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2" i="6"/>
  <c r="D237" i="6"/>
  <c r="D238" i="6"/>
  <c r="D280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9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8" i="6"/>
  <c r="D35" i="6"/>
  <c r="D290" i="6"/>
  <c r="D270" i="6"/>
  <c r="D271" i="6"/>
  <c r="D63" i="6"/>
  <c r="D60" i="6"/>
  <c r="D61" i="6"/>
  <c r="D15" i="6"/>
  <c r="D36" i="6"/>
  <c r="D130" i="6"/>
  <c r="D272" i="6"/>
  <c r="D13" i="6"/>
  <c r="D235" i="6"/>
  <c r="D161" i="6"/>
  <c r="D275" i="6"/>
  <c r="D255" i="6"/>
  <c r="D256" i="6"/>
  <c r="D227" i="6"/>
  <c r="D151" i="6"/>
  <c r="D269" i="6"/>
  <c r="D122" i="6"/>
  <c r="D182" i="6"/>
  <c r="D133" i="6"/>
  <c r="D263" i="6"/>
  <c r="D27" i="6"/>
  <c r="D28" i="6"/>
  <c r="D29" i="6"/>
  <c r="D30" i="6"/>
  <c r="D283" i="6"/>
  <c r="D284" i="6"/>
  <c r="D74" i="6"/>
  <c r="D285" i="6"/>
  <c r="D75" i="6"/>
  <c r="D76" i="6"/>
  <c r="D135" i="6"/>
  <c r="D286" i="6"/>
  <c r="D119" i="6"/>
  <c r="D78" i="6"/>
  <c r="D136" i="6"/>
  <c r="D137" i="6"/>
  <c r="D138" i="6"/>
  <c r="D243" i="6"/>
  <c r="D287" i="6"/>
  <c r="D288" i="6"/>
  <c r="D34" i="6"/>
  <c r="D152" i="6"/>
  <c r="D156" i="6"/>
  <c r="D163" i="6"/>
  <c r="D169" i="6"/>
  <c r="D170" i="6"/>
  <c r="D180" i="6"/>
  <c r="D231" i="6"/>
  <c r="D291" i="6"/>
  <c r="D292" i="6"/>
  <c r="D293" i="6"/>
  <c r="D294" i="6"/>
  <c r="D295" i="6"/>
  <c r="D296" i="6"/>
  <c r="D277" i="6"/>
  <c r="D252" i="6"/>
  <c r="D129" i="6"/>
  <c r="D274" i="6"/>
  <c r="D254" i="6"/>
  <c r="D278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7" i="6"/>
  <c r="D210" i="6"/>
  <c r="D46" i="6"/>
  <c r="D199" i="6"/>
  <c r="D58" i="6"/>
  <c r="D250" i="6"/>
  <c r="D81" i="6"/>
  <c r="D265" i="6"/>
  <c r="D162" i="6"/>
  <c r="D289" i="6"/>
  <c r="D82" i="6"/>
  <c r="D187" i="6"/>
  <c r="D191" i="6"/>
  <c r="D266" i="6"/>
  <c r="D267" i="6"/>
  <c r="D16" i="6"/>
  <c r="D18" i="6"/>
  <c r="D19" i="6"/>
  <c r="D20" i="6"/>
  <c r="D102" i="6"/>
  <c r="D8" i="6"/>
  <c r="D142" i="6"/>
  <c r="D176" i="6"/>
  <c r="D73" i="6"/>
  <c r="D273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5" i="6"/>
  <c r="D306" i="6"/>
  <c r="D307" i="6"/>
  <c r="D308" i="6"/>
  <c r="D301" i="6"/>
  <c r="D302" i="6"/>
  <c r="D303" i="6"/>
  <c r="D314" i="6"/>
  <c r="D300" i="6"/>
  <c r="D304" i="6"/>
  <c r="D313" i="6"/>
  <c r="D309" i="6"/>
  <c r="D310" i="6"/>
  <c r="D311" i="6"/>
  <c r="D312" i="6"/>
  <c r="D328" i="6"/>
  <c r="D329" i="6"/>
  <c r="D330" i="6"/>
  <c r="D316" i="6"/>
  <c r="D317" i="6"/>
  <c r="D318" i="6"/>
  <c r="D321" i="6"/>
  <c r="D326" i="6"/>
  <c r="D348" i="6"/>
  <c r="D327" i="6"/>
  <c r="D331" i="6"/>
  <c r="D343" i="6"/>
  <c r="D344" i="6"/>
  <c r="D319" i="6"/>
  <c r="D320" i="6"/>
  <c r="D322" i="6"/>
  <c r="D323" i="6"/>
  <c r="D324" i="6"/>
  <c r="D325" i="6"/>
  <c r="D332" i="6"/>
  <c r="D333" i="6"/>
  <c r="D334" i="6"/>
  <c r="D335" i="6"/>
  <c r="D336" i="6"/>
  <c r="D337" i="6"/>
  <c r="D338" i="6"/>
  <c r="D339" i="6"/>
  <c r="D340" i="6"/>
  <c r="D341" i="6"/>
  <c r="D342" i="6"/>
  <c r="D347" i="6"/>
  <c r="D345" i="6"/>
  <c r="D346" i="6"/>
  <c r="D351" i="6"/>
  <c r="D353" i="6"/>
  <c r="D355" i="6"/>
  <c r="D358" i="6"/>
  <c r="D362" i="6"/>
  <c r="D356" i="6"/>
  <c r="D359" i="6"/>
  <c r="D361" i="6"/>
  <c r="D352" i="6"/>
  <c r="D366" i="6"/>
  <c r="D367" i="6"/>
  <c r="D349" i="6"/>
  <c r="D363" i="6"/>
  <c r="D350" i="6"/>
  <c r="D368" i="6"/>
  <c r="D354" i="6"/>
  <c r="D357" i="6"/>
  <c r="D364" i="6"/>
  <c r="D365" i="6"/>
  <c r="D369" i="6"/>
  <c r="D370" i="6"/>
  <c r="D360" i="6"/>
  <c r="D376" i="6"/>
  <c r="D379" i="6"/>
  <c r="D371" i="6"/>
  <c r="D372" i="6"/>
  <c r="D373" i="6"/>
  <c r="D374" i="6"/>
  <c r="D375" i="6"/>
  <c r="D377" i="6"/>
  <c r="D378" i="6"/>
  <c r="D380" i="6"/>
  <c r="D381" i="6"/>
  <c r="D385" i="6"/>
  <c r="D384" i="6"/>
  <c r="D388" i="6"/>
  <c r="D387" i="6"/>
  <c r="D386" i="6"/>
  <c r="D393" i="6"/>
  <c r="D394" i="6"/>
  <c r="D395" i="6"/>
  <c r="D396" i="6"/>
  <c r="D400" i="6"/>
  <c r="D401" i="6"/>
  <c r="D402" i="6"/>
  <c r="D403" i="6"/>
  <c r="D399" i="6"/>
  <c r="D389" i="6"/>
  <c r="D391" i="6"/>
  <c r="D405" i="6"/>
  <c r="D404" i="6"/>
  <c r="D397" i="6"/>
  <c r="D398" i="6"/>
  <c r="D407" i="6"/>
  <c r="D412" i="6"/>
  <c r="D390" i="6"/>
  <c r="D411" i="6"/>
  <c r="D413" i="6"/>
  <c r="D406" i="6"/>
  <c r="D409" i="6"/>
  <c r="D392" i="6"/>
  <c r="D408" i="6"/>
  <c r="D410" i="6"/>
  <c r="D22" i="6"/>
  <c r="A171" i="8"/>
  <c r="C171" i="8"/>
  <c r="AZ176" i="1"/>
  <c r="BC176" i="1"/>
  <c r="AZ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K176" i="4"/>
  <c r="K139" i="4"/>
  <c r="K140" i="4"/>
  <c r="K177" i="4"/>
  <c r="K137" i="4"/>
  <c r="K47" i="4"/>
  <c r="K115" i="4"/>
  <c r="AL26" i="4"/>
  <c r="AL289" i="4"/>
  <c r="AL130" i="4"/>
  <c r="AL132" i="4"/>
  <c r="AL133" i="4"/>
  <c r="AL204" i="4"/>
  <c r="AL5" i="4"/>
  <c r="AL6" i="4"/>
  <c r="AL129" i="4"/>
  <c r="AL253" i="4"/>
  <c r="AL278" i="4"/>
  <c r="AL128" i="4"/>
  <c r="AL233" i="4"/>
  <c r="AL266" i="4"/>
  <c r="AL247" i="4"/>
  <c r="AL270" i="4"/>
  <c r="AL151" i="4"/>
  <c r="AL120" i="4"/>
  <c r="AL2" i="4"/>
  <c r="AL242" i="4"/>
  <c r="AL274" i="4"/>
  <c r="AL296" i="4"/>
  <c r="AL267" i="4"/>
  <c r="AL272" i="4"/>
  <c r="AL273" i="4"/>
  <c r="AL271" i="4"/>
  <c r="AL241" i="4"/>
  <c r="AL268" i="4"/>
  <c r="AL105" i="4"/>
  <c r="AL269" i="4"/>
  <c r="AL291" i="4"/>
  <c r="AL292" i="4"/>
  <c r="AL116" i="4"/>
  <c r="AL183" i="4"/>
  <c r="AL134" i="4"/>
  <c r="AL27" i="4"/>
  <c r="AL85" i="4"/>
  <c r="AL86" i="4"/>
  <c r="AL115" i="4"/>
  <c r="AL65" i="4"/>
  <c r="AL118" i="4"/>
  <c r="AL275" i="4"/>
  <c r="AL153" i="4"/>
  <c r="AL203" i="4"/>
  <c r="AL98" i="4"/>
  <c r="AL110" i="4"/>
  <c r="AL64" i="4"/>
  <c r="AL238" i="4"/>
  <c r="AL240" i="4"/>
  <c r="AL176" i="4"/>
  <c r="AL139" i="4"/>
  <c r="AL140" i="4"/>
  <c r="AL142" i="4"/>
  <c r="AL144" i="4"/>
  <c r="AL125" i="4"/>
  <c r="AL286" i="4"/>
  <c r="AL135" i="4"/>
  <c r="AL177" i="4"/>
  <c r="AL138" i="4"/>
  <c r="AL143" i="4"/>
  <c r="AL282" i="4"/>
  <c r="AL256" i="4"/>
  <c r="AL145" i="4"/>
  <c r="AL137" i="4"/>
  <c r="AL117" i="4"/>
  <c r="AL113" i="4"/>
  <c r="AL243" i="4"/>
  <c r="AL213" i="4"/>
  <c r="AL190" i="4"/>
  <c r="AL249" i="4"/>
  <c r="AL258" i="4"/>
  <c r="AL255" i="4"/>
  <c r="AL187" i="4"/>
  <c r="AL210" i="4"/>
  <c r="AL250" i="4"/>
  <c r="AL77" i="4"/>
  <c r="AL25" i="4"/>
  <c r="AL186" i="4"/>
  <c r="AL9" i="4"/>
  <c r="AL16" i="4"/>
  <c r="AL279" i="4"/>
  <c r="AL285" i="4"/>
  <c r="AL8" i="4"/>
  <c r="AL297" i="4"/>
  <c r="AL251" i="4"/>
  <c r="AL252" i="4"/>
  <c r="AL280" i="4"/>
  <c r="AL281" i="4"/>
  <c r="AL196" i="4"/>
  <c r="AL218" i="4"/>
  <c r="AL228" i="4"/>
  <c r="AL293" i="4"/>
  <c r="AL298" i="4"/>
  <c r="AL197" i="4"/>
  <c r="AL295" i="4"/>
  <c r="AL246" i="4"/>
  <c r="AL248" i="4"/>
  <c r="AL194" i="4"/>
  <c r="AL141" i="4"/>
  <c r="AL234" i="4"/>
  <c r="AL235" i="4"/>
  <c r="AL191" i="4"/>
  <c r="AL230" i="4"/>
  <c r="AL178" i="4"/>
  <c r="AL237" i="4"/>
  <c r="AL222" i="4"/>
  <c r="AL231" i="4"/>
  <c r="AL122" i="4"/>
  <c r="AL229" i="4"/>
  <c r="AL259" i="4"/>
  <c r="AL261" i="4"/>
  <c r="AL236" i="4"/>
  <c r="AL290" i="4"/>
  <c r="AL223" i="4"/>
  <c r="AL111" i="4"/>
  <c r="AL123" i="4"/>
  <c r="AL91" i="4"/>
  <c r="AL92" i="4"/>
  <c r="AL93" i="4"/>
  <c r="AL96" i="4"/>
  <c r="AL152" i="4"/>
  <c r="AL158" i="4"/>
  <c r="AL124" i="4"/>
  <c r="AL211" i="4"/>
  <c r="AL165" i="4"/>
  <c r="AL166" i="4"/>
  <c r="AL167" i="4"/>
  <c r="AL174" i="4"/>
  <c r="AL80" i="4"/>
  <c r="AL169" i="4"/>
  <c r="AL171" i="4"/>
  <c r="AL172" i="4"/>
  <c r="AL299" i="4"/>
  <c r="AL74" i="4"/>
  <c r="AL45" i="4"/>
  <c r="AL170" i="4"/>
  <c r="AL88" i="4"/>
  <c r="AL90" i="4"/>
  <c r="AL52" i="4"/>
  <c r="AL54" i="4"/>
  <c r="AL202" i="4"/>
  <c r="AL193" i="4"/>
  <c r="AL112" i="4"/>
  <c r="AL207" i="4"/>
  <c r="AL208" i="4"/>
  <c r="AL215" i="4"/>
  <c r="AL284" i="4"/>
  <c r="AL53" i="4"/>
  <c r="AL89" i="4"/>
  <c r="AL51" i="4"/>
  <c r="AL55" i="4"/>
  <c r="AL57" i="4"/>
  <c r="AL20" i="4"/>
  <c r="AL136" i="4"/>
  <c r="AL101" i="4"/>
  <c r="AL44" i="4"/>
  <c r="AL159" i="4"/>
  <c r="AL40" i="4"/>
  <c r="AL99" i="4"/>
  <c r="AL217" i="4"/>
  <c r="AL70" i="4"/>
  <c r="AL185" i="4"/>
  <c r="AL39" i="4"/>
  <c r="AL216" i="4"/>
  <c r="AL181" i="4"/>
  <c r="AL63" i="4"/>
  <c r="AL61" i="4"/>
  <c r="AL62" i="4"/>
  <c r="AL11" i="4"/>
  <c r="AL38" i="4"/>
  <c r="AL75" i="4"/>
  <c r="AL104" i="4"/>
  <c r="AL103" i="4"/>
  <c r="AL29" i="4"/>
  <c r="AL58" i="4"/>
  <c r="AL154" i="4"/>
  <c r="AL102" i="4"/>
  <c r="AL175" i="4"/>
  <c r="AL32" i="4"/>
  <c r="AL15" i="4"/>
  <c r="AL41" i="4"/>
  <c r="AL106" i="4"/>
  <c r="AL33" i="4"/>
  <c r="AL36" i="4"/>
  <c r="AL108" i="4"/>
  <c r="AL46" i="4"/>
  <c r="AL37" i="4"/>
  <c r="AL34" i="4"/>
  <c r="AL277" i="4"/>
  <c r="AL188" i="4"/>
  <c r="AL24" i="4"/>
  <c r="AL220" i="4"/>
  <c r="AL212" i="4"/>
  <c r="AL257" i="4"/>
  <c r="AL195" i="4"/>
  <c r="AL209" i="4"/>
  <c r="AL184" i="4"/>
  <c r="AL7" i="4"/>
  <c r="AL179" i="4"/>
  <c r="AL192" i="4"/>
  <c r="AL189" i="4"/>
  <c r="AL127" i="4"/>
  <c r="AL69" i="4"/>
  <c r="AL56" i="4"/>
  <c r="AL60" i="4"/>
  <c r="AL131" i="4"/>
  <c r="AL265" i="4"/>
  <c r="AL199" i="4"/>
  <c r="AL219" i="4"/>
  <c r="AL168" i="4"/>
  <c r="AL21" i="4"/>
  <c r="AL43" i="4"/>
  <c r="AL150" i="4"/>
  <c r="AL180" i="4"/>
  <c r="AL121" i="4"/>
  <c r="AL10" i="4"/>
  <c r="AL260" i="4"/>
  <c r="AL95" i="4"/>
  <c r="AL160" i="4"/>
  <c r="AL13" i="4"/>
  <c r="AL107" i="4"/>
  <c r="AL23" i="4"/>
  <c r="AL155" i="4"/>
  <c r="AL206" i="4"/>
  <c r="AL182" i="4"/>
  <c r="AL94" i="4"/>
  <c r="AL71" i="4"/>
  <c r="AL79" i="4"/>
  <c r="AL205" i="4"/>
  <c r="AL31" i="4"/>
  <c r="AL148" i="4"/>
  <c r="AL146" i="4"/>
  <c r="AL147" i="4"/>
  <c r="AL119" i="4"/>
  <c r="AL109" i="4"/>
  <c r="AL66" i="4"/>
  <c r="AL200" i="4"/>
  <c r="AL201" i="4"/>
  <c r="AL42" i="4"/>
  <c r="AL157" i="4"/>
  <c r="AL224" i="4"/>
  <c r="AL225" i="4"/>
  <c r="AL226" i="4"/>
  <c r="AL78" i="4"/>
  <c r="AL227" i="4"/>
  <c r="AL72" i="4"/>
  <c r="AL3" i="4"/>
  <c r="AL18" i="4"/>
  <c r="AL287" i="4"/>
  <c r="AL114" i="4"/>
  <c r="AL214" i="4"/>
  <c r="AL294" i="4"/>
  <c r="AL12" i="4"/>
  <c r="AL19" i="4"/>
  <c r="AL76" i="4"/>
  <c r="AL162" i="4"/>
  <c r="AL48" i="4"/>
  <c r="AL276" i="4"/>
  <c r="AL149" i="4"/>
  <c r="AL163" i="4"/>
  <c r="AL164" i="4"/>
  <c r="AL161" i="4"/>
  <c r="AL198" i="4"/>
  <c r="AL82" i="4"/>
  <c r="AL83" i="4"/>
  <c r="AL84" i="4"/>
  <c r="AL68" i="4"/>
  <c r="AL87" i="4"/>
  <c r="AL100" i="4"/>
  <c r="AL49" i="4"/>
  <c r="AL50" i="4"/>
  <c r="AL126" i="4"/>
  <c r="AL22" i="4"/>
  <c r="AL17" i="4"/>
  <c r="AL308" i="4"/>
  <c r="AL307" i="4"/>
  <c r="AL305" i="4"/>
  <c r="AL306" i="4"/>
  <c r="AL301" i="4"/>
  <c r="AL302" i="4"/>
  <c r="AL300" i="4"/>
  <c r="AL303" i="4"/>
  <c r="AL304" i="4"/>
  <c r="AL311" i="4"/>
  <c r="AL312" i="4"/>
  <c r="AL313" i="4"/>
  <c r="AL314" i="4"/>
  <c r="AL309" i="4"/>
  <c r="AL315" i="4"/>
  <c r="AL334" i="4"/>
  <c r="AL332" i="4"/>
  <c r="AL333" i="4"/>
  <c r="AL342" i="4"/>
  <c r="AL319" i="4"/>
  <c r="AL320" i="4"/>
  <c r="AL321" i="4"/>
  <c r="AL322" i="4"/>
  <c r="AL348" i="4"/>
  <c r="AL327" i="4"/>
  <c r="AL328" i="4"/>
  <c r="AL329" i="4"/>
  <c r="AL330" i="4"/>
  <c r="AL316" i="4"/>
  <c r="AL336" i="4"/>
  <c r="AL337" i="4"/>
  <c r="AL343" i="4"/>
  <c r="AL335" i="4"/>
  <c r="AL324" i="4"/>
  <c r="AL323" i="4"/>
  <c r="AL326" i="4"/>
  <c r="AL331" i="4"/>
  <c r="AL318" i="4"/>
  <c r="AL346" i="4"/>
  <c r="AL344" i="4"/>
  <c r="AL345" i="4"/>
  <c r="AL325" i="4"/>
  <c r="AL339" i="4"/>
  <c r="AL340" i="4"/>
  <c r="AL338" i="4"/>
  <c r="AL317" i="4"/>
  <c r="AL341" i="4"/>
  <c r="AL347" i="4"/>
  <c r="AL352" i="4"/>
  <c r="AL351" i="4"/>
  <c r="AL362" i="4"/>
  <c r="AL363" i="4"/>
  <c r="AL349" i="4"/>
  <c r="AL359" i="4"/>
  <c r="AL360" i="4"/>
  <c r="AL365" i="4"/>
  <c r="AL350" i="4"/>
  <c r="AL366" i="4"/>
  <c r="AL367" i="4"/>
  <c r="AL368" i="4"/>
  <c r="AL353" i="4"/>
  <c r="AL354" i="4"/>
  <c r="AL355" i="4"/>
  <c r="AL369" i="4"/>
  <c r="AL364" i="4"/>
  <c r="AL370" i="4"/>
  <c r="AL361" i="4"/>
  <c r="AL356" i="4"/>
  <c r="AL357" i="4"/>
  <c r="AL358" i="4"/>
  <c r="AL372" i="4"/>
  <c r="AL378" i="4"/>
  <c r="AL379" i="4"/>
  <c r="AL380" i="4"/>
  <c r="AL374" i="4"/>
  <c r="AL371" i="4"/>
  <c r="AL377" i="4"/>
  <c r="AL382" i="4"/>
  <c r="AL375" i="4"/>
  <c r="AL376" i="4"/>
  <c r="AL373" i="4"/>
  <c r="AL385" i="4"/>
  <c r="AL387" i="4"/>
  <c r="AL388" i="4"/>
  <c r="AL386" i="4"/>
  <c r="AL384" i="4"/>
  <c r="AL392" i="4"/>
  <c r="AL397" i="4"/>
  <c r="AL410" i="4"/>
  <c r="AL399" i="4"/>
  <c r="AL400" i="4"/>
  <c r="AL401" i="4"/>
  <c r="AL402" i="4"/>
  <c r="AL405" i="4"/>
  <c r="AL406" i="4"/>
  <c r="AL407" i="4"/>
  <c r="AL409" i="4"/>
  <c r="AL389" i="4"/>
  <c r="AL391" i="4"/>
  <c r="AL398" i="4"/>
  <c r="AL390" i="4"/>
  <c r="AL393" i="4"/>
  <c r="AL394" i="4"/>
  <c r="AL395" i="4"/>
  <c r="AL404" i="4"/>
  <c r="AL396" i="4"/>
  <c r="AL408" i="4"/>
  <c r="AL411" i="4"/>
  <c r="AL412" i="4"/>
  <c r="AL413" i="4"/>
  <c r="AL403" i="4"/>
  <c r="AL4" i="4"/>
  <c r="AL244" i="4"/>
  <c r="AL264" i="4"/>
  <c r="AL239" i="4"/>
  <c r="AL14" i="4"/>
  <c r="AL59" i="4"/>
  <c r="AL288" i="4"/>
  <c r="AL28" i="4"/>
  <c r="AL47" i="4"/>
  <c r="AL73" i="4"/>
  <c r="AL221" i="4"/>
  <c r="AL254" i="4"/>
  <c r="AL173" i="4"/>
  <c r="AL30" i="4"/>
  <c r="AL97" i="4"/>
  <c r="AL81" i="4"/>
  <c r="AL156" i="4"/>
  <c r="AL245" i="4"/>
  <c r="F64" i="4"/>
  <c r="F65" i="4"/>
  <c r="E65" i="4"/>
  <c r="E64" i="4"/>
  <c r="M64" i="4"/>
  <c r="AA21" i="2"/>
  <c r="AD21" i="2"/>
  <c r="AE21" i="2"/>
  <c r="AF21" i="2"/>
  <c r="AG21" i="2"/>
  <c r="AH21" i="2"/>
  <c r="AI21" i="2"/>
  <c r="AK21" i="2"/>
  <c r="AL21" i="2"/>
  <c r="AM21" i="2"/>
  <c r="AZ186" i="1"/>
  <c r="BC186" i="1"/>
  <c r="AZ187" i="1"/>
  <c r="BC187" i="1"/>
  <c r="BC281" i="1"/>
  <c r="AZ272" i="1"/>
  <c r="BC272" i="1"/>
  <c r="AZ271" i="1"/>
  <c r="BC271" i="1"/>
  <c r="AZ109" i="1"/>
  <c r="AZ419" i="1"/>
  <c r="BC419" i="1"/>
  <c r="BB419" i="1"/>
  <c r="AZ418" i="1"/>
  <c r="BC418" i="1"/>
  <c r="BB418" i="1"/>
  <c r="AZ254" i="1"/>
  <c r="BC254" i="1"/>
  <c r="AZ253" i="1"/>
  <c r="BC253" i="1"/>
  <c r="AZ43" i="1"/>
  <c r="BC43" i="1"/>
  <c r="AZ42" i="1"/>
  <c r="BC42" i="1"/>
  <c r="AZ41" i="1"/>
  <c r="BC41" i="1"/>
  <c r="AZ40" i="1"/>
  <c r="BC40" i="1"/>
  <c r="BC39" i="1"/>
  <c r="AZ131" i="1"/>
  <c r="BC131" i="1"/>
  <c r="AZ130" i="1"/>
  <c r="BC130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74" i="1"/>
  <c r="AZ75" i="1"/>
  <c r="AZ77" i="1"/>
  <c r="AZ78" i="1"/>
  <c r="AZ79" i="1"/>
  <c r="AZ80" i="1"/>
  <c r="AZ87" i="1"/>
  <c r="AZ88" i="1"/>
  <c r="AZ89" i="1"/>
  <c r="AZ91" i="1"/>
  <c r="AZ92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16" i="1"/>
  <c r="AZ117" i="1"/>
  <c r="AZ118" i="1"/>
  <c r="AZ119" i="1"/>
  <c r="AZ120" i="1"/>
  <c r="AZ121" i="1"/>
  <c r="AZ122" i="1"/>
  <c r="AZ123" i="1"/>
  <c r="AZ124" i="1"/>
  <c r="AZ126" i="1"/>
  <c r="AZ127" i="1"/>
  <c r="AZ128" i="1"/>
  <c r="AZ129" i="1"/>
  <c r="AZ145" i="1"/>
  <c r="AZ146" i="1"/>
  <c r="AZ147" i="1"/>
  <c r="AZ148" i="1"/>
  <c r="AZ166" i="1"/>
  <c r="AZ167" i="1"/>
  <c r="AZ195" i="1"/>
  <c r="AZ196" i="1"/>
  <c r="AZ197" i="1"/>
  <c r="AZ198" i="1"/>
  <c r="AZ201" i="1"/>
  <c r="AZ202" i="1"/>
  <c r="AZ206" i="1"/>
  <c r="AZ207" i="1"/>
  <c r="AZ208" i="1"/>
  <c r="AZ214" i="1"/>
  <c r="AZ215" i="1"/>
  <c r="AZ219" i="1"/>
  <c r="AZ220" i="1"/>
  <c r="AZ221" i="1"/>
  <c r="AZ222" i="1"/>
  <c r="AZ223" i="1"/>
  <c r="AZ224" i="1"/>
  <c r="AZ250" i="1"/>
  <c r="AZ251" i="1"/>
  <c r="AZ252" i="1"/>
  <c r="AZ256" i="1"/>
  <c r="AZ257" i="1"/>
  <c r="AZ258" i="1"/>
  <c r="AZ259" i="1"/>
  <c r="AZ260" i="1"/>
  <c r="AZ261" i="1"/>
  <c r="AZ262" i="1"/>
  <c r="AZ264" i="1"/>
  <c r="AZ265" i="1"/>
  <c r="AZ266" i="1"/>
  <c r="AZ269" i="1"/>
  <c r="AZ270" i="1"/>
  <c r="AZ273" i="1"/>
  <c r="AZ274" i="1"/>
  <c r="AZ275" i="1"/>
  <c r="AZ299" i="1"/>
  <c r="AZ300" i="1"/>
  <c r="AZ304" i="1"/>
  <c r="AZ305" i="1"/>
  <c r="AZ306" i="1"/>
  <c r="AZ307" i="1"/>
  <c r="AZ308" i="1"/>
  <c r="AZ320" i="1"/>
  <c r="AZ321" i="1"/>
  <c r="AZ325" i="1"/>
  <c r="AZ326" i="1"/>
  <c r="AZ327" i="1"/>
  <c r="AZ328" i="1"/>
  <c r="AZ329" i="1"/>
  <c r="AZ330" i="1"/>
  <c r="AZ331" i="1"/>
  <c r="AZ332" i="1"/>
  <c r="AZ333" i="1"/>
  <c r="AZ354" i="1"/>
  <c r="AZ355" i="1"/>
  <c r="AZ359" i="1"/>
  <c r="AZ360" i="1"/>
  <c r="AZ373" i="1"/>
  <c r="AZ374" i="1"/>
  <c r="AZ375" i="1"/>
  <c r="AZ376" i="1"/>
  <c r="AZ377" i="1"/>
  <c r="AZ378" i="1"/>
  <c r="AZ379" i="1"/>
  <c r="AZ380" i="1"/>
  <c r="AZ381" i="1"/>
  <c r="AZ400" i="1"/>
  <c r="AZ401" i="1"/>
  <c r="AZ402" i="1"/>
  <c r="AZ403" i="1"/>
  <c r="AZ404" i="1"/>
  <c r="AZ405" i="1"/>
  <c r="AZ412" i="1"/>
  <c r="AZ413" i="1"/>
  <c r="AZ414" i="1"/>
  <c r="AZ415" i="1"/>
  <c r="AZ416" i="1"/>
  <c r="AZ417" i="1"/>
  <c r="AZ2" i="1"/>
  <c r="BC45" i="1"/>
  <c r="BC44" i="1"/>
  <c r="BC258" i="1"/>
  <c r="BB417" i="1"/>
  <c r="BC417" i="1"/>
  <c r="BB416" i="1"/>
  <c r="BC416" i="1"/>
  <c r="BB415" i="1"/>
  <c r="BC415" i="1"/>
  <c r="BB414" i="1"/>
  <c r="BC414" i="1"/>
  <c r="BB413" i="1"/>
  <c r="BC413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B412" i="1"/>
  <c r="BC412" i="1"/>
  <c r="BC405" i="1"/>
  <c r="BC404" i="1"/>
  <c r="BC403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C402" i="1"/>
  <c r="BC401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C400" i="1"/>
  <c r="BC380" i="1"/>
  <c r="BC379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C378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C377" i="1"/>
  <c r="BC376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C375" i="1"/>
  <c r="BC374" i="1"/>
  <c r="BC373" i="1"/>
  <c r="BB360" i="1"/>
  <c r="BC360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B359" i="1"/>
  <c r="BC359" i="1"/>
  <c r="BB355" i="1"/>
  <c r="BC355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B354" i="1"/>
  <c r="BC354" i="1"/>
  <c r="BB333" i="1"/>
  <c r="BC333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B332" i="1"/>
  <c r="BC332" i="1"/>
  <c r="BB331" i="1"/>
  <c r="BC331" i="1"/>
  <c r="BB330" i="1"/>
  <c r="BC330" i="1"/>
  <c r="BB329" i="1"/>
  <c r="BC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B328" i="1"/>
  <c r="BC328" i="1"/>
  <c r="BB327" i="1"/>
  <c r="BC327" i="1"/>
  <c r="BB326" i="1"/>
  <c r="BC326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B325" i="1"/>
  <c r="BC325" i="1"/>
  <c r="BB321" i="1"/>
  <c r="BC321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B320" i="1"/>
  <c r="BC320" i="1"/>
  <c r="BB308" i="1"/>
  <c r="BC308" i="1"/>
  <c r="BB307" i="1"/>
  <c r="BC307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B306" i="1"/>
  <c r="BC306" i="1"/>
  <c r="BB305" i="1"/>
  <c r="BC305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B304" i="1"/>
  <c r="BC304" i="1"/>
  <c r="BB300" i="1"/>
  <c r="BC300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C299" i="1"/>
  <c r="BC280" i="1"/>
  <c r="BC278" i="1"/>
  <c r="BC277" i="1"/>
  <c r="BC275" i="1"/>
  <c r="BC274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C273" i="1"/>
  <c r="BC270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C269" i="1"/>
  <c r="BC266" i="1"/>
  <c r="BC265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C264" i="1"/>
  <c r="BC262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C261" i="1"/>
  <c r="BC260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C259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C256" i="1"/>
  <c r="BC252" i="1"/>
  <c r="BC251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C250" i="1"/>
  <c r="BC224" i="1"/>
  <c r="BC223" i="1"/>
  <c r="BC222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C221" i="1"/>
  <c r="BC220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C219" i="1"/>
  <c r="BC215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C214" i="1"/>
  <c r="BC202" i="1"/>
  <c r="BC201" i="1"/>
  <c r="BC198" i="1"/>
  <c r="BC197" i="1"/>
  <c r="BC196" i="1"/>
  <c r="BC195" i="1"/>
  <c r="BC167" i="1"/>
  <c r="BC166" i="1"/>
  <c r="BC148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C147" i="1"/>
  <c r="BC146" i="1"/>
  <c r="BC145" i="1"/>
  <c r="BC129" i="1"/>
  <c r="BC128" i="1"/>
  <c r="BC127" i="1"/>
  <c r="BC126" i="1"/>
  <c r="BC124" i="1"/>
  <c r="BC123" i="1"/>
  <c r="BC122" i="1"/>
  <c r="BC121" i="1"/>
  <c r="BC120" i="1"/>
  <c r="BC119" i="1"/>
  <c r="BC118" i="1"/>
  <c r="BC117" i="1"/>
  <c r="BC116" i="1"/>
  <c r="BC108" i="1"/>
  <c r="BC107" i="1"/>
  <c r="BC106" i="1"/>
  <c r="BC105" i="1"/>
  <c r="BC104" i="1"/>
  <c r="BC103" i="1"/>
  <c r="BC102" i="1"/>
  <c r="BC101" i="1"/>
  <c r="BC100" i="1"/>
  <c r="BC99" i="1"/>
  <c r="BC98" i="1"/>
  <c r="BC97" i="1"/>
  <c r="BC96" i="1"/>
  <c r="BC95" i="1"/>
  <c r="BC92" i="1"/>
  <c r="BC91" i="1"/>
  <c r="BC89" i="1"/>
  <c r="BC88" i="1"/>
  <c r="BC87" i="1"/>
  <c r="BC80" i="1"/>
  <c r="BC79" i="1"/>
  <c r="BC78" i="1"/>
  <c r="BC77" i="1"/>
  <c r="BC75" i="1"/>
  <c r="BC74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1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3" i="4"/>
  <c r="AI94" i="4"/>
  <c r="U94" i="4" a="1"/>
  <c r="U94" i="4"/>
  <c r="AI217" i="4"/>
  <c r="AI216" i="4"/>
  <c r="G39" i="3"/>
  <c r="G40" i="3"/>
  <c r="G41" i="3"/>
  <c r="T94" i="4" a="1"/>
  <c r="T94" i="4"/>
  <c r="T217" i="4" a="1"/>
  <c r="T217" i="4"/>
  <c r="T216" i="4" a="1"/>
  <c r="T216" i="4"/>
  <c r="B24" i="3"/>
  <c r="C24" i="3"/>
  <c r="E24" i="3"/>
  <c r="AA25" i="2"/>
  <c r="AD25" i="2"/>
  <c r="AE25" i="2"/>
  <c r="AF25" i="2"/>
  <c r="AG25" i="2"/>
  <c r="AH25" i="2"/>
  <c r="AI25" i="2"/>
  <c r="AK25" i="2"/>
  <c r="AL25" i="2"/>
  <c r="R324" i="4"/>
  <c r="R334" i="4"/>
  <c r="R332" i="4"/>
  <c r="R333" i="4"/>
  <c r="R341" i="4"/>
  <c r="R342" i="4"/>
  <c r="R336" i="4"/>
  <c r="R337" i="4"/>
  <c r="R326" i="4"/>
  <c r="R329" i="4"/>
  <c r="R327" i="4"/>
  <c r="R328" i="4"/>
  <c r="R345" i="4"/>
  <c r="R339" i="4"/>
  <c r="R346" i="4"/>
  <c r="R316" i="4"/>
  <c r="R323" i="4"/>
  <c r="R320" i="4"/>
  <c r="R351" i="4"/>
  <c r="R338" i="4"/>
  <c r="R357" i="4"/>
  <c r="R367" i="4"/>
  <c r="R349" i="4"/>
  <c r="R365" i="4"/>
  <c r="R352" i="4"/>
  <c r="R366" i="4"/>
  <c r="R368" i="4"/>
  <c r="R319" i="4"/>
  <c r="R350" i="4"/>
  <c r="R360" i="4"/>
  <c r="R355" i="4"/>
  <c r="R359" i="4"/>
  <c r="R353" i="4"/>
  <c r="R354" i="4"/>
  <c r="R84" i="4"/>
  <c r="R83" i="4"/>
  <c r="R321" i="4"/>
  <c r="R82" i="4"/>
  <c r="R331" i="4"/>
  <c r="R358" i="4"/>
  <c r="R347" i="4"/>
  <c r="R317" i="4"/>
  <c r="R343" i="4"/>
  <c r="R330" i="4"/>
  <c r="R340" i="4"/>
  <c r="R50" i="4"/>
  <c r="R362" i="4"/>
  <c r="R100" i="4"/>
  <c r="R49" i="4"/>
  <c r="R363" i="4"/>
  <c r="R322" i="4"/>
  <c r="R68" i="4"/>
  <c r="R87" i="4"/>
  <c r="R380" i="4"/>
  <c r="R373" i="4"/>
  <c r="R318" i="4"/>
  <c r="R325" i="4"/>
  <c r="R158" i="4"/>
  <c r="R377" i="4"/>
  <c r="R374" i="4"/>
  <c r="R372" i="4"/>
  <c r="R382" i="4"/>
  <c r="R379" i="4"/>
  <c r="R378" i="4"/>
  <c r="R371" i="4"/>
  <c r="R375" i="4"/>
  <c r="R348" i="4"/>
  <c r="R376" i="4"/>
  <c r="R305" i="4"/>
  <c r="R315" i="4"/>
  <c r="R313" i="4"/>
  <c r="R306" i="4"/>
  <c r="R208" i="4"/>
  <c r="R309" i="4"/>
  <c r="R312" i="4"/>
  <c r="R302" i="4"/>
  <c r="R314" i="4"/>
  <c r="R307" i="4"/>
  <c r="R152" i="4"/>
  <c r="R311" i="4"/>
  <c r="R300" i="4"/>
  <c r="R303" i="4"/>
  <c r="R308" i="4"/>
  <c r="R301" i="4"/>
  <c r="R304" i="4"/>
  <c r="R111" i="4"/>
  <c r="R126" i="4"/>
  <c r="R277" i="4"/>
  <c r="R197" i="4"/>
  <c r="R179" i="4"/>
  <c r="R284" i="4"/>
  <c r="R62" i="4"/>
  <c r="R276" i="4"/>
  <c r="R218" i="4"/>
  <c r="R165" i="4"/>
  <c r="R171" i="4"/>
  <c r="R148" i="4"/>
  <c r="R160" i="4"/>
  <c r="R180" i="4"/>
  <c r="R146" i="4"/>
  <c r="R178" i="4"/>
  <c r="R226" i="4"/>
  <c r="R45" i="4"/>
  <c r="R225" i="4"/>
  <c r="R34" i="4"/>
  <c r="R89" i="4"/>
  <c r="R35" i="4"/>
  <c r="R205" i="4"/>
  <c r="R138" i="4"/>
  <c r="R275" i="4"/>
  <c r="R157" i="4"/>
  <c r="R139" i="4"/>
  <c r="R200" i="4"/>
  <c r="R38" i="4"/>
  <c r="R237" i="4"/>
  <c r="R182" i="4"/>
  <c r="R268" i="4"/>
  <c r="R74" i="4"/>
  <c r="R224" i="4"/>
  <c r="R137" i="4"/>
  <c r="R217" i="4"/>
  <c r="R251" i="4"/>
  <c r="R201" i="4"/>
  <c r="R27" i="4"/>
  <c r="R119" i="4"/>
  <c r="R147" i="4"/>
  <c r="R154" i="4"/>
  <c r="R296" i="4"/>
  <c r="R223" i="4"/>
  <c r="R206" i="4"/>
  <c r="R202" i="4"/>
  <c r="R272" i="4"/>
  <c r="R207" i="4"/>
  <c r="R173" i="4"/>
  <c r="R95" i="4"/>
  <c r="R96" i="4"/>
  <c r="R184" i="4"/>
  <c r="R107" i="4"/>
  <c r="R274" i="4"/>
  <c r="R250" i="4"/>
  <c r="R292" i="4"/>
  <c r="R216" i="4"/>
  <c r="R293" i="4"/>
  <c r="R364" i="4"/>
  <c r="R174" i="4"/>
  <c r="R209" i="4"/>
  <c r="R52" i="4"/>
  <c r="R125" i="4"/>
  <c r="R140" i="4"/>
  <c r="R103" i="4"/>
  <c r="R39" i="4"/>
  <c r="R183" i="4"/>
  <c r="R269" i="4"/>
  <c r="R211" i="4"/>
  <c r="R195" i="4"/>
  <c r="R172" i="4"/>
  <c r="R175" i="4"/>
  <c r="R176" i="4"/>
  <c r="R177" i="4"/>
  <c r="R28" i="4"/>
  <c r="R243" i="4"/>
  <c r="R75" i="4"/>
  <c r="R135" i="4"/>
  <c r="R136" i="4"/>
  <c r="R344" i="4"/>
  <c r="R265" i="4"/>
  <c r="R63" i="4"/>
  <c r="R150" i="4"/>
  <c r="R271" i="4"/>
  <c r="R193" i="4"/>
  <c r="R289" i="4"/>
  <c r="R233" i="4"/>
  <c r="R61" i="4"/>
  <c r="R235" i="4"/>
  <c r="R78" i="4"/>
  <c r="R101" i="4"/>
  <c r="R153" i="4"/>
  <c r="R227" i="4"/>
  <c r="R260" i="4"/>
  <c r="R21" i="4"/>
  <c r="R143" i="4"/>
  <c r="R369" i="4"/>
  <c r="R31" i="4"/>
  <c r="R72" i="4"/>
  <c r="R254" i="4"/>
  <c r="R54" i="4"/>
  <c r="R40" i="4"/>
  <c r="R267" i="4"/>
  <c r="R279" i="4"/>
  <c r="R213" i="4"/>
  <c r="R215" i="4"/>
  <c r="R298" i="4"/>
  <c r="R285" i="4"/>
  <c r="R144" i="4"/>
  <c r="R239" i="4"/>
  <c r="R167" i="4"/>
  <c r="R55" i="4"/>
  <c r="R57" i="4"/>
  <c r="R236" i="4"/>
  <c r="R121" i="4"/>
  <c r="R109" i="4"/>
  <c r="R53" i="4"/>
  <c r="R56" i="4"/>
  <c r="R104" i="4"/>
  <c r="R15" i="4"/>
  <c r="R187" i="4"/>
  <c r="R81" i="4"/>
  <c r="R255" i="4"/>
  <c r="R134" i="4"/>
  <c r="R88" i="4"/>
  <c r="R102" i="4"/>
  <c r="R241" i="4"/>
  <c r="R189" i="4"/>
  <c r="R270" i="4"/>
  <c r="R122" i="4"/>
  <c r="R127" i="4"/>
  <c r="R192" i="4"/>
  <c r="R92" i="4"/>
  <c r="R93" i="4"/>
  <c r="R97" i="4"/>
  <c r="R12" i="4"/>
  <c r="R188" i="4"/>
  <c r="R273" i="4"/>
  <c r="R203" i="4"/>
  <c r="R297" i="4"/>
  <c r="R94" i="4"/>
  <c r="R145" i="4"/>
  <c r="R185" i="4"/>
  <c r="R36" i="4"/>
  <c r="R230" i="4"/>
  <c r="R30" i="4"/>
  <c r="R266" i="4"/>
  <c r="R112" i="4"/>
  <c r="R91" i="4"/>
  <c r="R37" i="4"/>
  <c r="R238" i="4"/>
  <c r="R240" i="4"/>
  <c r="R244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5" i="4"/>
  <c r="R66" i="4"/>
  <c r="R290" i="4"/>
  <c r="R20" i="4"/>
  <c r="R170" i="4"/>
  <c r="R258" i="4"/>
  <c r="R13" i="4"/>
  <c r="R234" i="4"/>
  <c r="R151" i="4"/>
  <c r="R46" i="4"/>
  <c r="R169" i="4"/>
  <c r="R77" i="4"/>
  <c r="R99" i="4"/>
  <c r="R32" i="4"/>
  <c r="R242" i="4"/>
  <c r="R70" i="4"/>
  <c r="R168" i="4"/>
  <c r="R280" i="4"/>
  <c r="R281" i="4"/>
  <c r="R166" i="4"/>
  <c r="R257" i="4"/>
  <c r="R33" i="4"/>
  <c r="R60" i="4"/>
  <c r="R210" i="4"/>
  <c r="R220" i="4"/>
  <c r="R221" i="4"/>
  <c r="R247" i="4"/>
  <c r="R123" i="4"/>
  <c r="R282" i="4"/>
  <c r="R141" i="4"/>
  <c r="R259" i="4"/>
  <c r="R264" i="4"/>
  <c r="R42" i="4"/>
  <c r="R71" i="4"/>
  <c r="R80" i="4"/>
  <c r="R29" i="4"/>
  <c r="R246" i="4"/>
  <c r="R231" i="4"/>
  <c r="R288" i="4"/>
  <c r="R58" i="4"/>
  <c r="R186" i="4"/>
  <c r="R124" i="4"/>
  <c r="R73" i="4"/>
  <c r="R79" i="4"/>
  <c r="R196" i="4"/>
  <c r="R261" i="4"/>
  <c r="R286" i="4"/>
  <c r="R120" i="4"/>
  <c r="R76" i="4"/>
  <c r="R16" i="4"/>
  <c r="R48" i="4"/>
  <c r="R295" i="4"/>
  <c r="R59" i="4"/>
  <c r="R9" i="4"/>
  <c r="R10" i="4"/>
  <c r="R19" i="4"/>
  <c r="R249" i="4"/>
  <c r="R252" i="4"/>
  <c r="R253" i="4"/>
  <c r="R11" i="4"/>
  <c r="R256" i="4"/>
  <c r="R291" i="4"/>
  <c r="R105" i="4"/>
  <c r="R14" i="4"/>
  <c r="R190" i="4"/>
  <c r="R248" i="4"/>
  <c r="R194" i="4"/>
  <c r="R106" i="4"/>
  <c r="R8" i="4"/>
  <c r="R110" i="4"/>
  <c r="R212" i="4"/>
  <c r="R204" i="4"/>
  <c r="R3" i="4"/>
  <c r="R18" i="4"/>
  <c r="R43" i="4"/>
  <c r="R44" i="4"/>
  <c r="Z364" i="4"/>
  <c r="Z370" i="4"/>
  <c r="Z361" i="4"/>
  <c r="U2" i="12"/>
  <c r="R287" i="4"/>
  <c r="R294" i="4"/>
  <c r="R69" i="4"/>
  <c r="R335" i="4"/>
  <c r="Q2" i="12"/>
  <c r="O2" i="12"/>
  <c r="N398" i="4"/>
  <c r="N410" i="4"/>
  <c r="M2" i="12"/>
  <c r="K2" i="12"/>
  <c r="J188" i="4"/>
  <c r="J23" i="4"/>
  <c r="J179" i="4"/>
  <c r="J180" i="4"/>
  <c r="J287" i="4"/>
  <c r="J187" i="4"/>
  <c r="J238" i="4"/>
  <c r="J267" i="4"/>
  <c r="J240" i="4"/>
  <c r="J241" i="4"/>
  <c r="J243" i="4"/>
  <c r="J268" i="4"/>
  <c r="J244" i="4"/>
  <c r="J269" i="4"/>
  <c r="J121" i="4"/>
  <c r="J270" i="4"/>
  <c r="J271" i="4"/>
  <c r="J272" i="4"/>
  <c r="J273" i="4"/>
  <c r="J151" i="4"/>
  <c r="J210" i="4"/>
  <c r="J220" i="4"/>
  <c r="J221" i="4"/>
  <c r="J250" i="4"/>
  <c r="J192" i="4"/>
  <c r="J213" i="4"/>
  <c r="J77" i="4"/>
  <c r="J291" i="4"/>
  <c r="J199" i="4"/>
  <c r="J264" i="4"/>
  <c r="J186" i="4"/>
  <c r="J239" i="4"/>
  <c r="J242" i="4"/>
  <c r="J274" i="4"/>
  <c r="J9" i="4"/>
  <c r="J190" i="4"/>
  <c r="J10" i="4"/>
  <c r="J16" i="4"/>
  <c r="J279" i="4"/>
  <c r="J285" i="4"/>
  <c r="J8" i="4"/>
  <c r="J68" i="4"/>
  <c r="J297" i="4"/>
  <c r="J251" i="4"/>
  <c r="J252" i="4"/>
  <c r="J280" i="4"/>
  <c r="J281" i="4"/>
  <c r="J282" i="4"/>
  <c r="J87" i="4"/>
  <c r="J292" i="4"/>
  <c r="J196" i="4"/>
  <c r="J218" i="4"/>
  <c r="J228" i="4"/>
  <c r="J293" i="4"/>
  <c r="J298" i="4"/>
  <c r="J197" i="4"/>
  <c r="J295" i="4"/>
  <c r="J100" i="4"/>
  <c r="J246" i="4"/>
  <c r="J194" i="4"/>
  <c r="J141" i="4"/>
  <c r="J116" i="4"/>
  <c r="J234" i="4"/>
  <c r="J235" i="4"/>
  <c r="J155" i="4"/>
  <c r="J191" i="4"/>
  <c r="J249" i="4"/>
  <c r="J296" i="4"/>
  <c r="J73" i="4"/>
  <c r="J212" i="4"/>
  <c r="J255" i="4"/>
  <c r="J256" i="4"/>
  <c r="J230" i="4"/>
  <c r="J258" i="4"/>
  <c r="J286" i="4"/>
  <c r="J237" i="4"/>
  <c r="J189" i="4"/>
  <c r="J278" i="4"/>
  <c r="J222" i="4"/>
  <c r="J254" i="4"/>
  <c r="J231" i="4"/>
  <c r="J219" i="4"/>
  <c r="J122" i="4"/>
  <c r="J229" i="4"/>
  <c r="J257" i="4"/>
  <c r="J260" i="4"/>
  <c r="J114" i="4"/>
  <c r="J145" i="4"/>
  <c r="J183" i="4"/>
  <c r="J236" i="4"/>
  <c r="J127" i="4"/>
  <c r="J290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7" i="4"/>
  <c r="J158" i="4"/>
  <c r="J276" i="4"/>
  <c r="J124" i="4"/>
  <c r="J211" i="4"/>
  <c r="J165" i="4"/>
  <c r="J166" i="4"/>
  <c r="J167" i="4"/>
  <c r="J174" i="4"/>
  <c r="J294" i="4"/>
  <c r="J144" i="4"/>
  <c r="J120" i="4"/>
  <c r="J80" i="4"/>
  <c r="J169" i="4"/>
  <c r="J171" i="4"/>
  <c r="J206" i="4"/>
  <c r="J172" i="4"/>
  <c r="J299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4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5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10" i="4"/>
  <c r="J66" i="4"/>
  <c r="J102" i="4"/>
  <c r="J175" i="4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5" i="4"/>
  <c r="F233" i="4"/>
  <c r="F265" i="4"/>
  <c r="F266" i="4"/>
  <c r="F238" i="4"/>
  <c r="F267" i="4"/>
  <c r="F240" i="4"/>
  <c r="F241" i="4"/>
  <c r="F243" i="4"/>
  <c r="F268" i="4"/>
  <c r="F244" i="4"/>
  <c r="F269" i="4"/>
  <c r="F247" i="4"/>
  <c r="F270" i="4"/>
  <c r="F271" i="4"/>
  <c r="F272" i="4"/>
  <c r="F273" i="4"/>
  <c r="F151" i="4"/>
  <c r="F250" i="4"/>
  <c r="F291" i="4"/>
  <c r="F288" i="4"/>
  <c r="F264" i="4"/>
  <c r="F239" i="4"/>
  <c r="F242" i="4"/>
  <c r="F274" i="4"/>
  <c r="F190" i="4"/>
  <c r="F279" i="4"/>
  <c r="F285" i="4"/>
  <c r="F68" i="4"/>
  <c r="F282" i="4"/>
  <c r="F87" i="4"/>
  <c r="F292" i="4"/>
  <c r="F218" i="4"/>
  <c r="F197" i="4"/>
  <c r="F100" i="4"/>
  <c r="F116" i="4"/>
  <c r="F234" i="4"/>
  <c r="F296" i="4"/>
  <c r="F129" i="4"/>
  <c r="F212" i="4"/>
  <c r="F255" i="4"/>
  <c r="F256" i="4"/>
  <c r="F149" i="4"/>
  <c r="F237" i="4"/>
  <c r="F257" i="4"/>
  <c r="F114" i="4"/>
  <c r="F145" i="4"/>
  <c r="F183" i="4"/>
  <c r="F236" i="4"/>
  <c r="F290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7" i="4"/>
  <c r="F152" i="4"/>
  <c r="F158" i="4"/>
  <c r="F276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9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4" i="4"/>
  <c r="F118" i="4"/>
  <c r="F53" i="4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5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46" i="4"/>
  <c r="F37" i="4"/>
  <c r="F34" i="4"/>
  <c r="F35" i="4"/>
  <c r="F305" i="4"/>
  <c r="F306" i="4"/>
  <c r="F307" i="4"/>
  <c r="F308" i="4"/>
  <c r="F311" i="4"/>
  <c r="F312" i="4"/>
  <c r="F313" i="4"/>
  <c r="F314" i="4"/>
  <c r="F301" i="4"/>
  <c r="F302" i="4"/>
  <c r="F300" i="4"/>
  <c r="F303" i="4"/>
  <c r="F304" i="4"/>
  <c r="F315" i="4"/>
  <c r="F309" i="4"/>
  <c r="F343" i="4"/>
  <c r="F334" i="4"/>
  <c r="F332" i="4"/>
  <c r="F333" i="4"/>
  <c r="F325" i="4"/>
  <c r="F335" i="4"/>
  <c r="F324" i="4"/>
  <c r="F342" i="4"/>
  <c r="F317" i="4"/>
  <c r="F340" i="4"/>
  <c r="F323" i="4"/>
  <c r="F347" i="4"/>
  <c r="F326" i="4"/>
  <c r="F319" i="4"/>
  <c r="F320" i="4"/>
  <c r="F321" i="4"/>
  <c r="F322" i="4"/>
  <c r="F348" i="4"/>
  <c r="F338" i="4"/>
  <c r="F339" i="4"/>
  <c r="F341" i="4"/>
  <c r="F327" i="4"/>
  <c r="F328" i="4"/>
  <c r="F329" i="4"/>
  <c r="F330" i="4"/>
  <c r="F331" i="4"/>
  <c r="F318" i="4"/>
  <c r="F316" i="4"/>
  <c r="F336" i="4"/>
  <c r="F337" i="4"/>
  <c r="F346" i="4"/>
  <c r="F344" i="4"/>
  <c r="F345" i="4"/>
  <c r="F352" i="4"/>
  <c r="F351" i="4"/>
  <c r="F362" i="4"/>
  <c r="F363" i="4"/>
  <c r="F349" i="4"/>
  <c r="F359" i="4"/>
  <c r="F360" i="4"/>
  <c r="F365" i="4"/>
  <c r="F350" i="4"/>
  <c r="F366" i="4"/>
  <c r="F367" i="4"/>
  <c r="F368" i="4"/>
  <c r="F353" i="4"/>
  <c r="F354" i="4"/>
  <c r="F355" i="4"/>
  <c r="F357" i="4"/>
  <c r="F358" i="4"/>
  <c r="F356" i="4"/>
  <c r="F369" i="4"/>
  <c r="F364" i="4"/>
  <c r="F370" i="4"/>
  <c r="F361" i="4"/>
  <c r="F380" i="4"/>
  <c r="F378" i="4"/>
  <c r="F374" i="4"/>
  <c r="F375" i="4"/>
  <c r="F371" i="4"/>
  <c r="F372" i="4"/>
  <c r="F376" i="4"/>
  <c r="F377" i="4"/>
  <c r="F379" i="4"/>
  <c r="F373" i="4"/>
  <c r="F382" i="4"/>
  <c r="F392" i="4"/>
  <c r="F391" i="4"/>
  <c r="F398" i="4"/>
  <c r="F390" i="4"/>
  <c r="F399" i="4"/>
  <c r="F400" i="4"/>
  <c r="F401" i="4"/>
  <c r="F402" i="4"/>
  <c r="F403" i="4"/>
  <c r="F393" i="4"/>
  <c r="F394" i="4"/>
  <c r="F395" i="4"/>
  <c r="F404" i="4"/>
  <c r="F405" i="4"/>
  <c r="F406" i="4"/>
  <c r="F407" i="4"/>
  <c r="F396" i="4"/>
  <c r="F397" i="4"/>
  <c r="F408" i="4"/>
  <c r="F409" i="4"/>
  <c r="F410" i="4"/>
  <c r="F411" i="4"/>
  <c r="F412" i="4"/>
  <c r="F413" i="4"/>
  <c r="F389" i="4"/>
  <c r="E2" i="12"/>
  <c r="C2" i="12"/>
  <c r="E245" i="4"/>
  <c r="E233" i="4"/>
  <c r="E265" i="4"/>
  <c r="E266" i="4"/>
  <c r="E238" i="4"/>
  <c r="E267" i="4"/>
  <c r="E240" i="4"/>
  <c r="E241" i="4"/>
  <c r="E243" i="4"/>
  <c r="E268" i="4"/>
  <c r="E244" i="4"/>
  <c r="E269" i="4"/>
  <c r="E247" i="4"/>
  <c r="E270" i="4"/>
  <c r="E271" i="4"/>
  <c r="E272" i="4"/>
  <c r="E273" i="4"/>
  <c r="E151" i="4"/>
  <c r="E250" i="4"/>
  <c r="E291" i="4"/>
  <c r="E288" i="4"/>
  <c r="E264" i="4"/>
  <c r="E239" i="4"/>
  <c r="E242" i="4"/>
  <c r="E274" i="4"/>
  <c r="E190" i="4"/>
  <c r="E279" i="4"/>
  <c r="E285" i="4"/>
  <c r="E68" i="4"/>
  <c r="E282" i="4"/>
  <c r="E87" i="4"/>
  <c r="E292" i="4"/>
  <c r="E218" i="4"/>
  <c r="E197" i="4"/>
  <c r="E100" i="4"/>
  <c r="E116" i="4"/>
  <c r="E234" i="4"/>
  <c r="E296" i="4"/>
  <c r="E129" i="4"/>
  <c r="E212" i="4"/>
  <c r="E255" i="4"/>
  <c r="E256" i="4"/>
  <c r="E149" i="4"/>
  <c r="E237" i="4"/>
  <c r="E257" i="4"/>
  <c r="E114" i="4"/>
  <c r="E145" i="4"/>
  <c r="E183" i="4"/>
  <c r="E236" i="4"/>
  <c r="E290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7" i="4"/>
  <c r="E152" i="4"/>
  <c r="E158" i="4"/>
  <c r="E276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9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4" i="4"/>
  <c r="E118" i="4"/>
  <c r="E53" i="4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5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46" i="4"/>
  <c r="E37" i="4"/>
  <c r="E34" i="4"/>
  <c r="E35" i="4"/>
  <c r="E305" i="4"/>
  <c r="E306" i="4"/>
  <c r="E307" i="4"/>
  <c r="E308" i="4"/>
  <c r="E311" i="4"/>
  <c r="E312" i="4"/>
  <c r="E313" i="4"/>
  <c r="E314" i="4"/>
  <c r="E301" i="4"/>
  <c r="E302" i="4"/>
  <c r="E300" i="4"/>
  <c r="E303" i="4"/>
  <c r="E304" i="4"/>
  <c r="E315" i="4"/>
  <c r="E309" i="4"/>
  <c r="E343" i="4"/>
  <c r="E334" i="4"/>
  <c r="E332" i="4"/>
  <c r="E333" i="4"/>
  <c r="E325" i="4"/>
  <c r="E335" i="4"/>
  <c r="E324" i="4"/>
  <c r="E342" i="4"/>
  <c r="E317" i="4"/>
  <c r="E340" i="4"/>
  <c r="E323" i="4"/>
  <c r="E347" i="4"/>
  <c r="E326" i="4"/>
  <c r="E319" i="4"/>
  <c r="E320" i="4"/>
  <c r="E321" i="4"/>
  <c r="E322" i="4"/>
  <c r="E348" i="4"/>
  <c r="E338" i="4"/>
  <c r="E339" i="4"/>
  <c r="E341" i="4"/>
  <c r="E327" i="4"/>
  <c r="E328" i="4"/>
  <c r="E329" i="4"/>
  <c r="E330" i="4"/>
  <c r="E331" i="4"/>
  <c r="E318" i="4"/>
  <c r="E316" i="4"/>
  <c r="E336" i="4"/>
  <c r="E337" i="4"/>
  <c r="E346" i="4"/>
  <c r="E344" i="4"/>
  <c r="E345" i="4"/>
  <c r="E352" i="4"/>
  <c r="E351" i="4"/>
  <c r="E362" i="4"/>
  <c r="E363" i="4"/>
  <c r="E349" i="4"/>
  <c r="E359" i="4"/>
  <c r="E360" i="4"/>
  <c r="E365" i="4"/>
  <c r="E350" i="4"/>
  <c r="E366" i="4"/>
  <c r="E367" i="4"/>
  <c r="E368" i="4"/>
  <c r="E353" i="4"/>
  <c r="E354" i="4"/>
  <c r="E355" i="4"/>
  <c r="E357" i="4"/>
  <c r="E358" i="4"/>
  <c r="E356" i="4"/>
  <c r="E369" i="4"/>
  <c r="E364" i="4"/>
  <c r="E370" i="4"/>
  <c r="E361" i="4"/>
  <c r="E380" i="4"/>
  <c r="E378" i="4"/>
  <c r="E374" i="4"/>
  <c r="E375" i="4"/>
  <c r="E371" i="4"/>
  <c r="E372" i="4"/>
  <c r="E376" i="4"/>
  <c r="E377" i="4"/>
  <c r="E379" i="4"/>
  <c r="E373" i="4"/>
  <c r="E382" i="4"/>
  <c r="E392" i="4"/>
  <c r="E391" i="4"/>
  <c r="E398" i="4"/>
  <c r="E390" i="4"/>
  <c r="E399" i="4"/>
  <c r="E400" i="4"/>
  <c r="E401" i="4"/>
  <c r="E402" i="4"/>
  <c r="E403" i="4"/>
  <c r="E393" i="4"/>
  <c r="E394" i="4"/>
  <c r="E395" i="4"/>
  <c r="E404" i="4"/>
  <c r="E405" i="4"/>
  <c r="E406" i="4"/>
  <c r="E407" i="4"/>
  <c r="E396" i="4"/>
  <c r="E397" i="4"/>
  <c r="E408" i="4"/>
  <c r="E409" i="4"/>
  <c r="E410" i="4"/>
  <c r="E411" i="4"/>
  <c r="E412" i="4"/>
  <c r="E413" i="4"/>
  <c r="E389" i="4"/>
  <c r="D2" i="12"/>
  <c r="F2" i="12"/>
  <c r="I188" i="4"/>
  <c r="I23" i="4"/>
  <c r="I179" i="4"/>
  <c r="I180" i="4"/>
  <c r="I287" i="4"/>
  <c r="I187" i="4"/>
  <c r="I238" i="4"/>
  <c r="I267" i="4"/>
  <c r="I240" i="4"/>
  <c r="I241" i="4"/>
  <c r="I243" i="4"/>
  <c r="I268" i="4"/>
  <c r="I244" i="4"/>
  <c r="I269" i="4"/>
  <c r="I121" i="4"/>
  <c r="I270" i="4"/>
  <c r="I271" i="4"/>
  <c r="I272" i="4"/>
  <c r="I273" i="4"/>
  <c r="I151" i="4"/>
  <c r="I210" i="4"/>
  <c r="I220" i="4"/>
  <c r="I221" i="4"/>
  <c r="I250" i="4"/>
  <c r="I192" i="4"/>
  <c r="I213" i="4"/>
  <c r="I77" i="4"/>
  <c r="I291" i="4"/>
  <c r="I199" i="4"/>
  <c r="I264" i="4"/>
  <c r="I186" i="4"/>
  <c r="I239" i="4"/>
  <c r="I242" i="4"/>
  <c r="I274" i="4"/>
  <c r="I9" i="4"/>
  <c r="I190" i="4"/>
  <c r="I10" i="4"/>
  <c r="I16" i="4"/>
  <c r="I279" i="4"/>
  <c r="I285" i="4"/>
  <c r="I8" i="4"/>
  <c r="I297" i="4"/>
  <c r="I251" i="4"/>
  <c r="I252" i="4"/>
  <c r="I280" i="4"/>
  <c r="I281" i="4"/>
  <c r="I282" i="4"/>
  <c r="I292" i="4"/>
  <c r="I196" i="4"/>
  <c r="I218" i="4"/>
  <c r="I228" i="4"/>
  <c r="I293" i="4"/>
  <c r="I298" i="4"/>
  <c r="I197" i="4"/>
  <c r="I295" i="4"/>
  <c r="I246" i="4"/>
  <c r="I194" i="4"/>
  <c r="I141" i="4"/>
  <c r="I116" i="4"/>
  <c r="I234" i="4"/>
  <c r="I235" i="4"/>
  <c r="I155" i="4"/>
  <c r="I191" i="4"/>
  <c r="I249" i="4"/>
  <c r="I296" i="4"/>
  <c r="I73" i="4"/>
  <c r="I212" i="4"/>
  <c r="I255" i="4"/>
  <c r="I256" i="4"/>
  <c r="I230" i="4"/>
  <c r="I258" i="4"/>
  <c r="I178" i="4"/>
  <c r="I286" i="4"/>
  <c r="I237" i="4"/>
  <c r="I189" i="4"/>
  <c r="I278" i="4"/>
  <c r="I222" i="4"/>
  <c r="I254" i="4"/>
  <c r="I231" i="4"/>
  <c r="I219" i="4"/>
  <c r="I122" i="4"/>
  <c r="I229" i="4"/>
  <c r="I257" i="4"/>
  <c r="I260" i="4"/>
  <c r="I114" i="4"/>
  <c r="I145" i="4"/>
  <c r="I183" i="4"/>
  <c r="I236" i="4"/>
  <c r="I127" i="4"/>
  <c r="I290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7" i="4"/>
  <c r="I158" i="4"/>
  <c r="I276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9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4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5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10" i="4"/>
  <c r="I66" i="4"/>
  <c r="I102" i="4"/>
  <c r="I175" i="4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392" i="4"/>
  <c r="M391" i="4"/>
  <c r="M398" i="4"/>
  <c r="M390" i="4"/>
  <c r="M399" i="4"/>
  <c r="M400" i="4"/>
  <c r="M401" i="4"/>
  <c r="M402" i="4"/>
  <c r="M403" i="4"/>
  <c r="M393" i="4"/>
  <c r="M394" i="4"/>
  <c r="M395" i="4"/>
  <c r="M404" i="4"/>
  <c r="M405" i="4"/>
  <c r="M406" i="4"/>
  <c r="M407" i="4"/>
  <c r="M396" i="4"/>
  <c r="M397" i="4"/>
  <c r="M408" i="4"/>
  <c r="M409" i="4"/>
  <c r="M410" i="4"/>
  <c r="M411" i="4"/>
  <c r="M412" i="4"/>
  <c r="M413" i="4"/>
  <c r="M389" i="4"/>
  <c r="L2" i="12"/>
  <c r="N2" i="12"/>
  <c r="Q287" i="4"/>
  <c r="Q294" i="4"/>
  <c r="Q69" i="4"/>
  <c r="P2" i="12"/>
  <c r="R2" i="12"/>
  <c r="V2" i="12"/>
  <c r="Y317" i="4"/>
  <c r="Y361" i="4"/>
  <c r="B386" i="4"/>
  <c r="C386" i="4"/>
  <c r="B388" i="4"/>
  <c r="C388" i="4"/>
  <c r="B385" i="4"/>
  <c r="C385" i="4"/>
  <c r="C384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3" i="6"/>
  <c r="AH283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2" i="6"/>
  <c r="AH272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4" i="6"/>
  <c r="AH284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7" i="6"/>
  <c r="AH297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1" i="6"/>
  <c r="AH261" i="6"/>
  <c r="AG24" i="6"/>
  <c r="AH24" i="6"/>
  <c r="AG235" i="6"/>
  <c r="AH235" i="6"/>
  <c r="AG198" i="6"/>
  <c r="AH198" i="6"/>
  <c r="AG72" i="6"/>
  <c r="AH72" i="6"/>
  <c r="AG262" i="6"/>
  <c r="AH262" i="6"/>
  <c r="AG38" i="6"/>
  <c r="AH38" i="6"/>
  <c r="AG73" i="6"/>
  <c r="AH73" i="6"/>
  <c r="AG74" i="6"/>
  <c r="AH74" i="6"/>
  <c r="AG285" i="6"/>
  <c r="AH285" i="6"/>
  <c r="AG75" i="6"/>
  <c r="AH75" i="6"/>
  <c r="AG236" i="6"/>
  <c r="AH236" i="6"/>
  <c r="AG237" i="6"/>
  <c r="AH237" i="6"/>
  <c r="AG211" i="6"/>
  <c r="AH211" i="6"/>
  <c r="AG273" i="6"/>
  <c r="AH273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3" i="6"/>
  <c r="AH263" i="6"/>
  <c r="AG274" i="6"/>
  <c r="AH274" i="6"/>
  <c r="AG126" i="6"/>
  <c r="AH126" i="6"/>
  <c r="AG144" i="6"/>
  <c r="AH144" i="6"/>
  <c r="AG239" i="6"/>
  <c r="AH239" i="6"/>
  <c r="AG275" i="6"/>
  <c r="AH275" i="6"/>
  <c r="AG57" i="6"/>
  <c r="AH57" i="6"/>
  <c r="AG214" i="6"/>
  <c r="AH214" i="6"/>
  <c r="AG276" i="6"/>
  <c r="AH276" i="6"/>
  <c r="AG286" i="6"/>
  <c r="AH286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4" i="6"/>
  <c r="AH264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7" i="6"/>
  <c r="AH287" i="6"/>
  <c r="AG288" i="6"/>
  <c r="AH288" i="6"/>
  <c r="AG34" i="6"/>
  <c r="AH34" i="6"/>
  <c r="AG178" i="6"/>
  <c r="AH178" i="6"/>
  <c r="AG154" i="6"/>
  <c r="AH154" i="6"/>
  <c r="AG248" i="6"/>
  <c r="AH248" i="6"/>
  <c r="AG277" i="6"/>
  <c r="AH277" i="6"/>
  <c r="AG249" i="6"/>
  <c r="AH249" i="6"/>
  <c r="AG80" i="6"/>
  <c r="AH80" i="6"/>
  <c r="AG250" i="6"/>
  <c r="AH250" i="6"/>
  <c r="AG81" i="6"/>
  <c r="AH81" i="6"/>
  <c r="AG265" i="6"/>
  <c r="AH265" i="6"/>
  <c r="AG162" i="6"/>
  <c r="AH162" i="6"/>
  <c r="AG289" i="6"/>
  <c r="AH289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8" i="6"/>
  <c r="AH278" i="6"/>
  <c r="AG256" i="6"/>
  <c r="AH256" i="6"/>
  <c r="AG257" i="6"/>
  <c r="AH257" i="6"/>
  <c r="AG266" i="6"/>
  <c r="AH266" i="6"/>
  <c r="AG267" i="6"/>
  <c r="AH267" i="6"/>
  <c r="AG268" i="6"/>
  <c r="AH268" i="6"/>
  <c r="AG279" i="6"/>
  <c r="AH279" i="6"/>
  <c r="AG280" i="6"/>
  <c r="AH280" i="6"/>
  <c r="AG281" i="6"/>
  <c r="AH281" i="6"/>
  <c r="AG282" i="6"/>
  <c r="AH282" i="6"/>
  <c r="AG227" i="6"/>
  <c r="AH227" i="6"/>
  <c r="AG157" i="6"/>
  <c r="AH157" i="6"/>
  <c r="AG35" i="6"/>
  <c r="AH35" i="6"/>
  <c r="AG151" i="6"/>
  <c r="AH151" i="6"/>
  <c r="AG290" i="6"/>
  <c r="AH290" i="6"/>
  <c r="AG269" i="6"/>
  <c r="AH269" i="6"/>
  <c r="AG270" i="6"/>
  <c r="AH270" i="6"/>
  <c r="AG122" i="6"/>
  <c r="AH122" i="6"/>
  <c r="AG228" i="6"/>
  <c r="AH228" i="6"/>
  <c r="AG229" i="6"/>
  <c r="AH229" i="6"/>
  <c r="AG230" i="6"/>
  <c r="AH230" i="6"/>
  <c r="AG258" i="6"/>
  <c r="AH258" i="6"/>
  <c r="AG271" i="6"/>
  <c r="AH271" i="6"/>
  <c r="AG231" i="6"/>
  <c r="AH231" i="6"/>
  <c r="AG83" i="6"/>
  <c r="AH83" i="6"/>
  <c r="AG84" i="6"/>
  <c r="AH84" i="6"/>
  <c r="AG63" i="6"/>
  <c r="AH63" i="6"/>
  <c r="AG60" i="6"/>
  <c r="AH60" i="6"/>
  <c r="AG291" i="6"/>
  <c r="AH291" i="6"/>
  <c r="AG292" i="6"/>
  <c r="AH292" i="6"/>
  <c r="AG293" i="6"/>
  <c r="AH293" i="6"/>
  <c r="AG294" i="6"/>
  <c r="AH294" i="6"/>
  <c r="AG295" i="6"/>
  <c r="AH295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6" i="6"/>
  <c r="AH296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8" i="6"/>
  <c r="AH298" i="6"/>
  <c r="AG174" i="6"/>
  <c r="AH174" i="6"/>
  <c r="AG184" i="6"/>
  <c r="AH184" i="6"/>
  <c r="AG185" i="6"/>
  <c r="AH185" i="6"/>
  <c r="AG102" i="6"/>
  <c r="AH102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4" i="6"/>
  <c r="AH314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2" i="6"/>
  <c r="AH342" i="6"/>
  <c r="AG347" i="6"/>
  <c r="AH347" i="6"/>
  <c r="AG343" i="6"/>
  <c r="AH343" i="6"/>
  <c r="AG344" i="6"/>
  <c r="AH344" i="6"/>
  <c r="AG348" i="6"/>
  <c r="AH348" i="6"/>
  <c r="AG345" i="6"/>
  <c r="AH345" i="6"/>
  <c r="AG346" i="6"/>
  <c r="AH346" i="6"/>
  <c r="AG362" i="6"/>
  <c r="AH362" i="6"/>
  <c r="AG349" i="6"/>
  <c r="AH349" i="6"/>
  <c r="AG363" i="6"/>
  <c r="AH363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57" i="6"/>
  <c r="AH357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70" i="6"/>
  <c r="AH370" i="6"/>
  <c r="AG358" i="6"/>
  <c r="AH358" i="6"/>
  <c r="AG359" i="6"/>
  <c r="AH359" i="6"/>
  <c r="AG360" i="6"/>
  <c r="AH360" i="6"/>
  <c r="AG361" i="6"/>
  <c r="AH361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1" i="6"/>
  <c r="AH381" i="6"/>
  <c r="AG385" i="6"/>
  <c r="AH385" i="6"/>
  <c r="AG388" i="6"/>
  <c r="AH388" i="6"/>
  <c r="AG384" i="6"/>
  <c r="AH384" i="6"/>
  <c r="AG387" i="6"/>
  <c r="AH387" i="6"/>
  <c r="AG386" i="6"/>
  <c r="AH386" i="6"/>
  <c r="AG412" i="6"/>
  <c r="AH412" i="6"/>
  <c r="AG390" i="6"/>
  <c r="AH390" i="6"/>
  <c r="AG411" i="6"/>
  <c r="AH411" i="6"/>
  <c r="AG410" i="6"/>
  <c r="AH410" i="6"/>
  <c r="AG393" i="6"/>
  <c r="AH393" i="6"/>
  <c r="AG394" i="6"/>
  <c r="AH394" i="6"/>
  <c r="AG395" i="6"/>
  <c r="AH395" i="6"/>
  <c r="AG396" i="6"/>
  <c r="AH396" i="6"/>
  <c r="AG397" i="6"/>
  <c r="AH397" i="6"/>
  <c r="AG392" i="6"/>
  <c r="AH392" i="6"/>
  <c r="AG408" i="6"/>
  <c r="AH408" i="6"/>
  <c r="AG398" i="6"/>
  <c r="AH398" i="6"/>
  <c r="AG399" i="6"/>
  <c r="AH399" i="6"/>
  <c r="AG400" i="6"/>
  <c r="AH400" i="6"/>
  <c r="AG401" i="6"/>
  <c r="AH401" i="6"/>
  <c r="AG402" i="6"/>
  <c r="AH402" i="6"/>
  <c r="AG403" i="6"/>
  <c r="AH403" i="6"/>
  <c r="AG389" i="6"/>
  <c r="AH389" i="6"/>
  <c r="AG409" i="6"/>
  <c r="AH409" i="6"/>
  <c r="AG404" i="6"/>
  <c r="AH404" i="6"/>
  <c r="AG391" i="6"/>
  <c r="AH391" i="6"/>
  <c r="AG413" i="6"/>
  <c r="AH413" i="6"/>
  <c r="AG405" i="6"/>
  <c r="AH405" i="6"/>
  <c r="AG406" i="6"/>
  <c r="AH406" i="6"/>
  <c r="AG407" i="6"/>
  <c r="AH407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3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2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4" i="6"/>
  <c r="AF234" i="6"/>
  <c r="AF196" i="6"/>
  <c r="AF142" i="6"/>
  <c r="AF175" i="6"/>
  <c r="AF176" i="6"/>
  <c r="AF131" i="6"/>
  <c r="AF12" i="6"/>
  <c r="AF297" i="6"/>
  <c r="AF197" i="6"/>
  <c r="AF209" i="6"/>
  <c r="AF143" i="6"/>
  <c r="AF210" i="6"/>
  <c r="AF132" i="6"/>
  <c r="AF13" i="6"/>
  <c r="AF46" i="6"/>
  <c r="AF261" i="6"/>
  <c r="AF24" i="6"/>
  <c r="AF235" i="6"/>
  <c r="AF198" i="6"/>
  <c r="AF72" i="6"/>
  <c r="AF262" i="6"/>
  <c r="AF38" i="6"/>
  <c r="AF73" i="6"/>
  <c r="AF74" i="6"/>
  <c r="AF285" i="6"/>
  <c r="AF75" i="6"/>
  <c r="AF236" i="6"/>
  <c r="AF237" i="6"/>
  <c r="AF211" i="6"/>
  <c r="AF273" i="6"/>
  <c r="AF212" i="6"/>
  <c r="AF133" i="6"/>
  <c r="AF76" i="6"/>
  <c r="AF213" i="6"/>
  <c r="AF25" i="6"/>
  <c r="AF135" i="6"/>
  <c r="AF238" i="6"/>
  <c r="AF161" i="6"/>
  <c r="AF77" i="6"/>
  <c r="AF263" i="6"/>
  <c r="AF274" i="6"/>
  <c r="AF126" i="6"/>
  <c r="AF144" i="6"/>
  <c r="AF239" i="6"/>
  <c r="AF275" i="6"/>
  <c r="AF57" i="6"/>
  <c r="AF214" i="6"/>
  <c r="AF276" i="6"/>
  <c r="AF286" i="6"/>
  <c r="AF118" i="6"/>
  <c r="AF119" i="6"/>
  <c r="AF14" i="6"/>
  <c r="AF120" i="6"/>
  <c r="AF199" i="6"/>
  <c r="AF153" i="6"/>
  <c r="AF215" i="6"/>
  <c r="AF200" i="6"/>
  <c r="AF26" i="6"/>
  <c r="AF264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7" i="6"/>
  <c r="AF288" i="6"/>
  <c r="AF34" i="6"/>
  <c r="AF178" i="6"/>
  <c r="AF154" i="6"/>
  <c r="AF248" i="6"/>
  <c r="AF277" i="6"/>
  <c r="AF249" i="6"/>
  <c r="AF80" i="6"/>
  <c r="AF250" i="6"/>
  <c r="AF81" i="6"/>
  <c r="AF265" i="6"/>
  <c r="AF162" i="6"/>
  <c r="AF289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8" i="6"/>
  <c r="AF256" i="6"/>
  <c r="AF257" i="6"/>
  <c r="AF266" i="6"/>
  <c r="AF267" i="6"/>
  <c r="AF268" i="6"/>
  <c r="AF279" i="6"/>
  <c r="AF280" i="6"/>
  <c r="AF281" i="6"/>
  <c r="AF282" i="6"/>
  <c r="AF227" i="6"/>
  <c r="AF157" i="6"/>
  <c r="AF35" i="6"/>
  <c r="AF151" i="6"/>
  <c r="AF290" i="6"/>
  <c r="AF269" i="6"/>
  <c r="AF270" i="6"/>
  <c r="AF122" i="6"/>
  <c r="AF228" i="6"/>
  <c r="AF229" i="6"/>
  <c r="AF230" i="6"/>
  <c r="AF258" i="6"/>
  <c r="AF271" i="6"/>
  <c r="AF231" i="6"/>
  <c r="AF83" i="6"/>
  <c r="AF84" i="6"/>
  <c r="AF63" i="6"/>
  <c r="AF60" i="6"/>
  <c r="AF291" i="6"/>
  <c r="AF292" i="6"/>
  <c r="AF293" i="6"/>
  <c r="AF294" i="6"/>
  <c r="AF295" i="6"/>
  <c r="AF171" i="6"/>
  <c r="AF172" i="6"/>
  <c r="AF181" i="6"/>
  <c r="AF158" i="6"/>
  <c r="AF173" i="6"/>
  <c r="AF259" i="6"/>
  <c r="AF296" i="6"/>
  <c r="AF61" i="6"/>
  <c r="AF15" i="6"/>
  <c r="AF16" i="6"/>
  <c r="AF17" i="6"/>
  <c r="AF18" i="6"/>
  <c r="AF19" i="6"/>
  <c r="AF20" i="6"/>
  <c r="AF182" i="6"/>
  <c r="AF36" i="6"/>
  <c r="AF183" i="6"/>
  <c r="AF298" i="6"/>
  <c r="AF174" i="6"/>
  <c r="AF184" i="6"/>
  <c r="AF185" i="6"/>
  <c r="AF102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7" i="6"/>
  <c r="AF343" i="6"/>
  <c r="AF344" i="6"/>
  <c r="AF348" i="6"/>
  <c r="AF345" i="6"/>
  <c r="AF346" i="6"/>
  <c r="AF362" i="6"/>
  <c r="AF349" i="6"/>
  <c r="AF363" i="6"/>
  <c r="AF350" i="6"/>
  <c r="AF351" i="6"/>
  <c r="AF352" i="6"/>
  <c r="AF353" i="6"/>
  <c r="AF354" i="6"/>
  <c r="AF355" i="6"/>
  <c r="AF356" i="6"/>
  <c r="AF357" i="6"/>
  <c r="AF364" i="6"/>
  <c r="AF365" i="6"/>
  <c r="AF366" i="6"/>
  <c r="AF367" i="6"/>
  <c r="AF368" i="6"/>
  <c r="AF369" i="6"/>
  <c r="AF370" i="6"/>
  <c r="AF358" i="6"/>
  <c r="AF359" i="6"/>
  <c r="AF360" i="6"/>
  <c r="AF361" i="6"/>
  <c r="AF371" i="6"/>
  <c r="AF372" i="6"/>
  <c r="AF373" i="6"/>
  <c r="AF374" i="6"/>
  <c r="AF375" i="6"/>
  <c r="AF376" i="6"/>
  <c r="AF377" i="6"/>
  <c r="AF378" i="6"/>
  <c r="AF379" i="6"/>
  <c r="AF380" i="6"/>
  <c r="AF381" i="6"/>
  <c r="AF385" i="6"/>
  <c r="AF388" i="6"/>
  <c r="AF384" i="6"/>
  <c r="AF387" i="6"/>
  <c r="AF386" i="6"/>
  <c r="AF412" i="6"/>
  <c r="AF390" i="6"/>
  <c r="AF411" i="6"/>
  <c r="AF410" i="6"/>
  <c r="AF393" i="6"/>
  <c r="AF394" i="6"/>
  <c r="AF395" i="6"/>
  <c r="AF396" i="6"/>
  <c r="AF397" i="6"/>
  <c r="AF392" i="6"/>
  <c r="AF408" i="6"/>
  <c r="AF398" i="6"/>
  <c r="AF399" i="6"/>
  <c r="AF400" i="6"/>
  <c r="AF401" i="6"/>
  <c r="AF402" i="6"/>
  <c r="AF403" i="6"/>
  <c r="AF389" i="6"/>
  <c r="AF409" i="6"/>
  <c r="AF404" i="6"/>
  <c r="AF391" i="6"/>
  <c r="AF413" i="6"/>
  <c r="AF405" i="6"/>
  <c r="AF406" i="6"/>
  <c r="AF407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3" i="6"/>
  <c r="AC283" i="6"/>
  <c r="AD283" i="6"/>
  <c r="AE283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2" i="6"/>
  <c r="AC272" i="6"/>
  <c r="AD272" i="6"/>
  <c r="AE272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4" i="6"/>
  <c r="AC284" i="6"/>
  <c r="AD284" i="6"/>
  <c r="AE284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7" i="6"/>
  <c r="AC297" i="6"/>
  <c r="AD297" i="6"/>
  <c r="AE297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1" i="6"/>
  <c r="AC261" i="6"/>
  <c r="AD261" i="6"/>
  <c r="AE261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2" i="6"/>
  <c r="AC262" i="6"/>
  <c r="AD262" i="6"/>
  <c r="AE262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5" i="6"/>
  <c r="AC285" i="6"/>
  <c r="AD285" i="6"/>
  <c r="AE285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3" i="6"/>
  <c r="AC273" i="6"/>
  <c r="AD273" i="6"/>
  <c r="AE273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3" i="6"/>
  <c r="AC263" i="6"/>
  <c r="AD263" i="6"/>
  <c r="AE263" i="6"/>
  <c r="AB274" i="6"/>
  <c r="AC274" i="6"/>
  <c r="AD274" i="6"/>
  <c r="AE274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5" i="6"/>
  <c r="AC275" i="6"/>
  <c r="AD275" i="6"/>
  <c r="AE275" i="6"/>
  <c r="AB57" i="6"/>
  <c r="AC57" i="6"/>
  <c r="AD57" i="6"/>
  <c r="AE57" i="6"/>
  <c r="AB214" i="6"/>
  <c r="AC214" i="6"/>
  <c r="AD214" i="6"/>
  <c r="AE214" i="6"/>
  <c r="AB276" i="6"/>
  <c r="AC276" i="6"/>
  <c r="AD276" i="6"/>
  <c r="AE276" i="6"/>
  <c r="AB286" i="6"/>
  <c r="AC286" i="6"/>
  <c r="AD286" i="6"/>
  <c r="AE286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4" i="6"/>
  <c r="AC264" i="6"/>
  <c r="AD264" i="6"/>
  <c r="AE264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7" i="6"/>
  <c r="AC287" i="6"/>
  <c r="AD287" i="6"/>
  <c r="AE287" i="6"/>
  <c r="AB288" i="6"/>
  <c r="AC288" i="6"/>
  <c r="AD288" i="6"/>
  <c r="AE288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7" i="6"/>
  <c r="AC277" i="6"/>
  <c r="AD277" i="6"/>
  <c r="AE277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5" i="6"/>
  <c r="AC265" i="6"/>
  <c r="AD265" i="6"/>
  <c r="AE265" i="6"/>
  <c r="AB162" i="6"/>
  <c r="AC162" i="6"/>
  <c r="AD162" i="6"/>
  <c r="AE162" i="6"/>
  <c r="AB289" i="6"/>
  <c r="AC289" i="6"/>
  <c r="AD289" i="6"/>
  <c r="AE289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8" i="6"/>
  <c r="AC278" i="6"/>
  <c r="AD278" i="6"/>
  <c r="AE278" i="6"/>
  <c r="AB256" i="6"/>
  <c r="AC256" i="6"/>
  <c r="AD256" i="6"/>
  <c r="AE256" i="6"/>
  <c r="AB257" i="6"/>
  <c r="AC257" i="6"/>
  <c r="AD257" i="6"/>
  <c r="AE257" i="6"/>
  <c r="AB266" i="6"/>
  <c r="AC266" i="6"/>
  <c r="AD266" i="6"/>
  <c r="AE266" i="6"/>
  <c r="AB267" i="6"/>
  <c r="AC267" i="6"/>
  <c r="AD267" i="6"/>
  <c r="AE267" i="6"/>
  <c r="AB268" i="6"/>
  <c r="AC268" i="6"/>
  <c r="AD268" i="6"/>
  <c r="AE26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82" i="6"/>
  <c r="AC282" i="6"/>
  <c r="AD282" i="6"/>
  <c r="AE282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90" i="6"/>
  <c r="AC290" i="6"/>
  <c r="AD290" i="6"/>
  <c r="AE290" i="6"/>
  <c r="AB269" i="6"/>
  <c r="AC269" i="6"/>
  <c r="AD269" i="6"/>
  <c r="AE269" i="6"/>
  <c r="AB270" i="6"/>
  <c r="AC270" i="6"/>
  <c r="AD270" i="6"/>
  <c r="AE270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1" i="6"/>
  <c r="AC271" i="6"/>
  <c r="AD271" i="6"/>
  <c r="AE271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295" i="6"/>
  <c r="AC295" i="6"/>
  <c r="AD295" i="6"/>
  <c r="AE295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6" i="6"/>
  <c r="AC296" i="6"/>
  <c r="AD296" i="6"/>
  <c r="AE296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8" i="6"/>
  <c r="AC298" i="6"/>
  <c r="AD298" i="6"/>
  <c r="AE298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4" i="6"/>
  <c r="AC314" i="6"/>
  <c r="AD314" i="6"/>
  <c r="AE314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2" i="6"/>
  <c r="AC342" i="6"/>
  <c r="AD342" i="6"/>
  <c r="AE342" i="6"/>
  <c r="AB347" i="6"/>
  <c r="AC347" i="6"/>
  <c r="AD347" i="6"/>
  <c r="AE347" i="6"/>
  <c r="AB343" i="6"/>
  <c r="AC343" i="6"/>
  <c r="AD343" i="6"/>
  <c r="AE343" i="6"/>
  <c r="AB344" i="6"/>
  <c r="AC344" i="6"/>
  <c r="AD344" i="6"/>
  <c r="AE344" i="6"/>
  <c r="AB348" i="6"/>
  <c r="AC348" i="6"/>
  <c r="AD348" i="6"/>
  <c r="AE348" i="6"/>
  <c r="AB345" i="6"/>
  <c r="AC345" i="6"/>
  <c r="AD345" i="6"/>
  <c r="AE345" i="6"/>
  <c r="AB346" i="6"/>
  <c r="AC346" i="6"/>
  <c r="AD346" i="6"/>
  <c r="AE346" i="6"/>
  <c r="AB362" i="6"/>
  <c r="AC362" i="6"/>
  <c r="AD362" i="6"/>
  <c r="AE362" i="6"/>
  <c r="AB349" i="6"/>
  <c r="AC349" i="6"/>
  <c r="AD349" i="6"/>
  <c r="AE349" i="6"/>
  <c r="AB363" i="6"/>
  <c r="AC363" i="6"/>
  <c r="AD363" i="6"/>
  <c r="AE363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57" i="6"/>
  <c r="AC357" i="6"/>
  <c r="AD357" i="6"/>
  <c r="AE357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70" i="6"/>
  <c r="AC370" i="6"/>
  <c r="AD370" i="6"/>
  <c r="AE370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61" i="6"/>
  <c r="AC361" i="6"/>
  <c r="AD361" i="6"/>
  <c r="AE361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1" i="6"/>
  <c r="AC381" i="6"/>
  <c r="AD381" i="6"/>
  <c r="AE381" i="6"/>
  <c r="AB385" i="6"/>
  <c r="AC385" i="6"/>
  <c r="AD385" i="6"/>
  <c r="AE385" i="6"/>
  <c r="AB388" i="6"/>
  <c r="AC388" i="6"/>
  <c r="AD388" i="6"/>
  <c r="AE388" i="6"/>
  <c r="AB384" i="6"/>
  <c r="AC384" i="6"/>
  <c r="AD384" i="6"/>
  <c r="AE384" i="6"/>
  <c r="AB387" i="6"/>
  <c r="AC387" i="6"/>
  <c r="AD387" i="6"/>
  <c r="AE387" i="6"/>
  <c r="AB386" i="6"/>
  <c r="AC386" i="6"/>
  <c r="AD386" i="6"/>
  <c r="AE386" i="6"/>
  <c r="AB412" i="6"/>
  <c r="AC412" i="6"/>
  <c r="AD412" i="6"/>
  <c r="AE412" i="6"/>
  <c r="AB390" i="6"/>
  <c r="AC390" i="6"/>
  <c r="AD390" i="6"/>
  <c r="AE390" i="6"/>
  <c r="AB411" i="6"/>
  <c r="AC411" i="6"/>
  <c r="AD411" i="6"/>
  <c r="AE411" i="6"/>
  <c r="AB410" i="6"/>
  <c r="AC410" i="6"/>
  <c r="AD410" i="6"/>
  <c r="AE410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6" i="6"/>
  <c r="AC396" i="6"/>
  <c r="AD396" i="6"/>
  <c r="AE396" i="6"/>
  <c r="AB397" i="6"/>
  <c r="AC397" i="6"/>
  <c r="AD397" i="6"/>
  <c r="AE397" i="6"/>
  <c r="AB392" i="6"/>
  <c r="AC392" i="6"/>
  <c r="AD392" i="6"/>
  <c r="AE392" i="6"/>
  <c r="AB408" i="6"/>
  <c r="AC408" i="6"/>
  <c r="AD408" i="6"/>
  <c r="AE408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402" i="6"/>
  <c r="AC402" i="6"/>
  <c r="AD402" i="6"/>
  <c r="AE402" i="6"/>
  <c r="AB403" i="6"/>
  <c r="AC403" i="6"/>
  <c r="AD403" i="6"/>
  <c r="AE403" i="6"/>
  <c r="AB389" i="6"/>
  <c r="AC389" i="6"/>
  <c r="AD389" i="6"/>
  <c r="AE389" i="6"/>
  <c r="AB409" i="6"/>
  <c r="AC409" i="6"/>
  <c r="AD409" i="6"/>
  <c r="AE409" i="6"/>
  <c r="AB404" i="6"/>
  <c r="AC404" i="6"/>
  <c r="AD404" i="6"/>
  <c r="AE404" i="6"/>
  <c r="AB391" i="6"/>
  <c r="AC391" i="6"/>
  <c r="AD391" i="6"/>
  <c r="AE391" i="6"/>
  <c r="AB413" i="6"/>
  <c r="AC413" i="6"/>
  <c r="AD413" i="6"/>
  <c r="AE413" i="6"/>
  <c r="AB405" i="6"/>
  <c r="AC405" i="6"/>
  <c r="AD405" i="6"/>
  <c r="AE405" i="6"/>
  <c r="AB406" i="6"/>
  <c r="AC406" i="6"/>
  <c r="AD406" i="6"/>
  <c r="AE406" i="6"/>
  <c r="AB407" i="6"/>
  <c r="AC407" i="6"/>
  <c r="AD407" i="6"/>
  <c r="AE407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3" i="6"/>
  <c r="W283" i="6"/>
  <c r="X283" i="6"/>
  <c r="Y283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2" i="6"/>
  <c r="W272" i="6"/>
  <c r="X272" i="6"/>
  <c r="Y272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4" i="6"/>
  <c r="W284" i="6"/>
  <c r="X284" i="6"/>
  <c r="Y284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7" i="6"/>
  <c r="W297" i="6"/>
  <c r="X297" i="6"/>
  <c r="Y297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1" i="6"/>
  <c r="W261" i="6"/>
  <c r="X261" i="6"/>
  <c r="Y261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2" i="6"/>
  <c r="W262" i="6"/>
  <c r="X262" i="6"/>
  <c r="Y262" i="6"/>
  <c r="V38" i="6"/>
  <c r="W38" i="6"/>
  <c r="X38" i="6"/>
  <c r="Y38" i="6"/>
  <c r="V73" i="6"/>
  <c r="W73" i="6"/>
  <c r="X73" i="6"/>
  <c r="Y73" i="6"/>
  <c r="V74" i="6"/>
  <c r="W74" i="6"/>
  <c r="X74" i="6"/>
  <c r="Y74" i="6"/>
  <c r="V285" i="6"/>
  <c r="W285" i="6"/>
  <c r="X285" i="6"/>
  <c r="Y285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3" i="6"/>
  <c r="W273" i="6"/>
  <c r="X273" i="6"/>
  <c r="Y273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3" i="6"/>
  <c r="W263" i="6"/>
  <c r="X263" i="6"/>
  <c r="Y263" i="6"/>
  <c r="V274" i="6"/>
  <c r="W274" i="6"/>
  <c r="X274" i="6"/>
  <c r="Y274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5" i="6"/>
  <c r="W275" i="6"/>
  <c r="X275" i="6"/>
  <c r="Y275" i="6"/>
  <c r="V57" i="6"/>
  <c r="W57" i="6"/>
  <c r="X57" i="6"/>
  <c r="Y57" i="6"/>
  <c r="V214" i="6"/>
  <c r="W214" i="6"/>
  <c r="X214" i="6"/>
  <c r="Y214" i="6"/>
  <c r="V276" i="6"/>
  <c r="W276" i="6"/>
  <c r="X276" i="6"/>
  <c r="Y276" i="6"/>
  <c r="V286" i="6"/>
  <c r="W286" i="6"/>
  <c r="X286" i="6"/>
  <c r="Y286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4" i="6"/>
  <c r="W264" i="6"/>
  <c r="X264" i="6"/>
  <c r="Y264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7" i="6"/>
  <c r="W287" i="6"/>
  <c r="X287" i="6"/>
  <c r="Y287" i="6"/>
  <c r="V288" i="6"/>
  <c r="W288" i="6"/>
  <c r="X288" i="6"/>
  <c r="Y288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7" i="6"/>
  <c r="W277" i="6"/>
  <c r="X277" i="6"/>
  <c r="Y277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5" i="6"/>
  <c r="W265" i="6"/>
  <c r="X265" i="6"/>
  <c r="Y265" i="6"/>
  <c r="V162" i="6"/>
  <c r="W162" i="6"/>
  <c r="X162" i="6"/>
  <c r="Y162" i="6"/>
  <c r="V289" i="6"/>
  <c r="W289" i="6"/>
  <c r="X289" i="6"/>
  <c r="Y289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8" i="6"/>
  <c r="W278" i="6"/>
  <c r="X278" i="6"/>
  <c r="Y278" i="6"/>
  <c r="V256" i="6"/>
  <c r="W256" i="6"/>
  <c r="X256" i="6"/>
  <c r="Y256" i="6"/>
  <c r="V257" i="6"/>
  <c r="W257" i="6"/>
  <c r="X257" i="6"/>
  <c r="Y257" i="6"/>
  <c r="V266" i="6"/>
  <c r="W266" i="6"/>
  <c r="X266" i="6"/>
  <c r="Y266" i="6"/>
  <c r="V267" i="6"/>
  <c r="W267" i="6"/>
  <c r="X267" i="6"/>
  <c r="Y267" i="6"/>
  <c r="V268" i="6"/>
  <c r="W268" i="6"/>
  <c r="X268" i="6"/>
  <c r="Y26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82" i="6"/>
  <c r="W282" i="6"/>
  <c r="X282" i="6"/>
  <c r="Y282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90" i="6"/>
  <c r="W290" i="6"/>
  <c r="X290" i="6"/>
  <c r="Y290" i="6"/>
  <c r="V269" i="6"/>
  <c r="W269" i="6"/>
  <c r="X269" i="6"/>
  <c r="Y269" i="6"/>
  <c r="V270" i="6"/>
  <c r="W270" i="6"/>
  <c r="X270" i="6"/>
  <c r="Y270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1" i="6"/>
  <c r="W271" i="6"/>
  <c r="X271" i="6"/>
  <c r="Y271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295" i="6"/>
  <c r="W295" i="6"/>
  <c r="X295" i="6"/>
  <c r="Y295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6" i="6"/>
  <c r="W296" i="6"/>
  <c r="X296" i="6"/>
  <c r="Y296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8" i="6"/>
  <c r="W298" i="6"/>
  <c r="X298" i="6"/>
  <c r="Y298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4" i="6"/>
  <c r="W314" i="6"/>
  <c r="X314" i="6"/>
  <c r="Y314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2" i="6"/>
  <c r="W342" i="6"/>
  <c r="X342" i="6"/>
  <c r="Y342" i="6"/>
  <c r="V347" i="6"/>
  <c r="W347" i="6"/>
  <c r="X347" i="6"/>
  <c r="Y347" i="6"/>
  <c r="V343" i="6"/>
  <c r="W343" i="6"/>
  <c r="X343" i="6"/>
  <c r="Y343" i="6"/>
  <c r="V344" i="6"/>
  <c r="W344" i="6"/>
  <c r="X344" i="6"/>
  <c r="Y344" i="6"/>
  <c r="V348" i="6"/>
  <c r="W348" i="6"/>
  <c r="X348" i="6"/>
  <c r="Y348" i="6"/>
  <c r="V345" i="6"/>
  <c r="W345" i="6"/>
  <c r="X345" i="6"/>
  <c r="Y345" i="6"/>
  <c r="V346" i="6"/>
  <c r="W346" i="6"/>
  <c r="X346" i="6"/>
  <c r="Y346" i="6"/>
  <c r="V362" i="6"/>
  <c r="W362" i="6"/>
  <c r="X362" i="6"/>
  <c r="Y362" i="6"/>
  <c r="V349" i="6"/>
  <c r="W349" i="6"/>
  <c r="X349" i="6"/>
  <c r="Y349" i="6"/>
  <c r="V363" i="6"/>
  <c r="W363" i="6"/>
  <c r="X363" i="6"/>
  <c r="Y363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57" i="6"/>
  <c r="W357" i="6"/>
  <c r="X357" i="6"/>
  <c r="Y357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70" i="6"/>
  <c r="W370" i="6"/>
  <c r="X370" i="6"/>
  <c r="Y370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61" i="6"/>
  <c r="W361" i="6"/>
  <c r="X361" i="6"/>
  <c r="Y361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1" i="6"/>
  <c r="W381" i="6"/>
  <c r="X381" i="6"/>
  <c r="Y381" i="6"/>
  <c r="V385" i="6"/>
  <c r="W385" i="6"/>
  <c r="X385" i="6"/>
  <c r="Y385" i="6"/>
  <c r="V388" i="6"/>
  <c r="W388" i="6"/>
  <c r="X388" i="6"/>
  <c r="Y388" i="6"/>
  <c r="V384" i="6"/>
  <c r="W384" i="6"/>
  <c r="X384" i="6"/>
  <c r="Y384" i="6"/>
  <c r="V387" i="6"/>
  <c r="W387" i="6"/>
  <c r="X387" i="6"/>
  <c r="Y387" i="6"/>
  <c r="V386" i="6"/>
  <c r="W386" i="6"/>
  <c r="X386" i="6"/>
  <c r="Y386" i="6"/>
  <c r="V412" i="6"/>
  <c r="W412" i="6"/>
  <c r="X412" i="6"/>
  <c r="Y412" i="6"/>
  <c r="V390" i="6"/>
  <c r="W390" i="6"/>
  <c r="X390" i="6"/>
  <c r="Y390" i="6"/>
  <c r="V411" i="6"/>
  <c r="W411" i="6"/>
  <c r="X411" i="6"/>
  <c r="Y411" i="6"/>
  <c r="V410" i="6"/>
  <c r="W410" i="6"/>
  <c r="X410" i="6"/>
  <c r="Y410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6" i="6"/>
  <c r="W396" i="6"/>
  <c r="X396" i="6"/>
  <c r="Y396" i="6"/>
  <c r="V397" i="6"/>
  <c r="W397" i="6"/>
  <c r="X397" i="6"/>
  <c r="Y397" i="6"/>
  <c r="V392" i="6"/>
  <c r="W392" i="6"/>
  <c r="X392" i="6"/>
  <c r="Y392" i="6"/>
  <c r="V408" i="6"/>
  <c r="W408" i="6"/>
  <c r="X408" i="6"/>
  <c r="Y408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402" i="6"/>
  <c r="W402" i="6"/>
  <c r="X402" i="6"/>
  <c r="Y402" i="6"/>
  <c r="V403" i="6"/>
  <c r="W403" i="6"/>
  <c r="X403" i="6"/>
  <c r="Y403" i="6"/>
  <c r="V389" i="6"/>
  <c r="W389" i="6"/>
  <c r="X389" i="6"/>
  <c r="Y389" i="6"/>
  <c r="V409" i="6"/>
  <c r="W409" i="6"/>
  <c r="X409" i="6"/>
  <c r="Y409" i="6"/>
  <c r="V404" i="6"/>
  <c r="W404" i="6"/>
  <c r="X404" i="6"/>
  <c r="Y404" i="6"/>
  <c r="V391" i="6"/>
  <c r="W391" i="6"/>
  <c r="X391" i="6"/>
  <c r="Y391" i="6"/>
  <c r="V413" i="6"/>
  <c r="W413" i="6"/>
  <c r="X413" i="6"/>
  <c r="Y413" i="6"/>
  <c r="V405" i="6"/>
  <c r="W405" i="6"/>
  <c r="X405" i="6"/>
  <c r="Y405" i="6"/>
  <c r="V406" i="6"/>
  <c r="W406" i="6"/>
  <c r="X406" i="6"/>
  <c r="Y406" i="6"/>
  <c r="V407" i="6"/>
  <c r="W407" i="6"/>
  <c r="X407" i="6"/>
  <c r="Y407" i="6"/>
  <c r="C410" i="6"/>
  <c r="C155" i="6"/>
  <c r="C116" i="6"/>
  <c r="C115" i="6"/>
  <c r="C391" i="6"/>
  <c r="C326" i="6"/>
  <c r="C393" i="6"/>
  <c r="C401" i="6"/>
  <c r="C403" i="6"/>
  <c r="C134" i="6"/>
  <c r="C117" i="6"/>
  <c r="C289" i="6"/>
  <c r="C6" i="6"/>
  <c r="C34" i="6"/>
  <c r="C7" i="6"/>
  <c r="C390" i="6"/>
  <c r="C409" i="6"/>
  <c r="C175" i="6"/>
  <c r="C389" i="6"/>
  <c r="C283" i="6"/>
  <c r="C179" i="6"/>
  <c r="C224" i="6"/>
  <c r="C336" i="6"/>
  <c r="C129" i="6"/>
  <c r="C5" i="6"/>
  <c r="C4" i="6"/>
  <c r="C3" i="6"/>
  <c r="C341" i="6"/>
  <c r="C398" i="6"/>
  <c r="C406" i="6"/>
  <c r="C2" i="6"/>
  <c r="C114" i="6"/>
  <c r="C287" i="6"/>
  <c r="C334" i="6"/>
  <c r="C10" i="6"/>
  <c r="C373" i="6"/>
  <c r="C378" i="6"/>
  <c r="C371" i="6"/>
  <c r="C360" i="6"/>
  <c r="C413" i="6"/>
  <c r="C30" i="6"/>
  <c r="C153" i="6"/>
  <c r="C408" i="6"/>
  <c r="C40" i="6"/>
  <c r="C45" i="6"/>
  <c r="C392" i="6"/>
  <c r="C11" i="6"/>
  <c r="C200" i="6"/>
  <c r="C255" i="6"/>
  <c r="C359" i="6"/>
  <c r="C27" i="6"/>
  <c r="C412" i="6"/>
  <c r="C394" i="6"/>
  <c r="C396" i="6"/>
  <c r="C399" i="6"/>
  <c r="C400" i="6"/>
  <c r="C402" i="6"/>
  <c r="C407" i="6"/>
  <c r="C276" i="6"/>
  <c r="C288" i="6"/>
  <c r="C404" i="6"/>
  <c r="C274" i="6"/>
  <c r="C332" i="6"/>
  <c r="C29" i="6"/>
  <c r="C405" i="6"/>
  <c r="C26" i="6"/>
  <c r="C77" i="6"/>
  <c r="C86" i="6"/>
  <c r="C44" i="6"/>
  <c r="C19" i="6"/>
  <c r="C154" i="6"/>
  <c r="C39" i="6"/>
  <c r="C17" i="6"/>
  <c r="C135" i="6"/>
  <c r="C285" i="6"/>
  <c r="C286" i="6"/>
  <c r="C24" i="6"/>
  <c r="C256" i="6"/>
  <c r="C304" i="6"/>
  <c r="C397" i="6"/>
  <c r="C61" i="6"/>
  <c r="C296" i="6"/>
  <c r="C16" i="6"/>
  <c r="C18" i="6"/>
  <c r="C251" i="6"/>
  <c r="C12" i="6"/>
  <c r="C368" i="6"/>
  <c r="C411" i="6"/>
  <c r="C261" i="6"/>
  <c r="C385" i="6"/>
  <c r="C230" i="6"/>
  <c r="C361" i="6"/>
  <c r="C80" i="6"/>
  <c r="C238" i="6"/>
  <c r="C227" i="6"/>
  <c r="C131" i="6"/>
  <c r="C15" i="6"/>
  <c r="C25" i="6"/>
  <c r="C43" i="6"/>
  <c r="C20" i="6"/>
  <c r="C323" i="6"/>
  <c r="C395" i="6"/>
  <c r="C259" i="6"/>
  <c r="C68" i="6"/>
  <c r="C267" i="6"/>
  <c r="C303" i="6"/>
  <c r="C312" i="6"/>
  <c r="C302" i="6"/>
  <c r="C330" i="6"/>
  <c r="C160" i="6"/>
  <c r="C161" i="6"/>
  <c r="C235" i="6"/>
  <c r="C277" i="6"/>
  <c r="C35" i="6"/>
  <c r="C233" i="6"/>
  <c r="C375" i="6"/>
  <c r="C324" i="6"/>
  <c r="C232" i="6"/>
  <c r="C37" i="6"/>
  <c r="C189" i="6"/>
  <c r="C192" i="6"/>
  <c r="C221" i="6"/>
  <c r="C193" i="6"/>
  <c r="C194" i="6"/>
  <c r="C236" i="6"/>
  <c r="C178" i="6"/>
  <c r="C66" i="6"/>
  <c r="C282" i="6"/>
  <c r="C213" i="6"/>
  <c r="C151" i="6"/>
  <c r="C97" i="6"/>
  <c r="C141" i="6"/>
  <c r="C290" i="6"/>
  <c r="C268" i="6"/>
  <c r="C237" i="6"/>
  <c r="C248" i="6"/>
  <c r="C246" i="6"/>
  <c r="C191" i="6"/>
  <c r="C99" i="6"/>
  <c r="C214" i="6"/>
  <c r="C64" i="6"/>
  <c r="C388" i="6"/>
  <c r="C347" i="6"/>
  <c r="C132" i="6"/>
  <c r="C266" i="6"/>
  <c r="C212" i="6"/>
  <c r="C102" i="6"/>
  <c r="C106" i="6"/>
  <c r="C165" i="6"/>
  <c r="C185" i="6"/>
  <c r="C264" i="6"/>
  <c r="C100" i="6"/>
  <c r="C258" i="6"/>
  <c r="C159" i="6"/>
  <c r="C88" i="6"/>
  <c r="C42" i="6"/>
  <c r="C41" i="6"/>
  <c r="C121" i="6"/>
  <c r="C57" i="6"/>
  <c r="C70" i="6"/>
  <c r="C306" i="6"/>
  <c r="C176" i="6"/>
  <c r="C110" i="6"/>
  <c r="C111" i="6"/>
  <c r="C81" i="6"/>
  <c r="C188" i="6"/>
  <c r="C74" i="6"/>
  <c r="C252" i="6"/>
  <c r="C386" i="6"/>
  <c r="C73" i="6"/>
  <c r="C14" i="6"/>
  <c r="C387" i="6"/>
  <c r="C38" i="6"/>
  <c r="C250" i="6"/>
  <c r="C162" i="6"/>
  <c r="C108" i="6"/>
  <c r="C109" i="6"/>
  <c r="C107" i="6"/>
  <c r="C163" i="6"/>
  <c r="C314" i="6"/>
  <c r="C325" i="6"/>
  <c r="C271" i="6"/>
  <c r="C112" i="6"/>
  <c r="C180" i="6"/>
  <c r="C229" i="6"/>
  <c r="C228" i="6"/>
  <c r="C280" i="6"/>
  <c r="C265" i="6"/>
  <c r="C76" i="6"/>
  <c r="C90" i="6"/>
  <c r="C249" i="6"/>
  <c r="C103" i="6"/>
  <c r="C95" i="6"/>
  <c r="C279" i="6"/>
  <c r="C245" i="6"/>
  <c r="C257" i="6"/>
  <c r="C150" i="6"/>
  <c r="C136" i="6"/>
  <c r="C152" i="6"/>
  <c r="C156" i="6"/>
  <c r="C101" i="6"/>
  <c r="C56" i="6"/>
  <c r="C89" i="6"/>
  <c r="C91" i="6"/>
  <c r="C223" i="6"/>
  <c r="C365" i="6"/>
  <c r="C130" i="6"/>
  <c r="C59" i="6"/>
  <c r="C65" i="6"/>
  <c r="C93" i="6"/>
  <c r="C262" i="6"/>
  <c r="C96" i="6"/>
  <c r="C71" i="6"/>
  <c r="C216" i="6"/>
  <c r="C148" i="6"/>
  <c r="C309" i="6"/>
  <c r="C329" i="6"/>
  <c r="C284" i="6"/>
  <c r="C137" i="6"/>
  <c r="C75" i="6"/>
  <c r="C92" i="6"/>
  <c r="C263" i="6"/>
  <c r="C149" i="6"/>
  <c r="C313" i="6"/>
  <c r="C364" i="6"/>
  <c r="C270" i="6"/>
  <c r="C172" i="6"/>
  <c r="C203" i="6"/>
  <c r="C69" i="6"/>
  <c r="C124" i="6"/>
  <c r="C145" i="6"/>
  <c r="C94" i="6"/>
  <c r="C208" i="6"/>
  <c r="C123" i="6"/>
  <c r="C372" i="6"/>
  <c r="C322" i="6"/>
  <c r="C254" i="6"/>
  <c r="C243" i="6"/>
  <c r="C207" i="6"/>
  <c r="C273" i="6"/>
  <c r="C31" i="6"/>
  <c r="C138" i="6"/>
  <c r="C298" i="6"/>
  <c r="C173" i="6"/>
  <c r="C105" i="6"/>
  <c r="C205" i="6"/>
  <c r="C305" i="6"/>
  <c r="C98" i="6"/>
  <c r="C170" i="6"/>
  <c r="C169" i="6"/>
  <c r="C380" i="6"/>
  <c r="C53" i="6"/>
  <c r="C127" i="6"/>
  <c r="C84" i="6"/>
  <c r="C376" i="6"/>
  <c r="C60" i="6"/>
  <c r="C278" i="6"/>
  <c r="C247" i="6"/>
  <c r="C301" i="6"/>
  <c r="C308" i="6"/>
  <c r="C321" i="6"/>
  <c r="C79" i="6"/>
  <c r="C292" i="6"/>
  <c r="C222" i="6"/>
  <c r="C126" i="6"/>
  <c r="C133" i="6"/>
  <c r="C125" i="6"/>
  <c r="C33" i="6"/>
  <c r="C128" i="6"/>
  <c r="C272" i="6"/>
  <c r="C275" i="6"/>
  <c r="C240" i="6"/>
  <c r="C204" i="6"/>
  <c r="C171" i="6"/>
  <c r="C164" i="6"/>
  <c r="C327" i="6"/>
  <c r="C370" i="6"/>
  <c r="C366" i="6"/>
  <c r="C369" i="6"/>
  <c r="C142" i="6"/>
  <c r="C241" i="6"/>
  <c r="C67" i="6"/>
  <c r="C85" i="6"/>
  <c r="C199" i="6"/>
  <c r="C206" i="6"/>
  <c r="C113" i="6"/>
  <c r="C174" i="6"/>
  <c r="C300" i="6"/>
  <c r="C58" i="6"/>
  <c r="C253" i="6"/>
  <c r="C291" i="6"/>
  <c r="C146" i="6"/>
  <c r="C234" i="6"/>
  <c r="C87" i="6"/>
  <c r="C337" i="6"/>
  <c r="C183" i="6"/>
  <c r="C244" i="6"/>
  <c r="C177" i="6"/>
  <c r="C104" i="6"/>
  <c r="C239" i="6"/>
  <c r="C47" i="6"/>
  <c r="C158" i="6"/>
  <c r="C63" i="6"/>
  <c r="C36" i="6"/>
  <c r="C331" i="6"/>
  <c r="C167" i="6"/>
  <c r="C82" i="6"/>
  <c r="C294" i="6"/>
  <c r="C32" i="6"/>
  <c r="C119" i="6"/>
  <c r="C182" i="6"/>
  <c r="C83" i="6"/>
  <c r="C215" i="6"/>
  <c r="C355" i="6"/>
  <c r="C293" i="6"/>
  <c r="C226" i="6"/>
  <c r="C72" i="6"/>
  <c r="C197" i="6"/>
  <c r="C184" i="6"/>
  <c r="C211" i="6"/>
  <c r="C358" i="6"/>
  <c r="C62" i="6"/>
  <c r="C202" i="6"/>
  <c r="C147" i="6"/>
  <c r="C379" i="6"/>
  <c r="C157" i="6"/>
  <c r="C356" i="6"/>
  <c r="C335" i="6"/>
  <c r="C23" i="6"/>
  <c r="C201" i="6"/>
  <c r="C295" i="6"/>
  <c r="C21" i="6"/>
  <c r="C242" i="6"/>
  <c r="C186" i="6"/>
  <c r="C122" i="6"/>
  <c r="C166" i="6"/>
  <c r="C384" i="6"/>
  <c r="C8" i="6"/>
  <c r="C231" i="6"/>
  <c r="C51" i="6"/>
  <c r="C220" i="6"/>
  <c r="C22" i="6"/>
  <c r="C349" i="6"/>
  <c r="C218" i="6"/>
  <c r="C345" i="6"/>
  <c r="C307" i="6"/>
  <c r="C181" i="6"/>
  <c r="C196" i="6"/>
  <c r="C144" i="6"/>
  <c r="C118" i="6"/>
  <c r="C353" i="6"/>
  <c r="C219" i="6"/>
  <c r="C28" i="6"/>
  <c r="C209" i="6"/>
  <c r="C54" i="6"/>
  <c r="C55" i="6"/>
  <c r="C48" i="6"/>
  <c r="C310" i="6"/>
  <c r="C311" i="6"/>
  <c r="C187" i="6"/>
  <c r="C195" i="6"/>
  <c r="C333" i="6"/>
  <c r="C354" i="6"/>
  <c r="C190" i="6"/>
  <c r="C9" i="6"/>
  <c r="C52" i="6"/>
  <c r="C78" i="6"/>
  <c r="C346" i="6"/>
  <c r="C269" i="6"/>
  <c r="C120" i="6"/>
  <c r="C374" i="6"/>
  <c r="C50" i="6"/>
  <c r="C49" i="6"/>
  <c r="C143" i="6"/>
  <c r="C363" i="6"/>
  <c r="C198" i="6"/>
  <c r="C13" i="6"/>
  <c r="C377" i="6"/>
  <c r="C362" i="6"/>
  <c r="C316" i="6"/>
  <c r="C381" i="6"/>
  <c r="C46" i="6"/>
  <c r="C317" i="6"/>
  <c r="C318" i="6"/>
  <c r="C343" i="6"/>
  <c r="C344" i="6"/>
  <c r="C210" i="6"/>
  <c r="C217" i="6"/>
  <c r="C340" i="6"/>
  <c r="C357" i="6"/>
  <c r="C297" i="6"/>
  <c r="C339" i="6"/>
  <c r="C320" i="6"/>
  <c r="C338" i="6"/>
  <c r="C319" i="6"/>
  <c r="C367" i="6"/>
  <c r="C342" i="6"/>
  <c r="C350" i="6"/>
  <c r="C348" i="6"/>
  <c r="C351" i="6"/>
  <c r="C352" i="6"/>
  <c r="C168" i="6"/>
  <c r="C281" i="6"/>
  <c r="C328" i="6"/>
  <c r="C225" i="6"/>
  <c r="B328" i="6"/>
  <c r="B281" i="6"/>
  <c r="B168" i="6"/>
  <c r="B352" i="6"/>
  <c r="B351" i="6"/>
  <c r="B348" i="6"/>
  <c r="B350" i="6"/>
  <c r="B342" i="6"/>
  <c r="B367" i="6"/>
  <c r="B319" i="6"/>
  <c r="B338" i="6"/>
  <c r="B320" i="6"/>
  <c r="B339" i="6"/>
  <c r="B297" i="6"/>
  <c r="B357" i="6"/>
  <c r="B340" i="6"/>
  <c r="B217" i="6"/>
  <c r="B210" i="6"/>
  <c r="B344" i="6"/>
  <c r="B343" i="6"/>
  <c r="B318" i="6"/>
  <c r="B317" i="6"/>
  <c r="B46" i="6"/>
  <c r="B381" i="6"/>
  <c r="B316" i="6"/>
  <c r="B362" i="6"/>
  <c r="B377" i="6"/>
  <c r="B13" i="6"/>
  <c r="B198" i="6"/>
  <c r="B363" i="6"/>
  <c r="B143" i="6"/>
  <c r="B49" i="6"/>
  <c r="B50" i="6"/>
  <c r="B374" i="6"/>
  <c r="B120" i="6"/>
  <c r="B269" i="6"/>
  <c r="B346" i="6"/>
  <c r="B78" i="6"/>
  <c r="B52" i="6"/>
  <c r="B9" i="6"/>
  <c r="B190" i="6"/>
  <c r="B354" i="6"/>
  <c r="B333" i="6"/>
  <c r="B195" i="6"/>
  <c r="B311" i="6"/>
  <c r="B310" i="6"/>
  <c r="B48" i="6"/>
  <c r="B55" i="6"/>
  <c r="B54" i="6"/>
  <c r="B209" i="6"/>
  <c r="B28" i="6"/>
  <c r="B219" i="6"/>
  <c r="B353" i="6"/>
  <c r="B118" i="6"/>
  <c r="B144" i="6"/>
  <c r="B196" i="6"/>
  <c r="B181" i="6"/>
  <c r="B307" i="6"/>
  <c r="B345" i="6"/>
  <c r="B218" i="6"/>
  <c r="B349" i="6"/>
  <c r="B22" i="6"/>
  <c r="B220" i="6"/>
  <c r="B51" i="6"/>
  <c r="B231" i="6"/>
  <c r="B8" i="6"/>
  <c r="B384" i="6"/>
  <c r="B166" i="6"/>
  <c r="B122" i="6"/>
  <c r="B186" i="6"/>
  <c r="B242" i="6"/>
  <c r="B21" i="6"/>
  <c r="B295" i="6"/>
  <c r="B201" i="6"/>
  <c r="B23" i="6"/>
  <c r="B335" i="6"/>
  <c r="B356" i="6"/>
  <c r="B157" i="6"/>
  <c r="B379" i="6"/>
  <c r="B147" i="6"/>
  <c r="B202" i="6"/>
  <c r="B62" i="6"/>
  <c r="B358" i="6"/>
  <c r="B211" i="6"/>
  <c r="B184" i="6"/>
  <c r="B197" i="6"/>
  <c r="B72" i="6"/>
  <c r="B226" i="6"/>
  <c r="B293" i="6"/>
  <c r="B355" i="6"/>
  <c r="B215" i="6"/>
  <c r="B83" i="6"/>
  <c r="B182" i="6"/>
  <c r="B119" i="6"/>
  <c r="B32" i="6"/>
  <c r="B294" i="6"/>
  <c r="B82" i="6"/>
  <c r="B167" i="6"/>
  <c r="B331" i="6"/>
  <c r="B36" i="6"/>
  <c r="B63" i="6"/>
  <c r="B158" i="6"/>
  <c r="B47" i="6"/>
  <c r="B239" i="6"/>
  <c r="B104" i="6"/>
  <c r="B177" i="6"/>
  <c r="B244" i="6"/>
  <c r="B183" i="6"/>
  <c r="B337" i="6"/>
  <c r="B87" i="6"/>
  <c r="B234" i="6"/>
  <c r="B146" i="6"/>
  <c r="B291" i="6"/>
  <c r="B253" i="6"/>
  <c r="B58" i="6"/>
  <c r="B300" i="6"/>
  <c r="B174" i="6"/>
  <c r="B113" i="6"/>
  <c r="B206" i="6"/>
  <c r="B199" i="6"/>
  <c r="B85" i="6"/>
  <c r="B67" i="6"/>
  <c r="B241" i="6"/>
  <c r="B142" i="6"/>
  <c r="B369" i="6"/>
  <c r="B366" i="6"/>
  <c r="B370" i="6"/>
  <c r="B327" i="6"/>
  <c r="B164" i="6"/>
  <c r="B171" i="6"/>
  <c r="B204" i="6"/>
  <c r="B240" i="6"/>
  <c r="B275" i="6"/>
  <c r="B272" i="6"/>
  <c r="B128" i="6"/>
  <c r="B33" i="6"/>
  <c r="B125" i="6"/>
  <c r="B133" i="6"/>
  <c r="B126" i="6"/>
  <c r="B222" i="6"/>
  <c r="B292" i="6"/>
  <c r="B79" i="6"/>
  <c r="B321" i="6"/>
  <c r="B308" i="6"/>
  <c r="B301" i="6"/>
  <c r="B247" i="6"/>
  <c r="B278" i="6"/>
  <c r="B60" i="6"/>
  <c r="B376" i="6"/>
  <c r="B84" i="6"/>
  <c r="B127" i="6"/>
  <c r="B53" i="6"/>
  <c r="B380" i="6"/>
  <c r="B169" i="6"/>
  <c r="B170" i="6"/>
  <c r="B98" i="6"/>
  <c r="B305" i="6"/>
  <c r="B205" i="6"/>
  <c r="B105" i="6"/>
  <c r="B173" i="6"/>
  <c r="B298" i="6"/>
  <c r="B138" i="6"/>
  <c r="B31" i="6"/>
  <c r="B273" i="6"/>
  <c r="B207" i="6"/>
  <c r="B243" i="6"/>
  <c r="B254" i="6"/>
  <c r="B322" i="6"/>
  <c r="B372" i="6"/>
  <c r="B123" i="6"/>
  <c r="B208" i="6"/>
  <c r="B94" i="6"/>
  <c r="B145" i="6"/>
  <c r="B124" i="6"/>
  <c r="B69" i="6"/>
  <c r="B203" i="6"/>
  <c r="B172" i="6"/>
  <c r="B270" i="6"/>
  <c r="B364" i="6"/>
  <c r="B313" i="6"/>
  <c r="B149" i="6"/>
  <c r="B263" i="6"/>
  <c r="B92" i="6"/>
  <c r="B75" i="6"/>
  <c r="B137" i="6"/>
  <c r="B284" i="6"/>
  <c r="B329" i="6"/>
  <c r="B309" i="6"/>
  <c r="B148" i="6"/>
  <c r="B216" i="6"/>
  <c r="B71" i="6"/>
  <c r="B96" i="6"/>
  <c r="B262" i="6"/>
  <c r="B93" i="6"/>
  <c r="B65" i="6"/>
  <c r="B59" i="6"/>
  <c r="B130" i="6"/>
  <c r="B365" i="6"/>
  <c r="B223" i="6"/>
  <c r="B91" i="6"/>
  <c r="B89" i="6"/>
  <c r="B56" i="6"/>
  <c r="B101" i="6"/>
  <c r="B156" i="6"/>
  <c r="B152" i="6"/>
  <c r="B136" i="6"/>
  <c r="B150" i="6"/>
  <c r="B257" i="6"/>
  <c r="B245" i="6"/>
  <c r="B279" i="6"/>
  <c r="B95" i="6"/>
  <c r="B103" i="6"/>
  <c r="B249" i="6"/>
  <c r="B90" i="6"/>
  <c r="B76" i="6"/>
  <c r="B265" i="6"/>
  <c r="B280" i="6"/>
  <c r="B228" i="6"/>
  <c r="B229" i="6"/>
  <c r="B180" i="6"/>
  <c r="B112" i="6"/>
  <c r="B325" i="6"/>
  <c r="B314" i="6"/>
  <c r="B163" i="6"/>
  <c r="B107" i="6"/>
  <c r="B109" i="6"/>
  <c r="B108" i="6"/>
  <c r="B162" i="6"/>
  <c r="B250" i="6"/>
  <c r="B38" i="6"/>
  <c r="B387" i="6"/>
  <c r="B14" i="6"/>
  <c r="B73" i="6"/>
  <c r="B386" i="6"/>
  <c r="B252" i="6"/>
  <c r="B74" i="6"/>
  <c r="B81" i="6"/>
  <c r="B111" i="6"/>
  <c r="B110" i="6"/>
  <c r="B176" i="6"/>
  <c r="B306" i="6"/>
  <c r="B70" i="6"/>
  <c r="B57" i="6"/>
  <c r="B121" i="6"/>
  <c r="B41" i="6"/>
  <c r="B42" i="6"/>
  <c r="B88" i="6"/>
  <c r="B159" i="6"/>
  <c r="B258" i="6"/>
  <c r="B100" i="6"/>
  <c r="B264" i="6"/>
  <c r="B185" i="6"/>
  <c r="B165" i="6"/>
  <c r="B106" i="6"/>
  <c r="B102" i="6"/>
  <c r="B212" i="6"/>
  <c r="B266" i="6"/>
  <c r="B132" i="6"/>
  <c r="B347" i="6"/>
  <c r="B388" i="6"/>
  <c r="B64" i="6"/>
  <c r="B214" i="6"/>
  <c r="B99" i="6"/>
  <c r="B191" i="6"/>
  <c r="B246" i="6"/>
  <c r="B248" i="6"/>
  <c r="B237" i="6"/>
  <c r="B268" i="6"/>
  <c r="B290" i="6"/>
  <c r="B141" i="6"/>
  <c r="B97" i="6"/>
  <c r="B151" i="6"/>
  <c r="B213" i="6"/>
  <c r="B282" i="6"/>
  <c r="B178" i="6"/>
  <c r="B236" i="6"/>
  <c r="B194" i="6"/>
  <c r="B193" i="6"/>
  <c r="B221" i="6"/>
  <c r="B192" i="6"/>
  <c r="B189" i="6"/>
  <c r="B37" i="6"/>
  <c r="B232" i="6"/>
  <c r="B324" i="6"/>
  <c r="B375" i="6"/>
  <c r="B233" i="6"/>
  <c r="B35" i="6"/>
  <c r="B277" i="6"/>
  <c r="B235" i="6"/>
  <c r="B161" i="6"/>
  <c r="B160" i="6"/>
  <c r="B330" i="6"/>
  <c r="B302" i="6"/>
  <c r="B312" i="6"/>
  <c r="B303" i="6"/>
  <c r="B267" i="6"/>
  <c r="B68" i="6"/>
  <c r="B259" i="6"/>
  <c r="B395" i="6"/>
  <c r="B323" i="6"/>
  <c r="B20" i="6"/>
  <c r="B43" i="6"/>
  <c r="B25" i="6"/>
  <c r="B15" i="6"/>
  <c r="B131" i="6"/>
  <c r="B227" i="6"/>
  <c r="B238" i="6"/>
  <c r="B80" i="6"/>
  <c r="B361" i="6"/>
  <c r="B230" i="6"/>
  <c r="B385" i="6"/>
  <c r="B261" i="6"/>
  <c r="B411" i="6"/>
  <c r="B368" i="6"/>
  <c r="B12" i="6"/>
  <c r="B251" i="6"/>
  <c r="B18" i="6"/>
  <c r="B16" i="6"/>
  <c r="B296" i="6"/>
  <c r="B61" i="6"/>
  <c r="B397" i="6"/>
  <c r="B304" i="6"/>
  <c r="B256" i="6"/>
  <c r="B24" i="6"/>
  <c r="B286" i="6"/>
  <c r="B285" i="6"/>
  <c r="B135" i="6"/>
  <c r="B17" i="6"/>
  <c r="B39" i="6"/>
  <c r="B154" i="6"/>
  <c r="B19" i="6"/>
  <c r="B44" i="6"/>
  <c r="B86" i="6"/>
  <c r="B77" i="6"/>
  <c r="B26" i="6"/>
  <c r="B405" i="6"/>
  <c r="B29" i="6"/>
  <c r="B332" i="6"/>
  <c r="B274" i="6"/>
  <c r="B404" i="6"/>
  <c r="B288" i="6"/>
  <c r="B276" i="6"/>
  <c r="B407" i="6"/>
  <c r="B402" i="6"/>
  <c r="B400" i="6"/>
  <c r="B399" i="6"/>
  <c r="B396" i="6"/>
  <c r="B394" i="6"/>
  <c r="B412" i="6"/>
  <c r="B27" i="6"/>
  <c r="B359" i="6"/>
  <c r="B255" i="6"/>
  <c r="B200" i="6"/>
  <c r="B11" i="6"/>
  <c r="B392" i="6"/>
  <c r="B45" i="6"/>
  <c r="B40" i="6"/>
  <c r="B408" i="6"/>
  <c r="B153" i="6"/>
  <c r="B30" i="6"/>
  <c r="B413" i="6"/>
  <c r="B360" i="6"/>
  <c r="B371" i="6"/>
  <c r="B378" i="6"/>
  <c r="B373" i="6"/>
  <c r="B10" i="6"/>
  <c r="B334" i="6"/>
  <c r="B287" i="6"/>
  <c r="B114" i="6"/>
  <c r="B2" i="6"/>
  <c r="B406" i="6"/>
  <c r="B398" i="6"/>
  <c r="B341" i="6"/>
  <c r="B3" i="6"/>
  <c r="B4" i="6"/>
  <c r="B5" i="6"/>
  <c r="B129" i="6"/>
  <c r="B336" i="6"/>
  <c r="B224" i="6"/>
  <c r="B179" i="6"/>
  <c r="B283" i="6"/>
  <c r="B389" i="6"/>
  <c r="B175" i="6"/>
  <c r="B409" i="6"/>
  <c r="B390" i="6"/>
  <c r="B7" i="6"/>
  <c r="B34" i="6"/>
  <c r="B6" i="6"/>
  <c r="B289" i="6"/>
  <c r="B117" i="6"/>
  <c r="B134" i="6"/>
  <c r="B403" i="6"/>
  <c r="B401" i="6"/>
  <c r="B393" i="6"/>
  <c r="B326" i="6"/>
  <c r="B391" i="6"/>
  <c r="B115" i="6"/>
  <c r="B116" i="6"/>
  <c r="B155" i="6"/>
  <c r="B410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6" i="5"/>
  <c r="BA117" i="5"/>
  <c r="BA336" i="5"/>
  <c r="BA342" i="5"/>
  <c r="BA334" i="5"/>
  <c r="BA373" i="5"/>
  <c r="BA378" i="5"/>
  <c r="BA371" i="5"/>
  <c r="BA369" i="5"/>
  <c r="BA368" i="5"/>
  <c r="BA332" i="5"/>
  <c r="BA305" i="5"/>
  <c r="BA364" i="5"/>
  <c r="BA384" i="5"/>
  <c r="BA370" i="5"/>
  <c r="BA323" i="5"/>
  <c r="BA303" i="5"/>
  <c r="BA313" i="5"/>
  <c r="BA302" i="5"/>
  <c r="BA330" i="5"/>
  <c r="BA375" i="5"/>
  <c r="BA324" i="5"/>
  <c r="BA385" i="5"/>
  <c r="BA344" i="5"/>
  <c r="BA307" i="5"/>
  <c r="BA388" i="5"/>
  <c r="BA387" i="5"/>
  <c r="BA315" i="5"/>
  <c r="BA325" i="5"/>
  <c r="BA296" i="5"/>
  <c r="BA295" i="5"/>
  <c r="BA361" i="5"/>
  <c r="BA310" i="5"/>
  <c r="BA329" i="5"/>
  <c r="BA314" i="5"/>
  <c r="BA360" i="5"/>
  <c r="BA372" i="5"/>
  <c r="BA322" i="5"/>
  <c r="BA306" i="5"/>
  <c r="BA380" i="5"/>
  <c r="BA376" i="5"/>
  <c r="BA301" i="5"/>
  <c r="BA309" i="5"/>
  <c r="BA321" i="5"/>
  <c r="BA327" i="5"/>
  <c r="BA366" i="5"/>
  <c r="BA362" i="5"/>
  <c r="BA365" i="5"/>
  <c r="BA300" i="5"/>
  <c r="BA338" i="5"/>
  <c r="BA29" i="5"/>
  <c r="BA331" i="5"/>
  <c r="BA357" i="5"/>
  <c r="BA367" i="5"/>
  <c r="BA70" i="5"/>
  <c r="BA379" i="5"/>
  <c r="BA358" i="5"/>
  <c r="BA335" i="5"/>
  <c r="BA386" i="5"/>
  <c r="BA350" i="5"/>
  <c r="BA337" i="5"/>
  <c r="BA308" i="5"/>
  <c r="BA355" i="5"/>
  <c r="BA311" i="5"/>
  <c r="BA312" i="5"/>
  <c r="BA333" i="5"/>
  <c r="BA356" i="5"/>
  <c r="BA348" i="5"/>
  <c r="BA374" i="5"/>
  <c r="BA351" i="5"/>
  <c r="BA377" i="5"/>
  <c r="BA349" i="5"/>
  <c r="BA316" i="5"/>
  <c r="BA381" i="5"/>
  <c r="BA317" i="5"/>
  <c r="BA318" i="5"/>
  <c r="BA345" i="5"/>
  <c r="BA346" i="5"/>
  <c r="BA341" i="5"/>
  <c r="BA359" i="5"/>
  <c r="BA340" i="5"/>
  <c r="BA320" i="5"/>
  <c r="BA339" i="5"/>
  <c r="BA319" i="5"/>
  <c r="BA363" i="5"/>
  <c r="BA343" i="5"/>
  <c r="BA352" i="5"/>
  <c r="BA347" i="5"/>
  <c r="BA353" i="5"/>
  <c r="BA354" i="5"/>
  <c r="BA328" i="5"/>
  <c r="BA392" i="5"/>
  <c r="BF219" i="5"/>
  <c r="BF326" i="5"/>
  <c r="BF328" i="5"/>
  <c r="BF334" i="5"/>
  <c r="BF336" i="5"/>
  <c r="BF342" i="5"/>
  <c r="BF392" i="5"/>
  <c r="BF254" i="5"/>
  <c r="BF263" i="5"/>
  <c r="BF409" i="5"/>
  <c r="BF393" i="5"/>
  <c r="BF403" i="5"/>
  <c r="BF405" i="5"/>
  <c r="BF97" i="5"/>
  <c r="BF161" i="5"/>
  <c r="BF188" i="5"/>
  <c r="BF42" i="5"/>
  <c r="BF47" i="5"/>
  <c r="BF177" i="5"/>
  <c r="BF390" i="5"/>
  <c r="BF406" i="5"/>
  <c r="BF407" i="5"/>
  <c r="BF61" i="5"/>
  <c r="BF117" i="5"/>
  <c r="BF284" i="5"/>
  <c r="BF291" i="5"/>
  <c r="BF39" i="5"/>
  <c r="BF40" i="5"/>
  <c r="BF41" i="5"/>
  <c r="BF102" i="5"/>
  <c r="BF332" i="5"/>
  <c r="BF400" i="5"/>
  <c r="BF412" i="5"/>
  <c r="BF38" i="5"/>
  <c r="BF66" i="5"/>
  <c r="BF175" i="5"/>
  <c r="BF65" i="5"/>
  <c r="BF67" i="5"/>
  <c r="BF369" i="5"/>
  <c r="BF371" i="5"/>
  <c r="BF373" i="5"/>
  <c r="BF378" i="5"/>
  <c r="BF398" i="5"/>
  <c r="BF399" i="5"/>
  <c r="BF410" i="5"/>
  <c r="BF53" i="5"/>
  <c r="BF56" i="5"/>
  <c r="BF59" i="5"/>
  <c r="BF153" i="5"/>
  <c r="BF258" i="5"/>
  <c r="BF368" i="5"/>
  <c r="BF50" i="5"/>
  <c r="BF389" i="5"/>
  <c r="BF394" i="5"/>
  <c r="BF396" i="5"/>
  <c r="BF401" i="5"/>
  <c r="BF402" i="5"/>
  <c r="BF404" i="5"/>
  <c r="BF413" i="5"/>
  <c r="BF148" i="5"/>
  <c r="BF152" i="5"/>
  <c r="BF323" i="5"/>
  <c r="BF176" i="5"/>
  <c r="BF330" i="5"/>
  <c r="BF408" i="5"/>
  <c r="BF142" i="5"/>
  <c r="BF411" i="5"/>
  <c r="BF52" i="5"/>
  <c r="BF264" i="5"/>
  <c r="BF140" i="5"/>
  <c r="BF154" i="5"/>
  <c r="BF324" i="5"/>
  <c r="BF129" i="5"/>
  <c r="BF137" i="5"/>
  <c r="BF149" i="5"/>
  <c r="BF257" i="5"/>
  <c r="BF179" i="5"/>
  <c r="BF245" i="5"/>
  <c r="BF247" i="5"/>
  <c r="BF124" i="5"/>
  <c r="BF256" i="5"/>
  <c r="BF27" i="5"/>
  <c r="BF225" i="5"/>
  <c r="BF305" i="5"/>
  <c r="BF397" i="5"/>
  <c r="BF118" i="5"/>
  <c r="BF209" i="5"/>
  <c r="BF242" i="5"/>
  <c r="BF244" i="5"/>
  <c r="BF246" i="5"/>
  <c r="BF364" i="5"/>
  <c r="BF391" i="5"/>
  <c r="BF123" i="5"/>
  <c r="BF8" i="5"/>
  <c r="BF344" i="5"/>
  <c r="BF370" i="5"/>
  <c r="BF384" i="5"/>
  <c r="BF270" i="5"/>
  <c r="BF138" i="5"/>
  <c r="BF183" i="5"/>
  <c r="BF221" i="5"/>
  <c r="BF241" i="5"/>
  <c r="BF243" i="5"/>
  <c r="BF60" i="5"/>
  <c r="BF255" i="5"/>
  <c r="BF248" i="5"/>
  <c r="BF395" i="5"/>
  <c r="BF74" i="5"/>
  <c r="BF216" i="5"/>
  <c r="BF239" i="5"/>
  <c r="BF302" i="5"/>
  <c r="BF303" i="5"/>
  <c r="BF313" i="5"/>
  <c r="BF105" i="5"/>
  <c r="BF139" i="5"/>
  <c r="BF88" i="5"/>
  <c r="BF15" i="5"/>
  <c r="BF181" i="5"/>
  <c r="BF325" i="5"/>
  <c r="BF375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3" i="5"/>
  <c r="BF114" i="5"/>
  <c r="BF224" i="5"/>
  <c r="BF265" i="5"/>
  <c r="BF10" i="5"/>
  <c r="BF132" i="5"/>
  <c r="BF147" i="5"/>
  <c r="BF173" i="5"/>
  <c r="BF22" i="5"/>
  <c r="BF217" i="5"/>
  <c r="BF385" i="5"/>
  <c r="BF285" i="5"/>
  <c r="BE285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2" i="5"/>
  <c r="BE388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4" i="5"/>
  <c r="BE54" i="5"/>
  <c r="BE265" i="5"/>
  <c r="BE266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7" i="5"/>
  <c r="BE82" i="5"/>
  <c r="BE83" i="5"/>
  <c r="BE84" i="5"/>
  <c r="BE85" i="5"/>
  <c r="BE259" i="5"/>
  <c r="BE260" i="5"/>
  <c r="BE86" i="5"/>
  <c r="BE261" i="5"/>
  <c r="BE253" i="5"/>
  <c r="BE87" i="5"/>
  <c r="BE88" i="5"/>
  <c r="BE89" i="5"/>
  <c r="BE90" i="5"/>
  <c r="BE91" i="5"/>
  <c r="BE92" i="5"/>
  <c r="BE10" i="5"/>
  <c r="BE11" i="5"/>
  <c r="BE93" i="5"/>
  <c r="BE94" i="5"/>
  <c r="BE95" i="5"/>
  <c r="BE262" i="5"/>
  <c r="BE96" i="5"/>
  <c r="BE254" i="5"/>
  <c r="BE263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8" i="5"/>
  <c r="BE269" i="5"/>
  <c r="BE12" i="5"/>
  <c r="BE117" i="5"/>
  <c r="BE13" i="5"/>
  <c r="BE270" i="5"/>
  <c r="BE118" i="5"/>
  <c r="BE271" i="5"/>
  <c r="BE272" i="5"/>
  <c r="BE14" i="5"/>
  <c r="BE119" i="5"/>
  <c r="BE120" i="5"/>
  <c r="BE273" i="5"/>
  <c r="BE121" i="5"/>
  <c r="BE122" i="5"/>
  <c r="BE123" i="5"/>
  <c r="BE124" i="5"/>
  <c r="BE15" i="5"/>
  <c r="BE274" i="5"/>
  <c r="BE125" i="5"/>
  <c r="BE126" i="5"/>
  <c r="BE275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5" i="5"/>
  <c r="BE137" i="5"/>
  <c r="BE138" i="5"/>
  <c r="BE139" i="5"/>
  <c r="BE140" i="5"/>
  <c r="BE141" i="5"/>
  <c r="BE142" i="5"/>
  <c r="BE143" i="5"/>
  <c r="BE144" i="5"/>
  <c r="BE145" i="5"/>
  <c r="BE146" i="5"/>
  <c r="BE276" i="5"/>
  <c r="BE147" i="5"/>
  <c r="BE148" i="5"/>
  <c r="BE149" i="5"/>
  <c r="BE150" i="5"/>
  <c r="BE277" i="5"/>
  <c r="BE278" i="5"/>
  <c r="BE279" i="5"/>
  <c r="BE151" i="5"/>
  <c r="BE152" i="5"/>
  <c r="BE280" i="5"/>
  <c r="BE153" i="5"/>
  <c r="BE154" i="5"/>
  <c r="BE155" i="5"/>
  <c r="BE156" i="5"/>
  <c r="BE157" i="5"/>
  <c r="BE158" i="5"/>
  <c r="BE159" i="5"/>
  <c r="BE160" i="5"/>
  <c r="BE161" i="5"/>
  <c r="BE162" i="5"/>
  <c r="BE256" i="5"/>
  <c r="BE257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1" i="5"/>
  <c r="BE282" i="5"/>
  <c r="BE283" i="5"/>
  <c r="BE193" i="5"/>
  <c r="BE194" i="5"/>
  <c r="BE195" i="5"/>
  <c r="BE284" i="5"/>
  <c r="BE286" i="5"/>
  <c r="BE287" i="5"/>
  <c r="BE5" i="5"/>
  <c r="BE288" i="5"/>
  <c r="BE289" i="5"/>
  <c r="BE290" i="5"/>
  <c r="BE291" i="5"/>
  <c r="BE196" i="5"/>
  <c r="BE197" i="5"/>
  <c r="BE198" i="5"/>
  <c r="BE199" i="5"/>
  <c r="BE293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4" i="5"/>
  <c r="BE210" i="5"/>
  <c r="BE211" i="5"/>
  <c r="BE212" i="5"/>
  <c r="BE258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5" i="5"/>
  <c r="BE296" i="5"/>
  <c r="BE8" i="5"/>
  <c r="BE229" i="5"/>
  <c r="BE230" i="5"/>
  <c r="BE231" i="5"/>
  <c r="BE297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1" i="5"/>
  <c r="BE242" i="5"/>
  <c r="BE243" i="5"/>
  <c r="BE244" i="5"/>
  <c r="BE245" i="5"/>
  <c r="BE246" i="5"/>
  <c r="BE247" i="5"/>
  <c r="BE248" i="5"/>
  <c r="BE249" i="5"/>
  <c r="BE250" i="5"/>
  <c r="BE35" i="5"/>
  <c r="BE298" i="5"/>
  <c r="BE36" i="5"/>
  <c r="BE37" i="5"/>
  <c r="BE251" i="5"/>
  <c r="BE252" i="5"/>
  <c r="BE300" i="5"/>
  <c r="BE301" i="5"/>
  <c r="BE302" i="5"/>
  <c r="BE303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8" i="5"/>
  <c r="BE339" i="5"/>
  <c r="BE340" i="5"/>
  <c r="BE341" i="5"/>
  <c r="BE342" i="5"/>
  <c r="BE343" i="5"/>
  <c r="BE344" i="5"/>
  <c r="BE345" i="5"/>
  <c r="BE346" i="5"/>
  <c r="BE347" i="5"/>
  <c r="BE33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1" i="5"/>
  <c r="BE384" i="5"/>
  <c r="BE385" i="5"/>
  <c r="BE386" i="5"/>
  <c r="BE387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412" i="5"/>
  <c r="BE413" i="5"/>
  <c r="BE292" i="5"/>
  <c r="BC292" i="5"/>
  <c r="BC388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4" i="5"/>
  <c r="BC54" i="5"/>
  <c r="BC265" i="5"/>
  <c r="BC266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7" i="5"/>
  <c r="BC82" i="5"/>
  <c r="BC83" i="5"/>
  <c r="BC84" i="5"/>
  <c r="BC85" i="5"/>
  <c r="BC259" i="5"/>
  <c r="BC260" i="5"/>
  <c r="BC86" i="5"/>
  <c r="BC261" i="5"/>
  <c r="BC253" i="5"/>
  <c r="BC87" i="5"/>
  <c r="BC88" i="5"/>
  <c r="BC89" i="5"/>
  <c r="BC90" i="5"/>
  <c r="BC91" i="5"/>
  <c r="BC92" i="5"/>
  <c r="BC10" i="5"/>
  <c r="BC11" i="5"/>
  <c r="BC93" i="5"/>
  <c r="BC94" i="5"/>
  <c r="BC95" i="5"/>
  <c r="BC262" i="5"/>
  <c r="BC96" i="5"/>
  <c r="BC254" i="5"/>
  <c r="BC263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8" i="5"/>
  <c r="BC269" i="5"/>
  <c r="BC12" i="5"/>
  <c r="BC117" i="5"/>
  <c r="BC13" i="5"/>
  <c r="BC270" i="5"/>
  <c r="BC271" i="5"/>
  <c r="BC272" i="5"/>
  <c r="BC14" i="5"/>
  <c r="BC119" i="5"/>
  <c r="BC120" i="5"/>
  <c r="BC273" i="5"/>
  <c r="BC121" i="5"/>
  <c r="BC122" i="5"/>
  <c r="BC123" i="5"/>
  <c r="BC124" i="5"/>
  <c r="BC15" i="5"/>
  <c r="BC274" i="5"/>
  <c r="BC125" i="5"/>
  <c r="BC126" i="5"/>
  <c r="BC275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5" i="5"/>
  <c r="BC137" i="5"/>
  <c r="BC138" i="5"/>
  <c r="BC139" i="5"/>
  <c r="BC140" i="5"/>
  <c r="BC141" i="5"/>
  <c r="BC142" i="5"/>
  <c r="BC143" i="5"/>
  <c r="BC144" i="5"/>
  <c r="BC145" i="5"/>
  <c r="BC146" i="5"/>
  <c r="BC276" i="5"/>
  <c r="BC147" i="5"/>
  <c r="BC148" i="5"/>
  <c r="BC149" i="5"/>
  <c r="BC150" i="5"/>
  <c r="BC277" i="5"/>
  <c r="BC278" i="5"/>
  <c r="BC279" i="5"/>
  <c r="BC151" i="5"/>
  <c r="BC152" i="5"/>
  <c r="BC280" i="5"/>
  <c r="BC153" i="5"/>
  <c r="BC154" i="5"/>
  <c r="BC155" i="5"/>
  <c r="BC156" i="5"/>
  <c r="BC157" i="5"/>
  <c r="BC158" i="5"/>
  <c r="BC159" i="5"/>
  <c r="BC160" i="5"/>
  <c r="BC161" i="5"/>
  <c r="BC162" i="5"/>
  <c r="BC256" i="5"/>
  <c r="BC257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1" i="5"/>
  <c r="BC282" i="5"/>
  <c r="BC283" i="5"/>
  <c r="BC193" i="5"/>
  <c r="BC194" i="5"/>
  <c r="BC195" i="5"/>
  <c r="BC284" i="5"/>
  <c r="BC285" i="5"/>
  <c r="BC286" i="5"/>
  <c r="BC287" i="5"/>
  <c r="BC5" i="5"/>
  <c r="BC288" i="5"/>
  <c r="BC289" i="5"/>
  <c r="BC290" i="5"/>
  <c r="BC291" i="5"/>
  <c r="BC196" i="5"/>
  <c r="BC197" i="5"/>
  <c r="BC198" i="5"/>
  <c r="BC199" i="5"/>
  <c r="BC293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4" i="5"/>
  <c r="BC210" i="5"/>
  <c r="BC211" i="5"/>
  <c r="BC212" i="5"/>
  <c r="BC258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5" i="5"/>
  <c r="BC296" i="5"/>
  <c r="BC8" i="5"/>
  <c r="BC229" i="5"/>
  <c r="BC230" i="5"/>
  <c r="BC231" i="5"/>
  <c r="BC297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1" i="5"/>
  <c r="BC242" i="5"/>
  <c r="BC243" i="5"/>
  <c r="BC244" i="5"/>
  <c r="BC245" i="5"/>
  <c r="BC246" i="5"/>
  <c r="BC247" i="5"/>
  <c r="BC248" i="5"/>
  <c r="BC249" i="5"/>
  <c r="BC250" i="5"/>
  <c r="BC35" i="5"/>
  <c r="BC298" i="5"/>
  <c r="BC36" i="5"/>
  <c r="BC37" i="5"/>
  <c r="BC251" i="5"/>
  <c r="BC252" i="5"/>
  <c r="BC300" i="5"/>
  <c r="BC301" i="5"/>
  <c r="BC302" i="5"/>
  <c r="BC303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8" i="5"/>
  <c r="BC339" i="5"/>
  <c r="BC340" i="5"/>
  <c r="BC341" i="5"/>
  <c r="BC342" i="5"/>
  <c r="BC343" i="5"/>
  <c r="BC344" i="5"/>
  <c r="BC345" i="5"/>
  <c r="BC346" i="5"/>
  <c r="BC347" i="5"/>
  <c r="BC33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4" i="5"/>
  <c r="BC385" i="5"/>
  <c r="BC386" i="5"/>
  <c r="BC387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B388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4" i="5"/>
  <c r="BB54" i="5"/>
  <c r="BB265" i="5"/>
  <c r="BB266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7" i="5"/>
  <c r="BB82" i="5"/>
  <c r="BB83" i="5"/>
  <c r="BB84" i="5"/>
  <c r="BB85" i="5"/>
  <c r="BB259" i="5"/>
  <c r="BB260" i="5"/>
  <c r="BB86" i="5"/>
  <c r="BB261" i="5"/>
  <c r="BB253" i="5"/>
  <c r="BB87" i="5"/>
  <c r="BB88" i="5"/>
  <c r="BB89" i="5"/>
  <c r="BB90" i="5"/>
  <c r="BB91" i="5"/>
  <c r="BB92" i="5"/>
  <c r="BB10" i="5"/>
  <c r="BB11" i="5"/>
  <c r="BB93" i="5"/>
  <c r="BB94" i="5"/>
  <c r="BB95" i="5"/>
  <c r="BB262" i="5"/>
  <c r="BB96" i="5"/>
  <c r="BB254" i="5"/>
  <c r="BB263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8" i="5"/>
  <c r="BB269" i="5"/>
  <c r="BB12" i="5"/>
  <c r="BB117" i="5"/>
  <c r="BB13" i="5"/>
  <c r="BB270" i="5"/>
  <c r="BB118" i="5"/>
  <c r="BB271" i="5"/>
  <c r="BB272" i="5"/>
  <c r="BB14" i="5"/>
  <c r="BB119" i="5"/>
  <c r="BB120" i="5"/>
  <c r="BB273" i="5"/>
  <c r="BB121" i="5"/>
  <c r="BB122" i="5"/>
  <c r="BB123" i="5"/>
  <c r="BB124" i="5"/>
  <c r="BB15" i="5"/>
  <c r="BB274" i="5"/>
  <c r="BB125" i="5"/>
  <c r="BB126" i="5"/>
  <c r="BB275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5" i="5"/>
  <c r="BB137" i="5"/>
  <c r="BB138" i="5"/>
  <c r="BB139" i="5"/>
  <c r="BB140" i="5"/>
  <c r="BB141" i="5"/>
  <c r="BB142" i="5"/>
  <c r="BB143" i="5"/>
  <c r="BB144" i="5"/>
  <c r="BB145" i="5"/>
  <c r="BB146" i="5"/>
  <c r="BB276" i="5"/>
  <c r="BB147" i="5"/>
  <c r="BB148" i="5"/>
  <c r="BB149" i="5"/>
  <c r="BB150" i="5"/>
  <c r="BB277" i="5"/>
  <c r="BB278" i="5"/>
  <c r="BB279" i="5"/>
  <c r="BB151" i="5"/>
  <c r="BB152" i="5"/>
  <c r="BB280" i="5"/>
  <c r="BB153" i="5"/>
  <c r="BB154" i="5"/>
  <c r="BB155" i="5"/>
  <c r="BB156" i="5"/>
  <c r="BB157" i="5"/>
  <c r="BB158" i="5"/>
  <c r="BB159" i="5"/>
  <c r="BB160" i="5"/>
  <c r="BB161" i="5"/>
  <c r="BB162" i="5"/>
  <c r="BB256" i="5"/>
  <c r="BB257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1" i="5"/>
  <c r="BB282" i="5"/>
  <c r="BB283" i="5"/>
  <c r="BB193" i="5"/>
  <c r="BB194" i="5"/>
  <c r="BB195" i="5"/>
  <c r="BB284" i="5"/>
  <c r="BB285" i="5"/>
  <c r="BB286" i="5"/>
  <c r="BB287" i="5"/>
  <c r="BB5" i="5"/>
  <c r="BB288" i="5"/>
  <c r="BB289" i="5"/>
  <c r="BB290" i="5"/>
  <c r="BB291" i="5"/>
  <c r="BB196" i="5"/>
  <c r="BB197" i="5"/>
  <c r="BB198" i="5"/>
  <c r="BB199" i="5"/>
  <c r="BB293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4" i="5"/>
  <c r="BB210" i="5"/>
  <c r="BB211" i="5"/>
  <c r="BB212" i="5"/>
  <c r="BB258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5" i="5"/>
  <c r="BB296" i="5"/>
  <c r="BB8" i="5"/>
  <c r="BB229" i="5"/>
  <c r="BB230" i="5"/>
  <c r="BB231" i="5"/>
  <c r="BB297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1" i="5"/>
  <c r="BB242" i="5"/>
  <c r="BB243" i="5"/>
  <c r="BB244" i="5"/>
  <c r="BB245" i="5"/>
  <c r="BB246" i="5"/>
  <c r="BB247" i="5"/>
  <c r="BB248" i="5"/>
  <c r="BB249" i="5"/>
  <c r="BB250" i="5"/>
  <c r="BB35" i="5"/>
  <c r="BB298" i="5"/>
  <c r="BB36" i="5"/>
  <c r="BB37" i="5"/>
  <c r="BB251" i="5"/>
  <c r="BB252" i="5"/>
  <c r="BB300" i="5"/>
  <c r="BB301" i="5"/>
  <c r="BB302" i="5"/>
  <c r="BB303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6" i="5"/>
  <c r="BB338" i="5"/>
  <c r="BB339" i="5"/>
  <c r="BB340" i="5"/>
  <c r="BB341" i="5"/>
  <c r="BB342" i="5"/>
  <c r="BB343" i="5"/>
  <c r="BB344" i="5"/>
  <c r="BB345" i="5"/>
  <c r="BB346" i="5"/>
  <c r="BB347" i="5"/>
  <c r="BB33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1" i="5"/>
  <c r="BB384" i="5"/>
  <c r="BB385" i="5"/>
  <c r="BB386" i="5"/>
  <c r="BB387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412" i="5"/>
  <c r="BB413" i="5"/>
  <c r="BB292" i="5"/>
  <c r="AI305" i="4"/>
  <c r="AI306" i="4"/>
  <c r="AI307" i="4"/>
  <c r="AI308" i="4"/>
  <c r="AI312" i="4"/>
  <c r="AI313" i="4"/>
  <c r="AI314" i="4"/>
  <c r="AI302" i="4"/>
  <c r="AI300" i="4"/>
  <c r="AI303" i="4"/>
  <c r="AI304" i="4"/>
  <c r="AI315" i="4"/>
  <c r="AI309" i="4"/>
  <c r="AI343" i="4"/>
  <c r="AI334" i="4"/>
  <c r="AI332" i="4"/>
  <c r="AI333" i="4"/>
  <c r="AI325" i="4"/>
  <c r="AI335" i="4"/>
  <c r="AI324" i="4"/>
  <c r="AI342" i="4"/>
  <c r="AI317" i="4"/>
  <c r="AI340" i="4"/>
  <c r="AI323" i="4"/>
  <c r="AI347" i="4"/>
  <c r="AI326" i="4"/>
  <c r="AI319" i="4"/>
  <c r="AI320" i="4"/>
  <c r="AI321" i="4"/>
  <c r="AI322" i="4"/>
  <c r="AI348" i="4"/>
  <c r="AI338" i="4"/>
  <c r="AI339" i="4"/>
  <c r="AI341" i="4"/>
  <c r="AI327" i="4"/>
  <c r="AI328" i="4"/>
  <c r="AI329" i="4"/>
  <c r="AI330" i="4"/>
  <c r="AI331" i="4"/>
  <c r="AI318" i="4"/>
  <c r="AI316" i="4"/>
  <c r="AI336" i="4"/>
  <c r="AI337" i="4"/>
  <c r="AI346" i="4"/>
  <c r="AI344" i="4"/>
  <c r="AI345" i="4"/>
  <c r="AI352" i="4"/>
  <c r="AI351" i="4"/>
  <c r="AI362" i="4"/>
  <c r="AI363" i="4"/>
  <c r="AI349" i="4"/>
  <c r="AI359" i="4"/>
  <c r="AI360" i="4"/>
  <c r="AI365" i="4"/>
  <c r="AI350" i="4"/>
  <c r="AI366" i="4"/>
  <c r="AI367" i="4"/>
  <c r="AI368" i="4"/>
  <c r="AI353" i="4"/>
  <c r="AI354" i="4"/>
  <c r="AI355" i="4"/>
  <c r="AI357" i="4"/>
  <c r="AI358" i="4"/>
  <c r="AI356" i="4"/>
  <c r="AI369" i="4"/>
  <c r="AI364" i="4"/>
  <c r="AI370" i="4"/>
  <c r="AI361" i="4"/>
  <c r="AI380" i="4"/>
  <c r="AI378" i="4"/>
  <c r="AI374" i="4"/>
  <c r="AI375" i="4"/>
  <c r="AI371" i="4"/>
  <c r="AI372" i="4"/>
  <c r="AI376" i="4"/>
  <c r="AI377" i="4"/>
  <c r="AI379" i="4"/>
  <c r="AI373" i="4"/>
  <c r="AI382" i="4"/>
  <c r="AI386" i="4"/>
  <c r="AI388" i="4"/>
  <c r="AI387" i="4"/>
  <c r="AI385" i="4"/>
  <c r="AI384" i="4"/>
  <c r="AI392" i="4"/>
  <c r="AI391" i="4"/>
  <c r="AI398" i="4"/>
  <c r="AI390" i="4"/>
  <c r="AI399" i="4"/>
  <c r="AI400" i="4"/>
  <c r="AI401" i="4"/>
  <c r="AI402" i="4"/>
  <c r="AI403" i="4"/>
  <c r="AI393" i="4"/>
  <c r="AI394" i="4"/>
  <c r="AI395" i="4"/>
  <c r="AI404" i="4"/>
  <c r="AI405" i="4"/>
  <c r="AI406" i="4"/>
  <c r="AI407" i="4"/>
  <c r="AI396" i="4"/>
  <c r="AI397" i="4"/>
  <c r="AI408" i="4"/>
  <c r="AI409" i="4"/>
  <c r="AI410" i="4"/>
  <c r="AI411" i="4"/>
  <c r="AI412" i="4"/>
  <c r="AI413" i="4"/>
  <c r="AI389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4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50" i="5"/>
  <c r="AR250" i="5"/>
  <c r="AT250" i="5"/>
  <c r="AU250" i="5"/>
  <c r="AV250" i="5"/>
  <c r="AW250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1" i="5"/>
  <c r="AQ241" i="5"/>
  <c r="AR241" i="5"/>
  <c r="AT241" i="5"/>
  <c r="AU241" i="5"/>
  <c r="AV241" i="5"/>
  <c r="AW241" i="5"/>
  <c r="AP264" i="5"/>
  <c r="AQ264" i="5"/>
  <c r="AR264" i="5"/>
  <c r="AS264" i="5"/>
  <c r="AT264" i="5"/>
  <c r="AU264" i="5"/>
  <c r="AV264" i="5"/>
  <c r="AW264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5" i="5"/>
  <c r="AR265" i="5"/>
  <c r="AS265" i="5"/>
  <c r="AT265" i="5"/>
  <c r="AU265" i="5"/>
  <c r="AV265" i="5"/>
  <c r="AW265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3" i="5"/>
  <c r="AQ273" i="5"/>
  <c r="AR273" i="5"/>
  <c r="AS273" i="5"/>
  <c r="AT273" i="5"/>
  <c r="AU273" i="5"/>
  <c r="AV273" i="5"/>
  <c r="AW273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3" i="5"/>
  <c r="AR253" i="5"/>
  <c r="AS253" i="5"/>
  <c r="AT253" i="5"/>
  <c r="AU253" i="5"/>
  <c r="AV253" i="5"/>
  <c r="AW253" i="5"/>
  <c r="AP104" i="5"/>
  <c r="AQ104" i="5"/>
  <c r="AR104" i="5"/>
  <c r="AT104" i="5"/>
  <c r="AU104" i="5"/>
  <c r="AV104" i="5"/>
  <c r="AW104" i="5"/>
  <c r="AP270" i="5"/>
  <c r="AQ270" i="5"/>
  <c r="AR270" i="5"/>
  <c r="AT270" i="5"/>
  <c r="AU270" i="5"/>
  <c r="AV270" i="5"/>
  <c r="AW27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8" i="5"/>
  <c r="AR298" i="5"/>
  <c r="AS298" i="5"/>
  <c r="AT298" i="5"/>
  <c r="AU298" i="5"/>
  <c r="AV298" i="5"/>
  <c r="AW298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6" i="5"/>
  <c r="AR266" i="5"/>
  <c r="AS266" i="5"/>
  <c r="AT266" i="5"/>
  <c r="AU266" i="5"/>
  <c r="AV266" i="5"/>
  <c r="AW266" i="5"/>
  <c r="AP81" i="5"/>
  <c r="AR81" i="5"/>
  <c r="AT81" i="5"/>
  <c r="AU81" i="5"/>
  <c r="AV81" i="5"/>
  <c r="AW81" i="5"/>
  <c r="AP267" i="5"/>
  <c r="AR267" i="5"/>
  <c r="AT267" i="5"/>
  <c r="AU267" i="5"/>
  <c r="AV267" i="5"/>
  <c r="AW267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9" i="5"/>
  <c r="AR259" i="5"/>
  <c r="AT259" i="5"/>
  <c r="AU259" i="5"/>
  <c r="AV259" i="5"/>
  <c r="AW259" i="5"/>
  <c r="AP260" i="5"/>
  <c r="AR260" i="5"/>
  <c r="AT260" i="5"/>
  <c r="AU260" i="5"/>
  <c r="AV260" i="5"/>
  <c r="AW260" i="5"/>
  <c r="AP86" i="5"/>
  <c r="AR86" i="5"/>
  <c r="AT86" i="5"/>
  <c r="AU86" i="5"/>
  <c r="AV86" i="5"/>
  <c r="AW86" i="5"/>
  <c r="AP261" i="5"/>
  <c r="AR261" i="5"/>
  <c r="AT261" i="5"/>
  <c r="AU261" i="5"/>
  <c r="AV261" i="5"/>
  <c r="AW261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2" i="5"/>
  <c r="AR262" i="5"/>
  <c r="AT262" i="5"/>
  <c r="AU262" i="5"/>
  <c r="AV262" i="5"/>
  <c r="AW262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8" i="5"/>
  <c r="AQ268" i="5"/>
  <c r="AR268" i="5"/>
  <c r="AT268" i="5"/>
  <c r="AU268" i="5"/>
  <c r="AV268" i="5"/>
  <c r="AW268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4" i="5"/>
  <c r="AR284" i="5"/>
  <c r="AT284" i="5"/>
  <c r="AU284" i="5"/>
  <c r="AV284" i="5"/>
  <c r="AW284" i="5"/>
  <c r="AP285" i="5"/>
  <c r="AR285" i="5"/>
  <c r="AT285" i="5"/>
  <c r="AU285" i="5"/>
  <c r="AV285" i="5"/>
  <c r="AW285" i="5"/>
  <c r="AP289" i="5"/>
  <c r="AR289" i="5"/>
  <c r="AT289" i="5"/>
  <c r="AU289" i="5"/>
  <c r="AV289" i="5"/>
  <c r="AW289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3" i="5"/>
  <c r="AR243" i="5"/>
  <c r="AT243" i="5"/>
  <c r="AU243" i="5"/>
  <c r="AV243" i="5"/>
  <c r="AW243" i="5"/>
  <c r="AP245" i="5"/>
  <c r="AR245" i="5"/>
  <c r="AT245" i="5"/>
  <c r="AU245" i="5"/>
  <c r="AV245" i="5"/>
  <c r="AW245" i="5"/>
  <c r="AP252" i="5"/>
  <c r="AR252" i="5"/>
  <c r="AT252" i="5"/>
  <c r="AU252" i="5"/>
  <c r="AV252" i="5"/>
  <c r="AW252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90" i="5"/>
  <c r="AR290" i="5"/>
  <c r="AT290" i="5"/>
  <c r="AU290" i="5"/>
  <c r="AV290" i="5"/>
  <c r="AW290" i="5"/>
  <c r="AP293" i="5"/>
  <c r="AR293" i="5"/>
  <c r="AT293" i="5"/>
  <c r="AU293" i="5"/>
  <c r="AV293" i="5"/>
  <c r="AW293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1" i="5"/>
  <c r="AR281" i="5"/>
  <c r="AT281" i="5"/>
  <c r="AU281" i="5"/>
  <c r="AV281" i="5"/>
  <c r="AW281" i="5"/>
  <c r="AP283" i="5"/>
  <c r="AR283" i="5"/>
  <c r="AT283" i="5"/>
  <c r="AU283" i="5"/>
  <c r="AV283" i="5"/>
  <c r="AW283" i="5"/>
  <c r="AP195" i="5"/>
  <c r="AR195" i="5"/>
  <c r="AT195" i="5"/>
  <c r="AU195" i="5"/>
  <c r="AV195" i="5"/>
  <c r="AW195" i="5"/>
  <c r="AP288" i="5"/>
  <c r="AR288" i="5"/>
  <c r="AT288" i="5"/>
  <c r="AU288" i="5"/>
  <c r="AV288" i="5"/>
  <c r="AW288" i="5"/>
  <c r="AP292" i="5"/>
  <c r="AR292" i="5"/>
  <c r="AT292" i="5"/>
  <c r="AU292" i="5"/>
  <c r="AV292" i="5"/>
  <c r="AW292" i="5"/>
  <c r="AP295" i="5"/>
  <c r="AR295" i="5"/>
  <c r="AT295" i="5"/>
  <c r="AU295" i="5"/>
  <c r="AV295" i="5"/>
  <c r="AW295" i="5"/>
  <c r="AP296" i="5"/>
  <c r="AR296" i="5"/>
  <c r="AT296" i="5"/>
  <c r="AU296" i="5"/>
  <c r="AV296" i="5"/>
  <c r="AW296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80" i="5"/>
  <c r="AR280" i="5"/>
  <c r="AT280" i="5"/>
  <c r="AU280" i="5"/>
  <c r="AV280" i="5"/>
  <c r="AW280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2" i="5"/>
  <c r="AR282" i="5"/>
  <c r="AT282" i="5"/>
  <c r="AU282" i="5"/>
  <c r="AV282" i="5"/>
  <c r="AW282" i="5"/>
  <c r="AP211" i="5"/>
  <c r="AQ211" i="5"/>
  <c r="AR211" i="5"/>
  <c r="AT211" i="5"/>
  <c r="AU211" i="5"/>
  <c r="AV211" i="5"/>
  <c r="AW211" i="5"/>
  <c r="AP258" i="5"/>
  <c r="AR258" i="5"/>
  <c r="AT258" i="5"/>
  <c r="AU258" i="5"/>
  <c r="AV258" i="5"/>
  <c r="AW258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9" i="5"/>
  <c r="AR269" i="5"/>
  <c r="AS269" i="5"/>
  <c r="AT269" i="5"/>
  <c r="AU269" i="5"/>
  <c r="AV269" i="5"/>
  <c r="AW269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6" i="5"/>
  <c r="AR286" i="5"/>
  <c r="AT286" i="5"/>
  <c r="AU286" i="5"/>
  <c r="AV286" i="5"/>
  <c r="AW286" i="5"/>
  <c r="AP176" i="5"/>
  <c r="AR176" i="5"/>
  <c r="AS176" i="5"/>
  <c r="AU176" i="5"/>
  <c r="AP179" i="5"/>
  <c r="AQ179" i="5"/>
  <c r="AR179" i="5"/>
  <c r="AT179" i="5"/>
  <c r="AU179" i="5"/>
  <c r="AV179" i="5"/>
  <c r="AW179" i="5"/>
  <c r="AP287" i="5"/>
  <c r="AR287" i="5"/>
  <c r="AT287" i="5"/>
  <c r="AU287" i="5"/>
  <c r="AV287" i="5"/>
  <c r="AW287" i="5"/>
  <c r="AP244" i="5"/>
  <c r="AR244" i="5"/>
  <c r="AT244" i="5"/>
  <c r="AU244" i="5"/>
  <c r="AV244" i="5"/>
  <c r="AW244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248" i="5"/>
  <c r="AR248" i="5"/>
  <c r="AT248" i="5"/>
  <c r="AU248" i="5"/>
  <c r="AV248" i="5"/>
  <c r="AW248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2" i="5"/>
  <c r="AR242" i="5"/>
  <c r="AT242" i="5"/>
  <c r="AU242" i="5"/>
  <c r="AV242" i="5"/>
  <c r="AW242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5" i="5"/>
  <c r="AR275" i="5"/>
  <c r="AS275" i="5"/>
  <c r="AT275" i="5"/>
  <c r="AU275" i="5"/>
  <c r="AV275" i="5"/>
  <c r="AW275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4" i="5"/>
  <c r="AR274" i="5"/>
  <c r="AT274" i="5"/>
  <c r="AU274" i="5"/>
  <c r="AV274" i="5"/>
  <c r="AW274" i="5"/>
  <c r="AP34" i="5"/>
  <c r="AR34" i="5"/>
  <c r="AU34" i="5"/>
  <c r="AP134" i="5"/>
  <c r="AR134" i="5"/>
  <c r="AS134" i="5"/>
  <c r="AT134" i="5"/>
  <c r="AU134" i="5"/>
  <c r="AV134" i="5"/>
  <c r="AW134" i="5"/>
  <c r="AP272" i="5"/>
  <c r="AQ272" i="5"/>
  <c r="AR272" i="5"/>
  <c r="AS272" i="5"/>
  <c r="AT272" i="5"/>
  <c r="AU272" i="5"/>
  <c r="AV272" i="5"/>
  <c r="AW27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7" i="5"/>
  <c r="AQ277" i="5"/>
  <c r="AR277" i="5"/>
  <c r="AS277" i="5"/>
  <c r="AT277" i="5"/>
  <c r="AU277" i="5"/>
  <c r="AV277" i="5"/>
  <c r="AW277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7" i="5"/>
  <c r="AR297" i="5"/>
  <c r="AT297" i="5"/>
  <c r="AU297" i="5"/>
  <c r="AV297" i="5"/>
  <c r="AW297" i="5"/>
  <c r="AP278" i="5"/>
  <c r="AR278" i="5"/>
  <c r="AT278" i="5"/>
  <c r="AU278" i="5"/>
  <c r="AV278" i="5"/>
  <c r="AW278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1" i="5"/>
  <c r="AR251" i="5"/>
  <c r="AT251" i="5"/>
  <c r="AU251" i="5"/>
  <c r="AV251" i="5"/>
  <c r="AW251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6" i="5"/>
  <c r="AR276" i="5"/>
  <c r="AT276" i="5"/>
  <c r="AU276" i="5"/>
  <c r="AV276" i="5"/>
  <c r="AW276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4" i="5"/>
  <c r="AR294" i="5"/>
  <c r="AT294" i="5"/>
  <c r="AU294" i="5"/>
  <c r="AV294" i="5"/>
  <c r="AW294" i="5"/>
  <c r="AP48" i="5"/>
  <c r="AR48" i="5"/>
  <c r="AT48" i="5"/>
  <c r="AU48" i="5"/>
  <c r="AV48" i="5"/>
  <c r="AW48" i="5"/>
  <c r="AP249" i="5"/>
  <c r="AR249" i="5"/>
  <c r="AT249" i="5"/>
  <c r="AU249" i="5"/>
  <c r="AV249" i="5"/>
  <c r="AW249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5" i="5"/>
  <c r="AR255" i="5"/>
  <c r="AS255" i="5"/>
  <c r="AT255" i="5"/>
  <c r="AU255" i="5"/>
  <c r="AV255" i="5"/>
  <c r="AW255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1" i="5"/>
  <c r="AQ271" i="5"/>
  <c r="AR271" i="5"/>
  <c r="AT271" i="5"/>
  <c r="AU271" i="5"/>
  <c r="AV271" i="5"/>
  <c r="AW271" i="5"/>
  <c r="AP257" i="5"/>
  <c r="AR257" i="5"/>
  <c r="AT257" i="5"/>
  <c r="AU257" i="5"/>
  <c r="AV257" i="5"/>
  <c r="AW257" i="5"/>
  <c r="AP279" i="5"/>
  <c r="AR279" i="5"/>
  <c r="AS279" i="5"/>
  <c r="AT279" i="5"/>
  <c r="AU279" i="5"/>
  <c r="AV279" i="5"/>
  <c r="AW279" i="5"/>
  <c r="AP263" i="5"/>
  <c r="AR263" i="5"/>
  <c r="AT263" i="5"/>
  <c r="AU263" i="5"/>
  <c r="AV263" i="5"/>
  <c r="AW263" i="5"/>
  <c r="AP38" i="5"/>
  <c r="AR38" i="5"/>
  <c r="AT38" i="5"/>
  <c r="AU38" i="5"/>
  <c r="AV38" i="5"/>
  <c r="AW38" i="5"/>
  <c r="AP256" i="5"/>
  <c r="AR256" i="5"/>
  <c r="AT256" i="5"/>
  <c r="AU256" i="5"/>
  <c r="AV256" i="5"/>
  <c r="AW256" i="5"/>
  <c r="AP291" i="5"/>
  <c r="AR291" i="5"/>
  <c r="AT291" i="5"/>
  <c r="AU291" i="5"/>
  <c r="AV291" i="5"/>
  <c r="AW291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4" i="5"/>
  <c r="AR254" i="5"/>
  <c r="AT254" i="5"/>
  <c r="AU254" i="5"/>
  <c r="AV254" i="5"/>
  <c r="AW254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3" i="5"/>
  <c r="AR303" i="5"/>
  <c r="AS303" i="5"/>
  <c r="AT303" i="5"/>
  <c r="AU303" i="5"/>
  <c r="AV303" i="5"/>
  <c r="AW303" i="5"/>
  <c r="AX303" i="5"/>
  <c r="AY303" i="5"/>
  <c r="AZ303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9" i="5"/>
  <c r="AR309" i="5"/>
  <c r="AS309" i="5"/>
  <c r="AT309" i="5"/>
  <c r="AU309" i="5"/>
  <c r="AV309" i="5"/>
  <c r="AW309" i="5"/>
  <c r="AX309" i="5"/>
  <c r="AY309" i="5"/>
  <c r="AZ309" i="5"/>
  <c r="AP305" i="5"/>
  <c r="AR305" i="5"/>
  <c r="AS305" i="5"/>
  <c r="AT305" i="5"/>
  <c r="AU305" i="5"/>
  <c r="AV305" i="5"/>
  <c r="AW305" i="5"/>
  <c r="AX305" i="5"/>
  <c r="AY305" i="5"/>
  <c r="AZ305" i="5"/>
  <c r="AP310" i="5"/>
  <c r="AR310" i="5"/>
  <c r="AS310" i="5"/>
  <c r="AT310" i="5"/>
  <c r="AU310" i="5"/>
  <c r="AV310" i="5"/>
  <c r="AW310" i="5"/>
  <c r="AX310" i="5"/>
  <c r="AY310" i="5"/>
  <c r="AZ310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11" i="5"/>
  <c r="AR311" i="5"/>
  <c r="AS311" i="5"/>
  <c r="AT311" i="5"/>
  <c r="AU311" i="5"/>
  <c r="AV311" i="5"/>
  <c r="AW311" i="5"/>
  <c r="AX311" i="5"/>
  <c r="AY311" i="5"/>
  <c r="AZ311" i="5"/>
  <c r="AP312" i="5"/>
  <c r="AR312" i="5"/>
  <c r="AS312" i="5"/>
  <c r="AT312" i="5"/>
  <c r="AU312" i="5"/>
  <c r="AV312" i="5"/>
  <c r="AW312" i="5"/>
  <c r="AX312" i="5"/>
  <c r="AY312" i="5"/>
  <c r="AZ312" i="5"/>
  <c r="AP347" i="5"/>
  <c r="AR347" i="5"/>
  <c r="AS347" i="5"/>
  <c r="AT347" i="5"/>
  <c r="AU347" i="5"/>
  <c r="AV347" i="5"/>
  <c r="AW347" i="5"/>
  <c r="AX347" i="5"/>
  <c r="AY347" i="5"/>
  <c r="AZ347" i="5"/>
  <c r="AP332" i="5"/>
  <c r="AR332" i="5"/>
  <c r="AS332" i="5"/>
  <c r="AT332" i="5"/>
  <c r="AU332" i="5"/>
  <c r="AV332" i="5"/>
  <c r="AW332" i="5"/>
  <c r="AX332" i="5"/>
  <c r="AY332" i="5"/>
  <c r="AZ332" i="5"/>
  <c r="AP345" i="5"/>
  <c r="AR345" i="5"/>
  <c r="AS345" i="5"/>
  <c r="AT345" i="5"/>
  <c r="AU345" i="5"/>
  <c r="AV345" i="5"/>
  <c r="AW345" i="5"/>
  <c r="AX345" i="5"/>
  <c r="AY345" i="5"/>
  <c r="AZ345" i="5"/>
  <c r="AP346" i="5"/>
  <c r="AR346" i="5"/>
  <c r="AS346" i="5"/>
  <c r="AT346" i="5"/>
  <c r="AU346" i="5"/>
  <c r="AV346" i="5"/>
  <c r="AW346" i="5"/>
  <c r="AX346" i="5"/>
  <c r="AY346" i="5"/>
  <c r="AZ346" i="5"/>
  <c r="AP348" i="5"/>
  <c r="AR348" i="5"/>
  <c r="AS348" i="5"/>
  <c r="AT348" i="5"/>
  <c r="AU348" i="5"/>
  <c r="AV348" i="5"/>
  <c r="AW348" i="5"/>
  <c r="AX348" i="5"/>
  <c r="AY348" i="5"/>
  <c r="AZ348" i="5"/>
  <c r="AP335" i="5"/>
  <c r="AR335" i="5"/>
  <c r="AS335" i="5"/>
  <c r="AT335" i="5"/>
  <c r="AU335" i="5"/>
  <c r="AV335" i="5"/>
  <c r="AW335" i="5"/>
  <c r="AX335" i="5"/>
  <c r="AY335" i="5"/>
  <c r="AZ335" i="5"/>
  <c r="AP343" i="5"/>
  <c r="AR343" i="5"/>
  <c r="AS343" i="5"/>
  <c r="AT343" i="5"/>
  <c r="AU343" i="5"/>
  <c r="AV343" i="5"/>
  <c r="AW343" i="5"/>
  <c r="AX343" i="5"/>
  <c r="AY343" i="5"/>
  <c r="AZ343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3" i="5"/>
  <c r="AR333" i="5"/>
  <c r="AS333" i="5"/>
  <c r="AT333" i="5"/>
  <c r="AU333" i="5"/>
  <c r="AV333" i="5"/>
  <c r="AW333" i="5"/>
  <c r="AX333" i="5"/>
  <c r="AY333" i="5"/>
  <c r="AZ333" i="5"/>
  <c r="AP336" i="5"/>
  <c r="AR336" i="5"/>
  <c r="AS336" i="5"/>
  <c r="AT336" i="5"/>
  <c r="AU336" i="5"/>
  <c r="AV336" i="5"/>
  <c r="AW336" i="5"/>
  <c r="AX336" i="5"/>
  <c r="AY336" i="5"/>
  <c r="AZ336" i="5"/>
  <c r="AP338" i="5"/>
  <c r="AR338" i="5"/>
  <c r="AS338" i="5"/>
  <c r="AT338" i="5"/>
  <c r="AU338" i="5"/>
  <c r="AV338" i="5"/>
  <c r="AW338" i="5"/>
  <c r="AX338" i="5"/>
  <c r="AY338" i="5"/>
  <c r="AZ338" i="5"/>
  <c r="AP337" i="5"/>
  <c r="AR337" i="5"/>
  <c r="AS337" i="5"/>
  <c r="AT337" i="5"/>
  <c r="AU337" i="5"/>
  <c r="AV337" i="5"/>
  <c r="AW337" i="5"/>
  <c r="AX337" i="5"/>
  <c r="AY337" i="5"/>
  <c r="AZ337" i="5"/>
  <c r="AP321" i="5"/>
  <c r="AR321" i="5"/>
  <c r="AS321" i="5"/>
  <c r="AT321" i="5"/>
  <c r="AU321" i="5"/>
  <c r="AV321" i="5"/>
  <c r="AW321" i="5"/>
  <c r="AX321" i="5"/>
  <c r="AY321" i="5"/>
  <c r="AZ321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1" i="5"/>
  <c r="AR331" i="5"/>
  <c r="AS331" i="5"/>
  <c r="AT331" i="5"/>
  <c r="AU331" i="5"/>
  <c r="AV331" i="5"/>
  <c r="AW331" i="5"/>
  <c r="AX331" i="5"/>
  <c r="AY331" i="5"/>
  <c r="AZ331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34" i="5"/>
  <c r="AR334" i="5"/>
  <c r="AS334" i="5"/>
  <c r="AT334" i="5"/>
  <c r="AU334" i="5"/>
  <c r="AV334" i="5"/>
  <c r="AW334" i="5"/>
  <c r="AX334" i="5"/>
  <c r="AY334" i="5"/>
  <c r="AZ334" i="5"/>
  <c r="AP344" i="5"/>
  <c r="AR344" i="5"/>
  <c r="AS344" i="5"/>
  <c r="AT344" i="5"/>
  <c r="AU344" i="5"/>
  <c r="AV344" i="5"/>
  <c r="AW344" i="5"/>
  <c r="AX344" i="5"/>
  <c r="AY344" i="5"/>
  <c r="AZ344" i="5"/>
  <c r="AP322" i="5"/>
  <c r="AR322" i="5"/>
  <c r="AS322" i="5"/>
  <c r="AT322" i="5"/>
  <c r="AU322" i="5"/>
  <c r="AV322" i="5"/>
  <c r="AW322" i="5"/>
  <c r="AX322" i="5"/>
  <c r="AY322" i="5"/>
  <c r="AZ322" i="5"/>
  <c r="AP319" i="5"/>
  <c r="AR319" i="5"/>
  <c r="AS319" i="5"/>
  <c r="AT319" i="5"/>
  <c r="AU319" i="5"/>
  <c r="AV319" i="5"/>
  <c r="AW319" i="5"/>
  <c r="AX319" i="5"/>
  <c r="AY319" i="5"/>
  <c r="AZ319" i="5"/>
  <c r="AP320" i="5"/>
  <c r="AR320" i="5"/>
  <c r="AS320" i="5"/>
  <c r="AT320" i="5"/>
  <c r="AU320" i="5"/>
  <c r="AV320" i="5"/>
  <c r="AW320" i="5"/>
  <c r="AX320" i="5"/>
  <c r="AY320" i="5"/>
  <c r="AZ320" i="5"/>
  <c r="AP318" i="5"/>
  <c r="AR318" i="5"/>
  <c r="AS318" i="5"/>
  <c r="AT318" i="5"/>
  <c r="AU318" i="5"/>
  <c r="AV318" i="5"/>
  <c r="AW318" i="5"/>
  <c r="AX318" i="5"/>
  <c r="AY318" i="5"/>
  <c r="AZ318" i="5"/>
  <c r="AP316" i="5"/>
  <c r="AR316" i="5"/>
  <c r="AS316" i="5"/>
  <c r="AT316" i="5"/>
  <c r="AU316" i="5"/>
  <c r="AV316" i="5"/>
  <c r="AW316" i="5"/>
  <c r="AX316" i="5"/>
  <c r="AY316" i="5"/>
  <c r="AZ316" i="5"/>
  <c r="AP317" i="5"/>
  <c r="AR317" i="5"/>
  <c r="AS317" i="5"/>
  <c r="AT317" i="5"/>
  <c r="AU317" i="5"/>
  <c r="AV317" i="5"/>
  <c r="AW317" i="5"/>
  <c r="AX317" i="5"/>
  <c r="AY317" i="5"/>
  <c r="AZ317" i="5"/>
  <c r="AP358" i="5"/>
  <c r="AR358" i="5"/>
  <c r="AS358" i="5"/>
  <c r="AT358" i="5"/>
  <c r="AU358" i="5"/>
  <c r="AV358" i="5"/>
  <c r="AW358" i="5"/>
  <c r="AX358" i="5"/>
  <c r="AY358" i="5"/>
  <c r="AZ358" i="5"/>
  <c r="AP349" i="5"/>
  <c r="AR349" i="5"/>
  <c r="AS349" i="5"/>
  <c r="AT349" i="5"/>
  <c r="AU349" i="5"/>
  <c r="AV349" i="5"/>
  <c r="AW349" i="5"/>
  <c r="AX349" i="5"/>
  <c r="AY349" i="5"/>
  <c r="AZ349" i="5"/>
  <c r="AP353" i="5"/>
  <c r="AR353" i="5"/>
  <c r="AS353" i="5"/>
  <c r="AT353" i="5"/>
  <c r="AU353" i="5"/>
  <c r="AV353" i="5"/>
  <c r="AW353" i="5"/>
  <c r="AX353" i="5"/>
  <c r="AY353" i="5"/>
  <c r="AZ353" i="5"/>
  <c r="AP354" i="5"/>
  <c r="AR354" i="5"/>
  <c r="AS354" i="5"/>
  <c r="AT354" i="5"/>
  <c r="AU354" i="5"/>
  <c r="AV354" i="5"/>
  <c r="AW354" i="5"/>
  <c r="AX354" i="5"/>
  <c r="AY354" i="5"/>
  <c r="AZ354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6" i="5"/>
  <c r="AR366" i="5"/>
  <c r="AS366" i="5"/>
  <c r="AT366" i="5"/>
  <c r="AU366" i="5"/>
  <c r="AV366" i="5"/>
  <c r="AW366" i="5"/>
  <c r="AX366" i="5"/>
  <c r="AY366" i="5"/>
  <c r="AZ366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70" i="5"/>
  <c r="AR370" i="5"/>
  <c r="AS370" i="5"/>
  <c r="AT370" i="5"/>
  <c r="AU370" i="5"/>
  <c r="AV370" i="5"/>
  <c r="AW370" i="5"/>
  <c r="AX370" i="5"/>
  <c r="AY370" i="5"/>
  <c r="AZ370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2" i="5"/>
  <c r="AR352" i="5"/>
  <c r="AS352" i="5"/>
  <c r="AT352" i="5"/>
  <c r="AU352" i="5"/>
  <c r="AV352" i="5"/>
  <c r="AW352" i="5"/>
  <c r="AX352" i="5"/>
  <c r="AY352" i="5"/>
  <c r="AZ352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57" i="5"/>
  <c r="AR357" i="5"/>
  <c r="AS357" i="5"/>
  <c r="AT357" i="5"/>
  <c r="AU357" i="5"/>
  <c r="AV357" i="5"/>
  <c r="AW357" i="5"/>
  <c r="AX357" i="5"/>
  <c r="AY357" i="5"/>
  <c r="AZ357" i="5"/>
  <c r="AP367" i="5"/>
  <c r="AR367" i="5"/>
  <c r="AS367" i="5"/>
  <c r="AT367" i="5"/>
  <c r="AU367" i="5"/>
  <c r="AV367" i="5"/>
  <c r="AW367" i="5"/>
  <c r="AX367" i="5"/>
  <c r="AY367" i="5"/>
  <c r="AZ367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79" i="5"/>
  <c r="AR379" i="5"/>
  <c r="AS379" i="5"/>
  <c r="AT379" i="5"/>
  <c r="AU379" i="5"/>
  <c r="AV379" i="5"/>
  <c r="AW379" i="5"/>
  <c r="AX379" i="5"/>
  <c r="AY379" i="5"/>
  <c r="AZ379" i="5"/>
  <c r="AP381" i="5"/>
  <c r="AR381" i="5"/>
  <c r="AS381" i="5"/>
  <c r="AT381" i="5"/>
  <c r="AU381" i="5"/>
  <c r="AV381" i="5"/>
  <c r="AW381" i="5"/>
  <c r="AX381" i="5"/>
  <c r="AY381" i="5"/>
  <c r="AZ381" i="5"/>
  <c r="AP385" i="5"/>
  <c r="AQ385" i="5"/>
  <c r="AR385" i="5"/>
  <c r="AS385" i="5"/>
  <c r="AT385" i="5"/>
  <c r="AU385" i="5"/>
  <c r="AV385" i="5"/>
  <c r="AW385" i="5"/>
  <c r="AX385" i="5"/>
  <c r="AY385" i="5"/>
  <c r="AZ385" i="5"/>
  <c r="AP386" i="5"/>
  <c r="AQ386" i="5"/>
  <c r="AR386" i="5"/>
  <c r="AS386" i="5"/>
  <c r="AT386" i="5"/>
  <c r="AU386" i="5"/>
  <c r="AV386" i="5"/>
  <c r="AW386" i="5"/>
  <c r="AX386" i="5"/>
  <c r="AY386" i="5"/>
  <c r="AZ386" i="5"/>
  <c r="AP387" i="5"/>
  <c r="AQ387" i="5"/>
  <c r="AR387" i="5"/>
  <c r="AS387" i="5"/>
  <c r="AT387" i="5"/>
  <c r="AU387" i="5"/>
  <c r="AV387" i="5"/>
  <c r="AW387" i="5"/>
  <c r="AX387" i="5"/>
  <c r="AY387" i="5"/>
  <c r="AZ387" i="5"/>
  <c r="AP384" i="5"/>
  <c r="AQ384" i="5"/>
  <c r="AR384" i="5"/>
  <c r="AS384" i="5"/>
  <c r="AT384" i="5"/>
  <c r="AU384" i="5"/>
  <c r="AV384" i="5"/>
  <c r="AW384" i="5"/>
  <c r="AX384" i="5"/>
  <c r="AY384" i="5"/>
  <c r="AZ384" i="5"/>
  <c r="AP388" i="5"/>
  <c r="AQ388" i="5"/>
  <c r="AR388" i="5"/>
  <c r="AS388" i="5"/>
  <c r="AT388" i="5"/>
  <c r="AU388" i="5"/>
  <c r="AV388" i="5"/>
  <c r="AW388" i="5"/>
  <c r="AX388" i="5"/>
  <c r="AY388" i="5"/>
  <c r="AZ388" i="5"/>
  <c r="AR392" i="5"/>
  <c r="AS392" i="5"/>
  <c r="AT392" i="5"/>
  <c r="AU392" i="5"/>
  <c r="AV392" i="5"/>
  <c r="AW392" i="5"/>
  <c r="AX392" i="5"/>
  <c r="AY392" i="5"/>
  <c r="AR391" i="5"/>
  <c r="AS391" i="5"/>
  <c r="AT391" i="5"/>
  <c r="AU391" i="5"/>
  <c r="AV391" i="5"/>
  <c r="AW391" i="5"/>
  <c r="AX391" i="5"/>
  <c r="AY391" i="5"/>
  <c r="AR389" i="5"/>
  <c r="AS389" i="5"/>
  <c r="AT389" i="5"/>
  <c r="AU389" i="5"/>
  <c r="AV389" i="5"/>
  <c r="AW389" i="5"/>
  <c r="AX389" i="5"/>
  <c r="AY389" i="5"/>
  <c r="AR390" i="5"/>
  <c r="AS390" i="5"/>
  <c r="AT390" i="5"/>
  <c r="AU390" i="5"/>
  <c r="AV390" i="5"/>
  <c r="AW390" i="5"/>
  <c r="AX390" i="5"/>
  <c r="AY390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1" i="5"/>
  <c r="AS401" i="5"/>
  <c r="AT401" i="5"/>
  <c r="AU401" i="5"/>
  <c r="AV401" i="5"/>
  <c r="AW401" i="5"/>
  <c r="AX401" i="5"/>
  <c r="AY401" i="5"/>
  <c r="AR402" i="5"/>
  <c r="AS402" i="5"/>
  <c r="AT402" i="5"/>
  <c r="AU402" i="5"/>
  <c r="AV402" i="5"/>
  <c r="AW402" i="5"/>
  <c r="AX402" i="5"/>
  <c r="AY402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12" i="5"/>
  <c r="AS412" i="5"/>
  <c r="AT412" i="5"/>
  <c r="AU412" i="5"/>
  <c r="AV412" i="5"/>
  <c r="AW412" i="5"/>
  <c r="AX412" i="5"/>
  <c r="AY412" i="5"/>
  <c r="AR413" i="5"/>
  <c r="AS413" i="5"/>
  <c r="AT413" i="5"/>
  <c r="AU413" i="5"/>
  <c r="AV413" i="5"/>
  <c r="AW413" i="5"/>
  <c r="AX413" i="5"/>
  <c r="AY413" i="5"/>
  <c r="AR403" i="5"/>
  <c r="AS403" i="5"/>
  <c r="AT403" i="5"/>
  <c r="AU403" i="5"/>
  <c r="AV403" i="5"/>
  <c r="AW403" i="5"/>
  <c r="AX403" i="5"/>
  <c r="AY403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6" i="4"/>
  <c r="AC289" i="4"/>
  <c r="AC4" i="4"/>
  <c r="AC5" i="4"/>
  <c r="AC204" i="4"/>
  <c r="AC6" i="4"/>
  <c r="AC130" i="4"/>
  <c r="AC132" i="4"/>
  <c r="AC133" i="4"/>
  <c r="AC278" i="4"/>
  <c r="AC128" i="4"/>
  <c r="AC129" i="4"/>
  <c r="AC253" i="4"/>
  <c r="AC59" i="4"/>
  <c r="AC105" i="4"/>
  <c r="AC120" i="4"/>
  <c r="AC14" i="4"/>
  <c r="AC233" i="4"/>
  <c r="AC266" i="4"/>
  <c r="AC267" i="4"/>
  <c r="AC239" i="4"/>
  <c r="AC241" i="4"/>
  <c r="AC242" i="4"/>
  <c r="AC268" i="4"/>
  <c r="AC244" i="4"/>
  <c r="AC269" i="4"/>
  <c r="AC247" i="4"/>
  <c r="AC270" i="4"/>
  <c r="AC271" i="4"/>
  <c r="AC272" i="4"/>
  <c r="AC273" i="4"/>
  <c r="AC274" i="4"/>
  <c r="AC151" i="4"/>
  <c r="AC2" i="4"/>
  <c r="AC296" i="4"/>
  <c r="AC288" i="4"/>
  <c r="AC264" i="4"/>
  <c r="AC238" i="4"/>
  <c r="AC240" i="4"/>
  <c r="AC243" i="4"/>
  <c r="AC64" i="4"/>
  <c r="AC65" i="4"/>
  <c r="AC203" i="4"/>
  <c r="AC275" i="4"/>
  <c r="AC153" i="4"/>
  <c r="AC125" i="4"/>
  <c r="AC190" i="4"/>
  <c r="AC249" i="4"/>
  <c r="AC73" i="4"/>
  <c r="AC213" i="4"/>
  <c r="AC110" i="4"/>
  <c r="AC47" i="4"/>
  <c r="AC85" i="4"/>
  <c r="AC86" i="4"/>
  <c r="AC255" i="4"/>
  <c r="AC282" i="4"/>
  <c r="AC256" i="4"/>
  <c r="AC291" i="4"/>
  <c r="AC292" i="4"/>
  <c r="AC113" i="4"/>
  <c r="AC134" i="4"/>
  <c r="AC135" i="4"/>
  <c r="AC176" i="4"/>
  <c r="AC177" i="4"/>
  <c r="AC137" i="4"/>
  <c r="AC138" i="4"/>
  <c r="AC139" i="4"/>
  <c r="AC140" i="4"/>
  <c r="AC258" i="4"/>
  <c r="AC98" i="4"/>
  <c r="AC115" i="4"/>
  <c r="AC116" i="4"/>
  <c r="AC117" i="4"/>
  <c r="AC142" i="4"/>
  <c r="AC118" i="4"/>
  <c r="AC27" i="4"/>
  <c r="AC143" i="4"/>
  <c r="AC144" i="4"/>
  <c r="AC28" i="4"/>
  <c r="AC145" i="4"/>
  <c r="AC286" i="4"/>
  <c r="AC183" i="4"/>
  <c r="AC102" i="4"/>
  <c r="AC103" i="4"/>
  <c r="AC104" i="4"/>
  <c r="AC29" i="4"/>
  <c r="AC58" i="4"/>
  <c r="AC30" i="4"/>
  <c r="AC13" i="4"/>
  <c r="AC265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4" i="4"/>
  <c r="AC235" i="4"/>
  <c r="AC219" i="4"/>
  <c r="AC236" i="4"/>
  <c r="AC237" i="4"/>
  <c r="AC202" i="4"/>
  <c r="AC186" i="4"/>
  <c r="AC187" i="4"/>
  <c r="AC188" i="4"/>
  <c r="AC150" i="4"/>
  <c r="AC246" i="4"/>
  <c r="AC189" i="4"/>
  <c r="AC121" i="4"/>
  <c r="AC41" i="4"/>
  <c r="AC277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7" i="4"/>
  <c r="AC127" i="4"/>
  <c r="AC191" i="4"/>
  <c r="AC70" i="4"/>
  <c r="AC248" i="4"/>
  <c r="AC250" i="4"/>
  <c r="AC290" i="4"/>
  <c r="AC192" i="4"/>
  <c r="AC222" i="4"/>
  <c r="AC251" i="4"/>
  <c r="AC74" i="4"/>
  <c r="AC20" i="4"/>
  <c r="AC75" i="4"/>
  <c r="AC279" i="4"/>
  <c r="AC43" i="4"/>
  <c r="AC212" i="4"/>
  <c r="AC77" i="4"/>
  <c r="AC223" i="4"/>
  <c r="AC158" i="4"/>
  <c r="AC252" i="4"/>
  <c r="AC10" i="4"/>
  <c r="AC159" i="4"/>
  <c r="AC21" i="4"/>
  <c r="AC160" i="4"/>
  <c r="AC44" i="4"/>
  <c r="AC45" i="4"/>
  <c r="AC11" i="4"/>
  <c r="AC254" i="4"/>
  <c r="AC193" i="4"/>
  <c r="AC194" i="4"/>
  <c r="AC280" i="4"/>
  <c r="AC281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9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3" i="4"/>
  <c r="AC229" i="4"/>
  <c r="AC230" i="4"/>
  <c r="AC257" i="4"/>
  <c r="AC141" i="4"/>
  <c r="AC298" i="4"/>
  <c r="AC259" i="4"/>
  <c r="AC260" i="4"/>
  <c r="AC261" i="4"/>
  <c r="AC197" i="4"/>
  <c r="AC178" i="4"/>
  <c r="AC179" i="4"/>
  <c r="AC180" i="4"/>
  <c r="AC199" i="4"/>
  <c r="AC181" i="4"/>
  <c r="AC295" i="4"/>
  <c r="AC231" i="4"/>
  <c r="AC209" i="4"/>
  <c r="AC284" i="4"/>
  <c r="AC285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4" i="4"/>
  <c r="AC114" i="4"/>
  <c r="AC287" i="4"/>
  <c r="AC276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8" i="4"/>
  <c r="AC307" i="4"/>
  <c r="AC305" i="4"/>
  <c r="AC306" i="4"/>
  <c r="AC301" i="4"/>
  <c r="AC302" i="4"/>
  <c r="AC300" i="4"/>
  <c r="AC303" i="4"/>
  <c r="AC304" i="4"/>
  <c r="AC311" i="4"/>
  <c r="AC312" i="4"/>
  <c r="AC313" i="4"/>
  <c r="AC314" i="4"/>
  <c r="AC309" i="4"/>
  <c r="AC315" i="4"/>
  <c r="AC336" i="4"/>
  <c r="AC337" i="4"/>
  <c r="AC319" i="4"/>
  <c r="AC316" i="4"/>
  <c r="AC320" i="4"/>
  <c r="AC321" i="4"/>
  <c r="AC322" i="4"/>
  <c r="AC348" i="4"/>
  <c r="AC327" i="4"/>
  <c r="AC328" i="4"/>
  <c r="AC329" i="4"/>
  <c r="AC330" i="4"/>
  <c r="AC342" i="4"/>
  <c r="AC332" i="4"/>
  <c r="AC333" i="4"/>
  <c r="AC334" i="4"/>
  <c r="AC344" i="4"/>
  <c r="AC345" i="4"/>
  <c r="AC346" i="4"/>
  <c r="AC343" i="4"/>
  <c r="AC323" i="4"/>
  <c r="AC318" i="4"/>
  <c r="AC324" i="4"/>
  <c r="AC331" i="4"/>
  <c r="AC326" i="4"/>
  <c r="AC335" i="4"/>
  <c r="AC325" i="4"/>
  <c r="AC339" i="4"/>
  <c r="AC338" i="4"/>
  <c r="AC317" i="4"/>
  <c r="AC340" i="4"/>
  <c r="AC341" i="4"/>
  <c r="AC347" i="4"/>
  <c r="AC351" i="4"/>
  <c r="AC362" i="4"/>
  <c r="AC363" i="4"/>
  <c r="AC369" i="4"/>
  <c r="AC364" i="4"/>
  <c r="AC370" i="4"/>
  <c r="AC352" i="4"/>
  <c r="AC349" i="4"/>
  <c r="AC359" i="4"/>
  <c r="AC360" i="4"/>
  <c r="AC365" i="4"/>
  <c r="AC350" i="4"/>
  <c r="AC366" i="4"/>
  <c r="AC367" i="4"/>
  <c r="AC368" i="4"/>
  <c r="AC361" i="4"/>
  <c r="AC353" i="4"/>
  <c r="AC354" i="4"/>
  <c r="AC355" i="4"/>
  <c r="AC356" i="4"/>
  <c r="AC357" i="4"/>
  <c r="AC358" i="4"/>
  <c r="AC372" i="4"/>
  <c r="AC378" i="4"/>
  <c r="AC379" i="4"/>
  <c r="AC380" i="4"/>
  <c r="AC374" i="4"/>
  <c r="AC371" i="4"/>
  <c r="AC377" i="4"/>
  <c r="AC382" i="4"/>
  <c r="AC375" i="4"/>
  <c r="AC376" i="4"/>
  <c r="AC373" i="4"/>
  <c r="AC385" i="4"/>
  <c r="AC387" i="4"/>
  <c r="AC388" i="4"/>
  <c r="AC386" i="4"/>
  <c r="AC384" i="4"/>
  <c r="AC392" i="4"/>
  <c r="AC397" i="4"/>
  <c r="AC410" i="4"/>
  <c r="AC399" i="4"/>
  <c r="AC400" i="4"/>
  <c r="AC401" i="4"/>
  <c r="AC402" i="4"/>
  <c r="AC405" i="4"/>
  <c r="AC389" i="4"/>
  <c r="AC406" i="4"/>
  <c r="AC407" i="4"/>
  <c r="AC409" i="4"/>
  <c r="AC398" i="4"/>
  <c r="AC390" i="4"/>
  <c r="AC391" i="4"/>
  <c r="AC393" i="4"/>
  <c r="AC394" i="4"/>
  <c r="AC395" i="4"/>
  <c r="AC404" i="4"/>
  <c r="AC396" i="4"/>
  <c r="AC408" i="4"/>
  <c r="AC411" i="4"/>
  <c r="AC412" i="4"/>
  <c r="AC413" i="4"/>
  <c r="AC403" i="4"/>
  <c r="AC245" i="4"/>
  <c r="AD245" i="4"/>
  <c r="BD114" i="5"/>
  <c r="BD195" i="5"/>
  <c r="BD194" i="5"/>
  <c r="BD21" i="5"/>
  <c r="BD170" i="5"/>
  <c r="BD109" i="5"/>
  <c r="BD250" i="5"/>
  <c r="BD117" i="5"/>
  <c r="BD171" i="5"/>
  <c r="BD292" i="5"/>
  <c r="BD227" i="5"/>
  <c r="BD139" i="5"/>
  <c r="BD77" i="5"/>
  <c r="BD241" i="5"/>
  <c r="BD222" i="5"/>
  <c r="BD79" i="5"/>
  <c r="BD173" i="5"/>
  <c r="BD264" i="5"/>
  <c r="BD165" i="5"/>
  <c r="BD166" i="5"/>
  <c r="BD184" i="5"/>
  <c r="BD186" i="5"/>
  <c r="BD187" i="5"/>
  <c r="BD332" i="5"/>
  <c r="BD388" i="5"/>
  <c r="BD384" i="5"/>
  <c r="BD385" i="5"/>
  <c r="BD393" i="5"/>
  <c r="BD409" i="5"/>
  <c r="BD410" i="5"/>
  <c r="BD390" i="5"/>
  <c r="BD51" i="5"/>
  <c r="BD52" i="5"/>
  <c r="BD120" i="5"/>
  <c r="BD50" i="5"/>
  <c r="BD53" i="5"/>
  <c r="BD66" i="5"/>
  <c r="BD122" i="5"/>
  <c r="BD138" i="5"/>
  <c r="BD257" i="5"/>
  <c r="BD169" i="5"/>
  <c r="BD162" i="5"/>
  <c r="BD154" i="5"/>
  <c r="BD168" i="5"/>
  <c r="BD41" i="5"/>
  <c r="BD124" i="5"/>
  <c r="BD42" i="5"/>
  <c r="BD56" i="5"/>
  <c r="BD242" i="5"/>
  <c r="BD55" i="5"/>
  <c r="BD111" i="5"/>
  <c r="BD249" i="5"/>
  <c r="BD48" i="5"/>
  <c r="BD62" i="5"/>
  <c r="BD258" i="5"/>
  <c r="BD121" i="5"/>
  <c r="BD161" i="5"/>
  <c r="BD190" i="5"/>
  <c r="BD192" i="5"/>
  <c r="BD72" i="5"/>
  <c r="BD263" i="5"/>
  <c r="BD85" i="5"/>
  <c r="BD18" i="5"/>
  <c r="BD60" i="5"/>
  <c r="BD262" i="5"/>
  <c r="BD252" i="5"/>
  <c r="BD244" i="5"/>
  <c r="BD247" i="5"/>
  <c r="BD115" i="5"/>
  <c r="BD126" i="5"/>
  <c r="BD17" i="5"/>
  <c r="BD59" i="5"/>
  <c r="BD281" i="5"/>
  <c r="BD246" i="5"/>
  <c r="BD248" i="5"/>
  <c r="BD32" i="5"/>
  <c r="BD65" i="5"/>
  <c r="BD70" i="5"/>
  <c r="BD282" i="5"/>
  <c r="BD37" i="5"/>
  <c r="BD81" i="5"/>
  <c r="BD83" i="5"/>
  <c r="BD254" i="5"/>
  <c r="BD276" i="5"/>
  <c r="BD256" i="5"/>
  <c r="BD22" i="5"/>
  <c r="BD245" i="5"/>
  <c r="BD97" i="5"/>
  <c r="BD207" i="5"/>
  <c r="BD86" i="5"/>
  <c r="BD34" i="5"/>
  <c r="BD38" i="5"/>
  <c r="BD284" i="5"/>
  <c r="BD71" i="5"/>
  <c r="BD23" i="5"/>
  <c r="BD24" i="5"/>
  <c r="BD74" i="5"/>
  <c r="BD94" i="5"/>
  <c r="BD40" i="5"/>
  <c r="BD84" i="5"/>
  <c r="BD10" i="5"/>
  <c r="BD294" i="5"/>
  <c r="BD33" i="5"/>
  <c r="BD167" i="5"/>
  <c r="BD135" i="5"/>
  <c r="BD137" i="5"/>
  <c r="BD238" i="5"/>
  <c r="BD157" i="5"/>
  <c r="BD191" i="5"/>
  <c r="BD288" i="5"/>
  <c r="BD47" i="5"/>
  <c r="BD69" i="5"/>
  <c r="BD80" i="5"/>
  <c r="BD290" i="5"/>
  <c r="BD291" i="5"/>
  <c r="BD293" i="5"/>
  <c r="BD274" i="5"/>
  <c r="BD82" i="5"/>
  <c r="BD2" i="5"/>
  <c r="BD163" i="5"/>
  <c r="BD235" i="5"/>
  <c r="BD193" i="5"/>
  <c r="BD286" i="5"/>
  <c r="BD243" i="5"/>
  <c r="BD236" i="5"/>
  <c r="BD31" i="5"/>
  <c r="BD285" i="5"/>
  <c r="BD63" i="5"/>
  <c r="BD231" i="5"/>
  <c r="BD233" i="5"/>
  <c r="BD259" i="5"/>
  <c r="BD6" i="5"/>
  <c r="BD237" i="5"/>
  <c r="BD76" i="5"/>
  <c r="BD261" i="5"/>
  <c r="BD11" i="5"/>
  <c r="BD16" i="5"/>
  <c r="BD201" i="5"/>
  <c r="BD202" i="5"/>
  <c r="BD39" i="5"/>
  <c r="BD289" i="5"/>
  <c r="BD95" i="5"/>
  <c r="BD36" i="5"/>
  <c r="BD206" i="5"/>
  <c r="BD35" i="5"/>
  <c r="BD67" i="5"/>
  <c r="BD93" i="5"/>
  <c r="BD26" i="5"/>
  <c r="BD25" i="5"/>
  <c r="BD125" i="5"/>
  <c r="BD45" i="5"/>
  <c r="BD296" i="5"/>
  <c r="BD113" i="5"/>
  <c r="BD7" i="5"/>
  <c r="BD44" i="5"/>
  <c r="BD75" i="5"/>
  <c r="BD260" i="5"/>
  <c r="BD234" i="5"/>
  <c r="BD68" i="5"/>
  <c r="BD127" i="5"/>
  <c r="BD203" i="5"/>
  <c r="BD8" i="5"/>
  <c r="BD295" i="5"/>
  <c r="BD196" i="5"/>
  <c r="BD197" i="5"/>
  <c r="BD3" i="5"/>
  <c r="BD58" i="5"/>
  <c r="BD205" i="5"/>
  <c r="BD57" i="5"/>
  <c r="BD204" i="5"/>
  <c r="BD200" i="5"/>
  <c r="BD280" i="5"/>
  <c r="BD149" i="5"/>
  <c r="BD43" i="5"/>
  <c r="BD28" i="5"/>
  <c r="BD99" i="5"/>
  <c r="BD278" i="5"/>
  <c r="BD49" i="5"/>
  <c r="BD283" i="5"/>
  <c r="BD208" i="5"/>
  <c r="BD64" i="5"/>
  <c r="BD100" i="5"/>
  <c r="BD218" i="5"/>
  <c r="BD287" i="5"/>
  <c r="BD143" i="5"/>
  <c r="BD30" i="5"/>
  <c r="BD255" i="5"/>
  <c r="BD142" i="5"/>
  <c r="BD153" i="5"/>
  <c r="BD61" i="5"/>
  <c r="BD92" i="5"/>
  <c r="BD156" i="5"/>
  <c r="BD298" i="5"/>
  <c r="BD177" i="5"/>
  <c r="BD253" i="5"/>
  <c r="BD175" i="5"/>
  <c r="BD188" i="5"/>
  <c r="BD266" i="5"/>
  <c r="BD265" i="5"/>
  <c r="BD279" i="5"/>
  <c r="BD176" i="5"/>
  <c r="BD54" i="5"/>
  <c r="BD133" i="5"/>
  <c r="BD269" i="5"/>
  <c r="BD101" i="5"/>
  <c r="BD29" i="5"/>
  <c r="BD46" i="5"/>
  <c r="BD96" i="5"/>
  <c r="BD251" i="5"/>
  <c r="BD98" i="5"/>
  <c r="BD232" i="5"/>
  <c r="BD267" i="5"/>
  <c r="BD118" i="5"/>
  <c r="BD172" i="5"/>
  <c r="BD297" i="5"/>
  <c r="BD151" i="5"/>
  <c r="BD275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7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8" i="5"/>
  <c r="BD9" i="5"/>
  <c r="BD210" i="5"/>
  <c r="BD141" i="5"/>
  <c r="BD225" i="5"/>
  <c r="BD131" i="5"/>
  <c r="BD220" i="5"/>
  <c r="BD219" i="5"/>
  <c r="BD271" i="5"/>
  <c r="BD12" i="5"/>
  <c r="BD216" i="5"/>
  <c r="BD116" i="5"/>
  <c r="BD13" i="5"/>
  <c r="BD272" i="5"/>
  <c r="BD273" i="5"/>
  <c r="BD123" i="5"/>
  <c r="BD144" i="5"/>
  <c r="BD148" i="5"/>
  <c r="BD277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3" i="5"/>
  <c r="BD315" i="5"/>
  <c r="BD305" i="5"/>
  <c r="BD306" i="5"/>
  <c r="BD301" i="5"/>
  <c r="BD309" i="5"/>
  <c r="BD313" i="5"/>
  <c r="BD314" i="5"/>
  <c r="BD307" i="5"/>
  <c r="BD312" i="5"/>
  <c r="BD302" i="5"/>
  <c r="BD310" i="5"/>
  <c r="BD308" i="5"/>
  <c r="BD300" i="5"/>
  <c r="BD311" i="5"/>
  <c r="BD326" i="5"/>
  <c r="BD325" i="5"/>
  <c r="BD324" i="5"/>
  <c r="BD339" i="5"/>
  <c r="BD341" i="5"/>
  <c r="BD346" i="5"/>
  <c r="BD345" i="5"/>
  <c r="BD347" i="5"/>
  <c r="BD337" i="5"/>
  <c r="BD331" i="5"/>
  <c r="BD321" i="5"/>
  <c r="BD316" i="5"/>
  <c r="BD317" i="5"/>
  <c r="BD318" i="5"/>
  <c r="BD319" i="5"/>
  <c r="BD320" i="5"/>
  <c r="BD322" i="5"/>
  <c r="BD323" i="5"/>
  <c r="BD327" i="5"/>
  <c r="BD328" i="5"/>
  <c r="BD329" i="5"/>
  <c r="BD330" i="5"/>
  <c r="BD333" i="5"/>
  <c r="BD334" i="5"/>
  <c r="BD335" i="5"/>
  <c r="BD336" i="5"/>
  <c r="BD338" i="5"/>
  <c r="BD340" i="5"/>
  <c r="BD342" i="5"/>
  <c r="BD343" i="5"/>
  <c r="BD344" i="5"/>
  <c r="BD348" i="5"/>
  <c r="BD352" i="5"/>
  <c r="BD354" i="5"/>
  <c r="BD353" i="5"/>
  <c r="BD351" i="5"/>
  <c r="BD369" i="5"/>
  <c r="BD368" i="5"/>
  <c r="BD360" i="5"/>
  <c r="BD370" i="5"/>
  <c r="BD361" i="5"/>
  <c r="BD363" i="5"/>
  <c r="BD366" i="5"/>
  <c r="BD364" i="5"/>
  <c r="BD362" i="5"/>
  <c r="BD365" i="5"/>
  <c r="BD350" i="5"/>
  <c r="BD359" i="5"/>
  <c r="BD349" i="5"/>
  <c r="BD358" i="5"/>
  <c r="BD357" i="5"/>
  <c r="BD367" i="5"/>
  <c r="BD356" i="5"/>
  <c r="BD355" i="5"/>
  <c r="BD377" i="5"/>
  <c r="BD374" i="5"/>
  <c r="BD375" i="5"/>
  <c r="BD372" i="5"/>
  <c r="BD381" i="5"/>
  <c r="BD380" i="5"/>
  <c r="BD376" i="5"/>
  <c r="BD373" i="5"/>
  <c r="BD378" i="5"/>
  <c r="BD379" i="5"/>
  <c r="BD371" i="5"/>
  <c r="BD386" i="5"/>
  <c r="BD387" i="5"/>
  <c r="BD389" i="5"/>
  <c r="BD391" i="5"/>
  <c r="BD394" i="5"/>
  <c r="BD395" i="5"/>
  <c r="BD396" i="5"/>
  <c r="BD400" i="5"/>
  <c r="BD401" i="5"/>
  <c r="BD402" i="5"/>
  <c r="BD403" i="5"/>
  <c r="BD404" i="5"/>
  <c r="BD405" i="5"/>
  <c r="BD407" i="5"/>
  <c r="BD408" i="5"/>
  <c r="BD411" i="5"/>
  <c r="BD412" i="5"/>
  <c r="BD413" i="5"/>
  <c r="BD392" i="5"/>
  <c r="BD397" i="5"/>
  <c r="BD406" i="5"/>
  <c r="BD399" i="5"/>
  <c r="BD398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6" i="4"/>
  <c r="AD289" i="4"/>
  <c r="AD4" i="4"/>
  <c r="AD5" i="4"/>
  <c r="AD204" i="4"/>
  <c r="AD6" i="4"/>
  <c r="AD130" i="4"/>
  <c r="AD132" i="4"/>
  <c r="AD133" i="4"/>
  <c r="AD278" i="4"/>
  <c r="AD128" i="4"/>
  <c r="AD129" i="4"/>
  <c r="AD253" i="4"/>
  <c r="AD59" i="4"/>
  <c r="AD105" i="4"/>
  <c r="AD120" i="4"/>
  <c r="AD14" i="4"/>
  <c r="AD233" i="4"/>
  <c r="AD266" i="4"/>
  <c r="AD267" i="4"/>
  <c r="AD239" i="4"/>
  <c r="AD241" i="4"/>
  <c r="AD242" i="4"/>
  <c r="AD268" i="4"/>
  <c r="AD244" i="4"/>
  <c r="AD269" i="4"/>
  <c r="AD247" i="4"/>
  <c r="AD270" i="4"/>
  <c r="AD271" i="4"/>
  <c r="AD272" i="4"/>
  <c r="AD273" i="4"/>
  <c r="AD274" i="4"/>
  <c r="AD151" i="4"/>
  <c r="AD2" i="4"/>
  <c r="AD296" i="4"/>
  <c r="AD288" i="4"/>
  <c r="AD264" i="4"/>
  <c r="AD238" i="4"/>
  <c r="AD240" i="4"/>
  <c r="AD243" i="4"/>
  <c r="AD64" i="4"/>
  <c r="AD65" i="4"/>
  <c r="AD203" i="4"/>
  <c r="AD275" i="4"/>
  <c r="AD153" i="4"/>
  <c r="AD125" i="4"/>
  <c r="AD190" i="4"/>
  <c r="AD249" i="4"/>
  <c r="AD73" i="4"/>
  <c r="AD213" i="4"/>
  <c r="AD110" i="4"/>
  <c r="AD47" i="4"/>
  <c r="AD85" i="4"/>
  <c r="AD86" i="4"/>
  <c r="AD255" i="4"/>
  <c r="AD282" i="4"/>
  <c r="AD256" i="4"/>
  <c r="AD291" i="4"/>
  <c r="AD292" i="4"/>
  <c r="AD113" i="4"/>
  <c r="AD134" i="4"/>
  <c r="AD135" i="4"/>
  <c r="AD176" i="4"/>
  <c r="AD177" i="4"/>
  <c r="AD137" i="4"/>
  <c r="AD138" i="4"/>
  <c r="AD139" i="4"/>
  <c r="AD140" i="4"/>
  <c r="AD258" i="4"/>
  <c r="AD98" i="4"/>
  <c r="AD115" i="4"/>
  <c r="AD116" i="4"/>
  <c r="AD117" i="4"/>
  <c r="AD142" i="4"/>
  <c r="AD118" i="4"/>
  <c r="AD27" i="4"/>
  <c r="AD143" i="4"/>
  <c r="AD144" i="4"/>
  <c r="AD28" i="4"/>
  <c r="AD145" i="4"/>
  <c r="AD286" i="4"/>
  <c r="AD183" i="4"/>
  <c r="AD102" i="4"/>
  <c r="AD103" i="4"/>
  <c r="AD104" i="4"/>
  <c r="AD29" i="4"/>
  <c r="AD58" i="4"/>
  <c r="AD30" i="4"/>
  <c r="AD13" i="4"/>
  <c r="AD265" i="4"/>
  <c r="AD32" i="4"/>
  <c r="AD33" i="4"/>
  <c r="AD34" i="4"/>
  <c r="AD35" i="4"/>
  <c r="AD36" i="4"/>
  <c r="AD37" i="4"/>
  <c r="AD60" i="4"/>
  <c r="AD61" i="4"/>
  <c r="AD62" i="4"/>
  <c r="AD15" i="4"/>
  <c r="AD106" i="4"/>
  <c r="AD107" i="4"/>
  <c r="AD38" i="4"/>
  <c r="AD39" i="4"/>
  <c r="AD40" i="4"/>
  <c r="AD63" i="4"/>
  <c r="AD234" i="4"/>
  <c r="AD235" i="4"/>
  <c r="AD219" i="4"/>
  <c r="AD236" i="4"/>
  <c r="AD237" i="4"/>
  <c r="AD202" i="4"/>
  <c r="AD186" i="4"/>
  <c r="AD187" i="4"/>
  <c r="AD188" i="4"/>
  <c r="AD150" i="4"/>
  <c r="AD246" i="4"/>
  <c r="AD189" i="4"/>
  <c r="AD121" i="4"/>
  <c r="AD41" i="4"/>
  <c r="AD277" i="4"/>
  <c r="AD152" i="4"/>
  <c r="AD16" i="4"/>
  <c r="AD8" i="4"/>
  <c r="AD9" i="4"/>
  <c r="AD210" i="4"/>
  <c r="AD220" i="4"/>
  <c r="AD221" i="4"/>
  <c r="AD122" i="4"/>
  <c r="AD123" i="4"/>
  <c r="AD124" i="4"/>
  <c r="AD154" i="4"/>
  <c r="AD211" i="4"/>
  <c r="AD108" i="4"/>
  <c r="AD69" i="4"/>
  <c r="AD297" i="4"/>
  <c r="AD127" i="4"/>
  <c r="AD191" i="4"/>
  <c r="AD70" i="4"/>
  <c r="AD248" i="4"/>
  <c r="AD250" i="4"/>
  <c r="AD290" i="4"/>
  <c r="AD192" i="4"/>
  <c r="AD222" i="4"/>
  <c r="AD251" i="4"/>
  <c r="AD74" i="4"/>
  <c r="AD20" i="4"/>
  <c r="AD75" i="4"/>
  <c r="AD279" i="4"/>
  <c r="AD43" i="4"/>
  <c r="AD212" i="4"/>
  <c r="AD77" i="4"/>
  <c r="AD223" i="4"/>
  <c r="AD158" i="4"/>
  <c r="AD252" i="4"/>
  <c r="AD10" i="4"/>
  <c r="AD159" i="4"/>
  <c r="AD21" i="4"/>
  <c r="AD160" i="4"/>
  <c r="AD44" i="4"/>
  <c r="AD45" i="4"/>
  <c r="AD11" i="4"/>
  <c r="AD254" i="4"/>
  <c r="AD193" i="4"/>
  <c r="AD194" i="4"/>
  <c r="AD280" i="4"/>
  <c r="AD281" i="4"/>
  <c r="AD46" i="4"/>
  <c r="AD80" i="4"/>
  <c r="AD81" i="4"/>
  <c r="AD215" i="4"/>
  <c r="AD7" i="4"/>
  <c r="AD111" i="4"/>
  <c r="AD112" i="4"/>
  <c r="AD24" i="4"/>
  <c r="AD25" i="4"/>
  <c r="AD131" i="4"/>
  <c r="AD165" i="4"/>
  <c r="AD166" i="4"/>
  <c r="AD167" i="4"/>
  <c r="AD168" i="4"/>
  <c r="AD169" i="4"/>
  <c r="AD170" i="4"/>
  <c r="AD171" i="4"/>
  <c r="AD195" i="4"/>
  <c r="AD207" i="4"/>
  <c r="AD208" i="4"/>
  <c r="AD136" i="4"/>
  <c r="AD172" i="4"/>
  <c r="AD173" i="4"/>
  <c r="AD174" i="4"/>
  <c r="AD175" i="4"/>
  <c r="AD299" i="4"/>
  <c r="AD196" i="4"/>
  <c r="AD88" i="4"/>
  <c r="AD89" i="4"/>
  <c r="AD90" i="4"/>
  <c r="AD91" i="4"/>
  <c r="AD92" i="4"/>
  <c r="AD93" i="4"/>
  <c r="AD95" i="4"/>
  <c r="AD96" i="4"/>
  <c r="AD216" i="4"/>
  <c r="AD217" i="4"/>
  <c r="AD218" i="4"/>
  <c r="AD228" i="4"/>
  <c r="AD97" i="4"/>
  <c r="AD293" i="4"/>
  <c r="AD229" i="4"/>
  <c r="AD230" i="4"/>
  <c r="AD257" i="4"/>
  <c r="AD141" i="4"/>
  <c r="AD298" i="4"/>
  <c r="AD259" i="4"/>
  <c r="AD260" i="4"/>
  <c r="AD261" i="4"/>
  <c r="AD197" i="4"/>
  <c r="AD178" i="4"/>
  <c r="AD179" i="4"/>
  <c r="AD180" i="4"/>
  <c r="AD199" i="4"/>
  <c r="AD181" i="4"/>
  <c r="AD295" i="4"/>
  <c r="AD231" i="4"/>
  <c r="AD209" i="4"/>
  <c r="AD284" i="4"/>
  <c r="AD285" i="4"/>
  <c r="AD51" i="4"/>
  <c r="AD52" i="4"/>
  <c r="AD53" i="4"/>
  <c r="AD54" i="4"/>
  <c r="AD55" i="4"/>
  <c r="AD56" i="4"/>
  <c r="AD57" i="4"/>
  <c r="AD99" i="4"/>
  <c r="AD184" i="4"/>
  <c r="AD185" i="4"/>
  <c r="AD101" i="4"/>
  <c r="AD146" i="4"/>
  <c r="AD119" i="4"/>
  <c r="AD147" i="4"/>
  <c r="AD31" i="4"/>
  <c r="AD148" i="4"/>
  <c r="AD66" i="4"/>
  <c r="AD155" i="4"/>
  <c r="AD156" i="4"/>
  <c r="AD71" i="4"/>
  <c r="AD109" i="4"/>
  <c r="AD79" i="4"/>
  <c r="AD23" i="4"/>
  <c r="AD205" i="4"/>
  <c r="AD206" i="4"/>
  <c r="AD94" i="4"/>
  <c r="AD182" i="4"/>
  <c r="AD157" i="4"/>
  <c r="AD42" i="4"/>
  <c r="AD224" i="4"/>
  <c r="AD78" i="4"/>
  <c r="AD225" i="4"/>
  <c r="AD226" i="4"/>
  <c r="AD227" i="4"/>
  <c r="AD200" i="4"/>
  <c r="AD201" i="4"/>
  <c r="AD18" i="4"/>
  <c r="AD72" i="4"/>
  <c r="AD3" i="4"/>
  <c r="AD19" i="4"/>
  <c r="AD76" i="4"/>
  <c r="AD214" i="4"/>
  <c r="AD12" i="4"/>
  <c r="AD294" i="4"/>
  <c r="AD114" i="4"/>
  <c r="AD287" i="4"/>
  <c r="AD276" i="4"/>
  <c r="AD162" i="4"/>
  <c r="AD48" i="4"/>
  <c r="AD149" i="4"/>
  <c r="AD161" i="4"/>
  <c r="AD163" i="4"/>
  <c r="AD164" i="4"/>
  <c r="AD198" i="4"/>
  <c r="AD68" i="4"/>
  <c r="AD82" i="4"/>
  <c r="AD83" i="4"/>
  <c r="AD84" i="4"/>
  <c r="AD87" i="4"/>
  <c r="AD49" i="4"/>
  <c r="AD50" i="4"/>
  <c r="AD100" i="4"/>
  <c r="AD126" i="4"/>
  <c r="AD22" i="4"/>
  <c r="AD17" i="4"/>
  <c r="AD308" i="4"/>
  <c r="AD307" i="4"/>
  <c r="AD305" i="4"/>
  <c r="AD306" i="4"/>
  <c r="AD301" i="4"/>
  <c r="AD302" i="4"/>
  <c r="AD300" i="4"/>
  <c r="AD303" i="4"/>
  <c r="AD304" i="4"/>
  <c r="AD311" i="4"/>
  <c r="AD312" i="4"/>
  <c r="AD313" i="4"/>
  <c r="AD314" i="4"/>
  <c r="AD309" i="4"/>
  <c r="AD315" i="4"/>
  <c r="AD336" i="4"/>
  <c r="AD337" i="4"/>
  <c r="AD319" i="4"/>
  <c r="AD316" i="4"/>
  <c r="AD320" i="4"/>
  <c r="AD321" i="4"/>
  <c r="AD322" i="4"/>
  <c r="AD348" i="4"/>
  <c r="AD327" i="4"/>
  <c r="AD328" i="4"/>
  <c r="AD329" i="4"/>
  <c r="AD330" i="4"/>
  <c r="AD342" i="4"/>
  <c r="AD332" i="4"/>
  <c r="AD333" i="4"/>
  <c r="AD334" i="4"/>
  <c r="AD344" i="4"/>
  <c r="AD345" i="4"/>
  <c r="AD346" i="4"/>
  <c r="AD343" i="4"/>
  <c r="AD323" i="4"/>
  <c r="AD318" i="4"/>
  <c r="AD324" i="4"/>
  <c r="AD331" i="4"/>
  <c r="AD326" i="4"/>
  <c r="AD335" i="4"/>
  <c r="AD325" i="4"/>
  <c r="AD339" i="4"/>
  <c r="AD338" i="4"/>
  <c r="AD317" i="4"/>
  <c r="AD340" i="4"/>
  <c r="AD341" i="4"/>
  <c r="AD347" i="4"/>
  <c r="AD351" i="4"/>
  <c r="AD362" i="4"/>
  <c r="AD363" i="4"/>
  <c r="AD369" i="4"/>
  <c r="AD364" i="4"/>
  <c r="AD370" i="4"/>
  <c r="AD352" i="4"/>
  <c r="AD349" i="4"/>
  <c r="AD359" i="4"/>
  <c r="AD360" i="4"/>
  <c r="AD365" i="4"/>
  <c r="AD350" i="4"/>
  <c r="AD366" i="4"/>
  <c r="AD367" i="4"/>
  <c r="AD368" i="4"/>
  <c r="AD361" i="4"/>
  <c r="AD353" i="4"/>
  <c r="AD354" i="4"/>
  <c r="AD355" i="4"/>
  <c r="AD356" i="4"/>
  <c r="AD357" i="4"/>
  <c r="AD358" i="4"/>
  <c r="AD372" i="4"/>
  <c r="AD378" i="4"/>
  <c r="AD379" i="4"/>
  <c r="AD380" i="4"/>
  <c r="AD374" i="4"/>
  <c r="AD371" i="4"/>
  <c r="AD377" i="4"/>
  <c r="AD382" i="4"/>
  <c r="AD375" i="4"/>
  <c r="AD376" i="4"/>
  <c r="AD373" i="4"/>
  <c r="AD385" i="4"/>
  <c r="AD387" i="4"/>
  <c r="AD388" i="4"/>
  <c r="AD386" i="4"/>
  <c r="AD384" i="4"/>
  <c r="AD392" i="4"/>
  <c r="AD397" i="4"/>
  <c r="AD410" i="4"/>
  <c r="AD399" i="4"/>
  <c r="AD400" i="4"/>
  <c r="AD401" i="4"/>
  <c r="AD402" i="4"/>
  <c r="AD405" i="4"/>
  <c r="AD389" i="4"/>
  <c r="AD406" i="4"/>
  <c r="AD407" i="4"/>
  <c r="AD409" i="4"/>
  <c r="AD398" i="4"/>
  <c r="AD390" i="4"/>
  <c r="AD391" i="4"/>
  <c r="AD393" i="4"/>
  <c r="AD394" i="4"/>
  <c r="AD395" i="4"/>
  <c r="AD404" i="4"/>
  <c r="AD396" i="4"/>
  <c r="AD408" i="4"/>
  <c r="AD411" i="4"/>
  <c r="AD412" i="4"/>
  <c r="AD413" i="4"/>
  <c r="AD403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66" i="4"/>
  <c r="AE58" i="4"/>
  <c r="AE59" i="4"/>
  <c r="AE60" i="4"/>
  <c r="AE61" i="4"/>
  <c r="AE62" i="4"/>
  <c r="AE63" i="4"/>
  <c r="AE64" i="4"/>
  <c r="AE65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81" i="4"/>
  <c r="AE182" i="4"/>
  <c r="AE183" i="4"/>
  <c r="AE184" i="4"/>
  <c r="AE185" i="4"/>
  <c r="AE178" i="4"/>
  <c r="AE179" i="4"/>
  <c r="AE180" i="4"/>
  <c r="AE186" i="4"/>
  <c r="AE187" i="4"/>
  <c r="AE188" i="4"/>
  <c r="AE189" i="4"/>
  <c r="AE190" i="4"/>
  <c r="AE191" i="4"/>
  <c r="AE192" i="4"/>
  <c r="AE193" i="4"/>
  <c r="AE194" i="4"/>
  <c r="AE195" i="4"/>
  <c r="AE196" i="4"/>
  <c r="AE198" i="4"/>
  <c r="AE199" i="4"/>
  <c r="AE200" i="4"/>
  <c r="AE201" i="4"/>
  <c r="AE197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3" i="4"/>
  <c r="AE234" i="4"/>
  <c r="AE235" i="4"/>
  <c r="AE236" i="4"/>
  <c r="AE237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4" i="4"/>
  <c r="AE238" i="4"/>
  <c r="AE239" i="4"/>
  <c r="AE240" i="4"/>
  <c r="AE241" i="4"/>
  <c r="AE242" i="4"/>
  <c r="AE243" i="4"/>
  <c r="AE244" i="4"/>
  <c r="AE265" i="4"/>
  <c r="AE266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4" i="4"/>
  <c r="AE285" i="4"/>
  <c r="AE286" i="4"/>
  <c r="AE287" i="4"/>
  <c r="AE288" i="4"/>
  <c r="AE267" i="4"/>
  <c r="AE268" i="4"/>
  <c r="AE269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1" i="4"/>
  <c r="AE312" i="4"/>
  <c r="AE313" i="4"/>
  <c r="AE314" i="4"/>
  <c r="AE315" i="4"/>
  <c r="AE316" i="4"/>
  <c r="AE318" i="4"/>
  <c r="AE319" i="4"/>
  <c r="AE320" i="4"/>
  <c r="AE321" i="4"/>
  <c r="AE322" i="4"/>
  <c r="AE323" i="4"/>
  <c r="AE324" i="4"/>
  <c r="AE325" i="4"/>
  <c r="AE327" i="4"/>
  <c r="AE328" i="4"/>
  <c r="AE329" i="4"/>
  <c r="AE330" i="4"/>
  <c r="AE331" i="4"/>
  <c r="AE332" i="4"/>
  <c r="AE333" i="4"/>
  <c r="AE334" i="4"/>
  <c r="AE326" i="4"/>
  <c r="AE335" i="4"/>
  <c r="AE336" i="4"/>
  <c r="AE337" i="4"/>
  <c r="AE338" i="4"/>
  <c r="AE317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61" i="4"/>
  <c r="AE357" i="4"/>
  <c r="AE358" i="4"/>
  <c r="AE359" i="4"/>
  <c r="AE360" i="4"/>
  <c r="AE362" i="4"/>
  <c r="AE363" i="4"/>
  <c r="AE364" i="4"/>
  <c r="AE369" i="4"/>
  <c r="AE370" i="4"/>
  <c r="AE365" i="4"/>
  <c r="AE366" i="4"/>
  <c r="AE367" i="4"/>
  <c r="AE368" i="4"/>
  <c r="AE371" i="4"/>
  <c r="AE372" i="4"/>
  <c r="AE373" i="4"/>
  <c r="AE374" i="4"/>
  <c r="AE375" i="4"/>
  <c r="AE376" i="4"/>
  <c r="AE377" i="4"/>
  <c r="AE378" i="4"/>
  <c r="AE379" i="4"/>
  <c r="AE380" i="4"/>
  <c r="AE382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7" i="4"/>
  <c r="AG388" i="4"/>
  <c r="AG384" i="4"/>
  <c r="AG386" i="4"/>
  <c r="AG385" i="4"/>
  <c r="AG398" i="4"/>
  <c r="AG390" i="4"/>
  <c r="AG391" i="4"/>
  <c r="AG392" i="4"/>
  <c r="AG399" i="4"/>
  <c r="AG400" i="4"/>
  <c r="AG401" i="4"/>
  <c r="AG402" i="4"/>
  <c r="AG403" i="4"/>
  <c r="AG393" i="4"/>
  <c r="AG394" i="4"/>
  <c r="AG395" i="4"/>
  <c r="AG404" i="4"/>
  <c r="AG405" i="4"/>
  <c r="AG389" i="4"/>
  <c r="AG406" i="4"/>
  <c r="AG407" i="4"/>
  <c r="AG396" i="4"/>
  <c r="AG397" i="4"/>
  <c r="AG408" i="4"/>
  <c r="AG409" i="4"/>
  <c r="AG410" i="4"/>
  <c r="AG411" i="4"/>
  <c r="AG412" i="4"/>
  <c r="AG413" i="4"/>
  <c r="AJ305" i="4"/>
  <c r="AJ306" i="4"/>
  <c r="AJ307" i="4"/>
  <c r="AJ308" i="4"/>
  <c r="AJ301" i="4"/>
  <c r="AJ311" i="4"/>
  <c r="AJ312" i="4"/>
  <c r="AJ313" i="4"/>
  <c r="AJ314" i="4"/>
  <c r="AJ302" i="4"/>
  <c r="AJ315" i="4"/>
  <c r="AJ309" i="4"/>
  <c r="AJ300" i="4"/>
  <c r="AJ303" i="4"/>
  <c r="AJ304" i="4"/>
  <c r="AJ344" i="4"/>
  <c r="AJ345" i="4"/>
  <c r="AJ346" i="4"/>
  <c r="AJ336" i="4"/>
  <c r="AJ337" i="4"/>
  <c r="AJ319" i="4"/>
  <c r="AJ316" i="4"/>
  <c r="AJ320" i="4"/>
  <c r="AJ321" i="4"/>
  <c r="AJ322" i="4"/>
  <c r="AJ348" i="4"/>
  <c r="AJ338" i="4"/>
  <c r="AJ317" i="4"/>
  <c r="AJ339" i="4"/>
  <c r="AJ340" i="4"/>
  <c r="AJ341" i="4"/>
  <c r="AJ343" i="4"/>
  <c r="AJ323" i="4"/>
  <c r="AJ318" i="4"/>
  <c r="AJ324" i="4"/>
  <c r="AJ347" i="4"/>
  <c r="AJ327" i="4"/>
  <c r="AJ328" i="4"/>
  <c r="AJ329" i="4"/>
  <c r="AJ330" i="4"/>
  <c r="AJ342" i="4"/>
  <c r="AJ332" i="4"/>
  <c r="AJ333" i="4"/>
  <c r="AJ334" i="4"/>
  <c r="AJ326" i="4"/>
  <c r="AJ335" i="4"/>
  <c r="AJ325" i="4"/>
  <c r="AJ331" i="4"/>
  <c r="AJ351" i="4"/>
  <c r="AJ357" i="4"/>
  <c r="AJ358" i="4"/>
  <c r="AJ356" i="4"/>
  <c r="AJ362" i="4"/>
  <c r="AJ363" i="4"/>
  <c r="AJ369" i="4"/>
  <c r="AJ364" i="4"/>
  <c r="AJ370" i="4"/>
  <c r="AJ352" i="4"/>
  <c r="AJ349" i="4"/>
  <c r="AJ359" i="4"/>
  <c r="AJ360" i="4"/>
  <c r="AJ365" i="4"/>
  <c r="AJ350" i="4"/>
  <c r="AJ366" i="4"/>
  <c r="AJ367" i="4"/>
  <c r="AJ368" i="4"/>
  <c r="AJ361" i="4"/>
  <c r="AJ353" i="4"/>
  <c r="AJ354" i="4"/>
  <c r="AJ355" i="4"/>
  <c r="AJ380" i="4"/>
  <c r="AJ378" i="4"/>
  <c r="AJ374" i="4"/>
  <c r="AJ375" i="4"/>
  <c r="AJ371" i="4"/>
  <c r="AJ372" i="4"/>
  <c r="AJ376" i="4"/>
  <c r="AJ377" i="4"/>
  <c r="AJ373" i="4"/>
  <c r="AJ379" i="4"/>
  <c r="AJ382" i="4"/>
  <c r="AJ387" i="4"/>
  <c r="AJ388" i="4"/>
  <c r="AJ384" i="4"/>
  <c r="AJ386" i="4"/>
  <c r="AJ385" i="4"/>
  <c r="AJ398" i="4"/>
  <c r="AJ390" i="4"/>
  <c r="AJ391" i="4"/>
  <c r="AJ392" i="4"/>
  <c r="AJ399" i="4"/>
  <c r="AJ400" i="4"/>
  <c r="AJ401" i="4"/>
  <c r="AJ402" i="4"/>
  <c r="AJ403" i="4"/>
  <c r="AJ393" i="4"/>
  <c r="AJ394" i="4"/>
  <c r="AJ395" i="4"/>
  <c r="AJ404" i="4"/>
  <c r="AJ405" i="4"/>
  <c r="AJ389" i="4"/>
  <c r="AJ406" i="4"/>
  <c r="AJ407" i="4"/>
  <c r="AJ396" i="4"/>
  <c r="AJ397" i="4"/>
  <c r="AJ408" i="4"/>
  <c r="AJ409" i="4"/>
  <c r="AJ410" i="4"/>
  <c r="AJ411" i="4"/>
  <c r="AJ412" i="4"/>
  <c r="AJ413" i="4"/>
  <c r="AG30" i="4"/>
  <c r="AG61" i="4"/>
  <c r="AG62" i="4"/>
  <c r="AG38" i="4"/>
  <c r="AG39" i="4"/>
  <c r="AG40" i="4"/>
  <c r="AG63" i="4"/>
  <c r="AG203" i="4"/>
  <c r="AG275" i="4"/>
  <c r="AG69" i="4"/>
  <c r="AG159" i="4"/>
  <c r="AG80" i="4"/>
  <c r="AG49" i="4"/>
  <c r="AG50" i="4"/>
  <c r="AG51" i="4"/>
  <c r="AG32" i="4"/>
  <c r="AG33" i="4"/>
  <c r="AG36" i="4"/>
  <c r="AG46" i="4"/>
  <c r="AG70" i="4"/>
  <c r="AG75" i="4"/>
  <c r="AG18" i="4"/>
  <c r="AG42" i="4"/>
  <c r="AG64" i="4"/>
  <c r="AG65" i="4"/>
  <c r="AG128" i="4"/>
  <c r="AG5" i="4"/>
  <c r="AG47" i="4"/>
  <c r="AG85" i="4"/>
  <c r="AG86" i="4"/>
  <c r="AG34" i="4"/>
  <c r="AG35" i="4"/>
  <c r="AG37" i="4"/>
  <c r="AG81" i="4"/>
  <c r="AG110" i="4"/>
  <c r="AG66" i="4"/>
  <c r="AG106" i="4"/>
  <c r="AG107" i="4"/>
  <c r="AG41" i="4"/>
  <c r="AG43" i="4"/>
  <c r="AG78" i="4"/>
  <c r="AG3" i="4"/>
  <c r="AG160" i="4"/>
  <c r="AG22" i="4"/>
  <c r="AG90" i="4"/>
  <c r="AG91" i="4"/>
  <c r="AG93" i="4"/>
  <c r="AG94" i="4"/>
  <c r="AG95" i="4"/>
  <c r="AG96" i="4"/>
  <c r="AG88" i="4"/>
  <c r="AG89" i="4"/>
  <c r="AG92" i="4"/>
  <c r="AG102" i="4"/>
  <c r="AG103" i="4"/>
  <c r="AG104" i="4"/>
  <c r="AG29" i="4"/>
  <c r="AG58" i="4"/>
  <c r="AG31" i="4"/>
  <c r="AG13" i="4"/>
  <c r="AG148" i="4"/>
  <c r="AG60" i="4"/>
  <c r="AG15" i="4"/>
  <c r="AG2" i="4"/>
  <c r="AG19" i="4"/>
  <c r="AG114" i="4"/>
  <c r="AG52" i="4"/>
  <c r="AG53" i="4"/>
  <c r="AG54" i="4"/>
  <c r="AG55" i="4"/>
  <c r="AG56" i="4"/>
  <c r="AG57" i="4"/>
  <c r="AG4" i="4"/>
  <c r="AG6" i="4"/>
  <c r="AG115" i="4"/>
  <c r="AG116" i="4"/>
  <c r="AG117" i="4"/>
  <c r="AG142" i="4"/>
  <c r="AG118" i="4"/>
  <c r="AG149" i="4"/>
  <c r="AG161" i="4"/>
  <c r="AG162" i="4"/>
  <c r="AG164" i="4"/>
  <c r="AG59" i="4"/>
  <c r="AG105" i="4"/>
  <c r="AG120" i="4"/>
  <c r="AG14" i="4"/>
  <c r="AG68" i="4"/>
  <c r="AG83" i="4"/>
  <c r="AG87" i="4"/>
  <c r="AG163" i="4"/>
  <c r="AG294" i="4"/>
  <c r="AG100" i="4"/>
  <c r="AG146" i="4"/>
  <c r="AG119" i="4"/>
  <c r="AG147" i="4"/>
  <c r="AG71" i="4"/>
  <c r="AG76" i="4"/>
  <c r="AG79" i="4"/>
  <c r="AG84" i="4"/>
  <c r="AG123" i="4"/>
  <c r="AG124" i="4"/>
  <c r="AG190" i="4"/>
  <c r="AG278" i="4"/>
  <c r="AG215" i="4"/>
  <c r="AG111" i="4"/>
  <c r="AG134" i="4"/>
  <c r="AG140" i="4"/>
  <c r="AG144" i="4"/>
  <c r="AG145" i="4"/>
  <c r="AG99" i="4"/>
  <c r="AG183" i="4"/>
  <c r="AG101" i="4"/>
  <c r="AG276" i="4"/>
  <c r="AG277" i="4"/>
  <c r="AG153" i="4"/>
  <c r="AG122" i="4"/>
  <c r="AG155" i="4"/>
  <c r="AG213" i="4"/>
  <c r="AG291" i="4"/>
  <c r="AG23" i="4"/>
  <c r="AG130" i="4"/>
  <c r="AG132" i="4"/>
  <c r="AG133" i="4"/>
  <c r="AG166" i="4"/>
  <c r="AG137" i="4"/>
  <c r="AG218" i="4"/>
  <c r="AG186" i="4"/>
  <c r="AG125" i="4"/>
  <c r="AG138" i="4"/>
  <c r="AG139" i="4"/>
  <c r="AG27" i="4"/>
  <c r="AG143" i="4"/>
  <c r="AG184" i="4"/>
  <c r="AG185" i="4"/>
  <c r="AG112" i="4"/>
  <c r="AG135" i="4"/>
  <c r="AG176" i="4"/>
  <c r="AG177" i="4"/>
  <c r="AG199" i="4"/>
  <c r="AG98" i="4"/>
  <c r="AG28" i="4"/>
  <c r="AG8" i="4"/>
  <c r="AG9" i="4"/>
  <c r="AG290" i="4"/>
  <c r="AG129" i="4"/>
  <c r="AG204" i="4"/>
  <c r="AG10" i="4"/>
  <c r="AG253" i="4"/>
  <c r="AG255" i="4"/>
  <c r="AG282" i="4"/>
  <c r="AG256" i="4"/>
  <c r="AG24" i="4"/>
  <c r="AG141" i="4"/>
  <c r="AG197" i="4"/>
  <c r="AG178" i="4"/>
  <c r="AG179" i="4"/>
  <c r="AG180" i="4"/>
  <c r="AG202" i="4"/>
  <c r="AG150" i="4"/>
  <c r="AG152" i="4"/>
  <c r="AG154" i="4"/>
  <c r="AG126" i="4"/>
  <c r="AG157" i="4"/>
  <c r="AG72" i="4"/>
  <c r="AG74" i="4"/>
  <c r="AG20" i="4"/>
  <c r="AG158" i="4"/>
  <c r="AG21" i="4"/>
  <c r="AG44" i="4"/>
  <c r="AG45" i="4"/>
  <c r="AG11" i="4"/>
  <c r="AG193" i="4"/>
  <c r="AG167" i="4"/>
  <c r="AG168" i="4"/>
  <c r="AG169" i="4"/>
  <c r="AG170" i="4"/>
  <c r="AG171" i="4"/>
  <c r="AG195" i="4"/>
  <c r="AG207" i="4"/>
  <c r="AG208" i="4"/>
  <c r="AG136" i="4"/>
  <c r="AG172" i="4"/>
  <c r="AG173" i="4"/>
  <c r="AG174" i="4"/>
  <c r="AG175" i="4"/>
  <c r="AG299" i="4"/>
  <c r="AG216" i="4"/>
  <c r="AG217" i="4"/>
  <c r="AG97" i="4"/>
  <c r="AG200" i="4"/>
  <c r="AG201" i="4"/>
  <c r="AG182" i="4"/>
  <c r="AG209" i="4"/>
  <c r="AG211" i="4"/>
  <c r="AG127" i="4"/>
  <c r="AG191" i="4"/>
  <c r="AG224" i="4"/>
  <c r="AG165" i="4"/>
  <c r="AG205" i="4"/>
  <c r="AG206" i="4"/>
  <c r="AG225" i="4"/>
  <c r="AG226" i="4"/>
  <c r="AG227" i="4"/>
  <c r="AG198" i="4"/>
  <c r="AG12" i="4"/>
  <c r="AG296" i="4"/>
  <c r="AG248" i="4"/>
  <c r="AG223" i="4"/>
  <c r="AG214" i="4"/>
  <c r="AG254" i="4"/>
  <c r="AG259" i="4"/>
  <c r="AG260" i="4"/>
  <c r="AG261" i="4"/>
  <c r="AG181" i="4"/>
  <c r="AG231" i="4"/>
  <c r="AG287" i="4"/>
  <c r="AG289" i="4"/>
  <c r="AG233" i="4"/>
  <c r="AG266" i="4"/>
  <c r="AG238" i="4"/>
  <c r="AG267" i="4"/>
  <c r="AG239" i="4"/>
  <c r="AG240" i="4"/>
  <c r="AG241" i="4"/>
  <c r="AG242" i="4"/>
  <c r="AG243" i="4"/>
  <c r="AG268" i="4"/>
  <c r="AG244" i="4"/>
  <c r="AG269" i="4"/>
  <c r="AG245" i="4"/>
  <c r="AG247" i="4"/>
  <c r="AG270" i="4"/>
  <c r="AG271" i="4"/>
  <c r="AG151" i="4"/>
  <c r="AG108" i="4"/>
  <c r="AG156" i="4"/>
  <c r="AG264" i="4"/>
  <c r="AG265" i="4"/>
  <c r="AG234" i="4"/>
  <c r="AG235" i="4"/>
  <c r="AG219" i="4"/>
  <c r="AG236" i="4"/>
  <c r="AG237" i="4"/>
  <c r="AG187" i="4"/>
  <c r="AG121" i="4"/>
  <c r="AG250" i="4"/>
  <c r="AG192" i="4"/>
  <c r="AG222" i="4"/>
  <c r="AG279" i="4"/>
  <c r="AG77" i="4"/>
  <c r="AG82" i="4"/>
  <c r="AG113" i="4"/>
  <c r="AG26" i="4"/>
  <c r="AG131" i="4"/>
  <c r="AG196" i="4"/>
  <c r="AG284" i="4"/>
  <c r="AG285" i="4"/>
  <c r="AG188" i="4"/>
  <c r="AG272" i="4"/>
  <c r="AG273" i="4"/>
  <c r="AG274" i="4"/>
  <c r="AG210" i="4"/>
  <c r="AG220" i="4"/>
  <c r="AG221" i="4"/>
  <c r="AG292" i="4"/>
  <c r="AG17" i="4"/>
  <c r="AG109" i="4"/>
  <c r="AG288" i="4"/>
  <c r="AG246" i="4"/>
  <c r="AG189" i="4"/>
  <c r="AG297" i="4"/>
  <c r="AG249" i="4"/>
  <c r="AG251" i="4"/>
  <c r="AG73" i="4"/>
  <c r="AG212" i="4"/>
  <c r="AG252" i="4"/>
  <c r="AG194" i="4"/>
  <c r="AG280" i="4"/>
  <c r="AG281" i="4"/>
  <c r="AG7" i="4"/>
  <c r="AG25" i="4"/>
  <c r="AG228" i="4"/>
  <c r="AG293" i="4"/>
  <c r="AG229" i="4"/>
  <c r="AG230" i="4"/>
  <c r="AG257" i="4"/>
  <c r="AG258" i="4"/>
  <c r="AG298" i="4"/>
  <c r="AG48" i="4"/>
  <c r="AG295" i="4"/>
  <c r="AG286" i="4"/>
  <c r="AG305" i="4"/>
  <c r="AG306" i="4"/>
  <c r="AG307" i="4"/>
  <c r="AG308" i="4"/>
  <c r="AG301" i="4"/>
  <c r="AG311" i="4"/>
  <c r="AG312" i="4"/>
  <c r="AG313" i="4"/>
  <c r="AG314" i="4"/>
  <c r="AG302" i="4"/>
  <c r="AG315" i="4"/>
  <c r="AG309" i="4"/>
  <c r="AG300" i="4"/>
  <c r="AG303" i="4"/>
  <c r="AG304" i="4"/>
  <c r="AG344" i="4"/>
  <c r="AG345" i="4"/>
  <c r="AG346" i="4"/>
  <c r="AG336" i="4"/>
  <c r="AG337" i="4"/>
  <c r="AG319" i="4"/>
  <c r="AG316" i="4"/>
  <c r="AG320" i="4"/>
  <c r="AG321" i="4"/>
  <c r="AG322" i="4"/>
  <c r="AG348" i="4"/>
  <c r="AG338" i="4"/>
  <c r="AG317" i="4"/>
  <c r="AG339" i="4"/>
  <c r="AG340" i="4"/>
  <c r="AG341" i="4"/>
  <c r="AG343" i="4"/>
  <c r="AG323" i="4"/>
  <c r="AG318" i="4"/>
  <c r="AG324" i="4"/>
  <c r="AG347" i="4"/>
  <c r="AG327" i="4"/>
  <c r="AG328" i="4"/>
  <c r="AG329" i="4"/>
  <c r="AG330" i="4"/>
  <c r="AG342" i="4"/>
  <c r="AG332" i="4"/>
  <c r="AG333" i="4"/>
  <c r="AG334" i="4"/>
  <c r="AG326" i="4"/>
  <c r="AG335" i="4"/>
  <c r="AG325" i="4"/>
  <c r="AG331" i="4"/>
  <c r="AG351" i="4"/>
  <c r="AG357" i="4"/>
  <c r="AG358" i="4"/>
  <c r="AG356" i="4"/>
  <c r="AG362" i="4"/>
  <c r="AG363" i="4"/>
  <c r="AG369" i="4"/>
  <c r="AG364" i="4"/>
  <c r="AG370" i="4"/>
  <c r="AG352" i="4"/>
  <c r="AG349" i="4"/>
  <c r="AG359" i="4"/>
  <c r="AG360" i="4"/>
  <c r="AG365" i="4"/>
  <c r="AG350" i="4"/>
  <c r="AG366" i="4"/>
  <c r="AG367" i="4"/>
  <c r="AG368" i="4"/>
  <c r="AG361" i="4"/>
  <c r="AG353" i="4"/>
  <c r="AG354" i="4"/>
  <c r="AG355" i="4"/>
  <c r="AG380" i="4"/>
  <c r="AG378" i="4"/>
  <c r="AG374" i="4"/>
  <c r="AG375" i="4"/>
  <c r="AG371" i="4"/>
  <c r="AG372" i="4"/>
  <c r="AG376" i="4"/>
  <c r="AG377" i="4"/>
  <c r="AG373" i="4"/>
  <c r="AG379" i="4"/>
  <c r="AG382" i="4"/>
  <c r="AG16" i="4"/>
  <c r="B298" i="5"/>
  <c r="AM298" i="5"/>
  <c r="AQ298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81" i="2"/>
  <c r="AP80" i="2"/>
  <c r="AP82" i="2"/>
  <c r="AP87" i="2"/>
  <c r="AP84" i="2"/>
  <c r="AP83" i="2"/>
  <c r="AP85" i="2"/>
  <c r="AP86" i="2"/>
  <c r="AP88" i="2"/>
  <c r="AP90" i="2"/>
  <c r="AP89" i="2"/>
  <c r="AP91" i="2"/>
  <c r="AP92" i="2"/>
  <c r="AQ81" i="2"/>
  <c r="AQ80" i="2"/>
  <c r="AQ82" i="2"/>
  <c r="AQ87" i="2"/>
  <c r="AQ84" i="2"/>
  <c r="AQ83" i="2"/>
  <c r="AQ85" i="2"/>
  <c r="AQ86" i="2"/>
  <c r="AQ88" i="2"/>
  <c r="AQ90" i="2"/>
  <c r="AQ89" i="2"/>
  <c r="AQ91" i="2"/>
  <c r="AQ92" i="2"/>
  <c r="AR81" i="2"/>
  <c r="AR80" i="2"/>
  <c r="AR82" i="2"/>
  <c r="AR87" i="2"/>
  <c r="AR84" i="2"/>
  <c r="AR83" i="2"/>
  <c r="AR85" i="2"/>
  <c r="AR86" i="2"/>
  <c r="AR88" i="2"/>
  <c r="AR90" i="2"/>
  <c r="AR89" i="2"/>
  <c r="AR91" i="2"/>
  <c r="AR92" i="2"/>
  <c r="AS81" i="2"/>
  <c r="AS80" i="2"/>
  <c r="AS82" i="2"/>
  <c r="AS87" i="2"/>
  <c r="AS84" i="2"/>
  <c r="AS83" i="2"/>
  <c r="AS85" i="2"/>
  <c r="AS86" i="2"/>
  <c r="AS88" i="2"/>
  <c r="AS90" i="2"/>
  <c r="AS89" i="2"/>
  <c r="AS91" i="2"/>
  <c r="AS92" i="2"/>
  <c r="AT81" i="2"/>
  <c r="AT80" i="2"/>
  <c r="AT82" i="2"/>
  <c r="AT87" i="2"/>
  <c r="AT84" i="2"/>
  <c r="AT83" i="2"/>
  <c r="AT85" i="2"/>
  <c r="AT86" i="2"/>
  <c r="AT88" i="2"/>
  <c r="AT90" i="2"/>
  <c r="AT89" i="2"/>
  <c r="AT91" i="2"/>
  <c r="AT92" i="2"/>
  <c r="AU81" i="2"/>
  <c r="AU80" i="2"/>
  <c r="AU82" i="2"/>
  <c r="AU87" i="2"/>
  <c r="AU84" i="2"/>
  <c r="AU83" i="2"/>
  <c r="AU85" i="2"/>
  <c r="AU86" i="2"/>
  <c r="AU88" i="2"/>
  <c r="AU90" i="2"/>
  <c r="AU89" i="2"/>
  <c r="AU91" i="2"/>
  <c r="AU92" i="2"/>
  <c r="AV81" i="2"/>
  <c r="AV80" i="2"/>
  <c r="AV82" i="2"/>
  <c r="AV87" i="2"/>
  <c r="AV84" i="2"/>
  <c r="AV83" i="2"/>
  <c r="AV85" i="2"/>
  <c r="AV86" i="2"/>
  <c r="AV88" i="2"/>
  <c r="AV90" i="2"/>
  <c r="AV89" i="2"/>
  <c r="AV91" i="2"/>
  <c r="AV92" i="2"/>
  <c r="AW81" i="2"/>
  <c r="AW80" i="2"/>
  <c r="AW82" i="2"/>
  <c r="AW87" i="2"/>
  <c r="AW84" i="2"/>
  <c r="AW83" i="2"/>
  <c r="AW85" i="2"/>
  <c r="AW86" i="2"/>
  <c r="AW88" i="2"/>
  <c r="AW90" i="2"/>
  <c r="AW89" i="2"/>
  <c r="AW91" i="2"/>
  <c r="AW92" i="2"/>
  <c r="AX81" i="2"/>
  <c r="AX80" i="2"/>
  <c r="AX82" i="2"/>
  <c r="AX87" i="2"/>
  <c r="AX84" i="2"/>
  <c r="AX83" i="2"/>
  <c r="AX85" i="2"/>
  <c r="AX86" i="2"/>
  <c r="AX88" i="2"/>
  <c r="AX90" i="2"/>
  <c r="AX89" i="2"/>
  <c r="AX91" i="2"/>
  <c r="AX92" i="2"/>
  <c r="AY81" i="2"/>
  <c r="AY80" i="2"/>
  <c r="AY82" i="2"/>
  <c r="AY87" i="2"/>
  <c r="AY84" i="2"/>
  <c r="AY83" i="2"/>
  <c r="AY85" i="2"/>
  <c r="AY86" i="2"/>
  <c r="AY88" i="2"/>
  <c r="AY90" i="2"/>
  <c r="AY89" i="2"/>
  <c r="AY91" i="2"/>
  <c r="AY92" i="2"/>
  <c r="AZ81" i="2"/>
  <c r="AZ80" i="2"/>
  <c r="AZ82" i="2"/>
  <c r="AZ87" i="2"/>
  <c r="AZ84" i="2"/>
  <c r="AZ83" i="2"/>
  <c r="AZ85" i="2"/>
  <c r="AZ86" i="2"/>
  <c r="AZ88" i="2"/>
  <c r="AZ90" i="2"/>
  <c r="AZ89" i="2"/>
  <c r="AZ91" i="2"/>
  <c r="AZ92" i="2"/>
  <c r="BA81" i="2"/>
  <c r="BA80" i="2"/>
  <c r="BA82" i="2"/>
  <c r="BA87" i="2"/>
  <c r="BA84" i="2"/>
  <c r="BA83" i="2"/>
  <c r="BA85" i="2"/>
  <c r="BA86" i="2"/>
  <c r="BA88" i="2"/>
  <c r="BA90" i="2"/>
  <c r="BA89" i="2"/>
  <c r="BA91" i="2"/>
  <c r="BA92" i="2"/>
  <c r="BB81" i="2"/>
  <c r="BB80" i="2"/>
  <c r="BB82" i="2"/>
  <c r="BB87" i="2"/>
  <c r="BB84" i="2"/>
  <c r="BB83" i="2"/>
  <c r="BB85" i="2"/>
  <c r="BB86" i="2"/>
  <c r="BB88" i="2"/>
  <c r="BB90" i="2"/>
  <c r="BB89" i="2"/>
  <c r="BB91" i="2"/>
  <c r="BB92" i="2"/>
  <c r="BC81" i="2"/>
  <c r="BC80" i="2"/>
  <c r="BC82" i="2"/>
  <c r="BC87" i="2"/>
  <c r="BC84" i="2"/>
  <c r="BC83" i="2"/>
  <c r="BC85" i="2"/>
  <c r="BC86" i="2"/>
  <c r="BC88" i="2"/>
  <c r="BC90" i="2"/>
  <c r="BC89" i="2"/>
  <c r="BC91" i="2"/>
  <c r="BC92" i="2"/>
  <c r="BD81" i="2"/>
  <c r="BD80" i="2"/>
  <c r="BD82" i="2"/>
  <c r="BD87" i="2"/>
  <c r="BD84" i="2"/>
  <c r="BD83" i="2"/>
  <c r="BD85" i="2"/>
  <c r="BD86" i="2"/>
  <c r="BD88" i="2"/>
  <c r="BD90" i="2"/>
  <c r="BD89" i="2"/>
  <c r="BD91" i="2"/>
  <c r="BD92" i="2"/>
  <c r="BE87" i="2"/>
  <c r="BE84" i="2"/>
  <c r="BE83" i="2"/>
  <c r="BE85" i="2"/>
  <c r="BE86" i="2"/>
  <c r="BE88" i="2"/>
  <c r="BE90" i="2"/>
  <c r="BE89" i="2"/>
  <c r="BE91" i="2"/>
  <c r="BF87" i="2"/>
  <c r="BF84" i="2"/>
  <c r="BF83" i="2"/>
  <c r="BF85" i="2"/>
  <c r="BF86" i="2"/>
  <c r="BF88" i="2"/>
  <c r="BF90" i="2"/>
  <c r="BF89" i="2"/>
  <c r="BF91" i="2"/>
  <c r="BG87" i="2"/>
  <c r="BG84" i="2"/>
  <c r="BG83" i="2"/>
  <c r="BG85" i="2"/>
  <c r="BG86" i="2"/>
  <c r="BG88" i="2"/>
  <c r="BG90" i="2"/>
  <c r="BG89" i="2"/>
  <c r="BG91" i="2"/>
  <c r="BH87" i="2"/>
  <c r="BH84" i="2"/>
  <c r="BH83" i="2"/>
  <c r="BH85" i="2"/>
  <c r="BH86" i="2"/>
  <c r="BH88" i="2"/>
  <c r="BH90" i="2"/>
  <c r="BH89" i="2"/>
  <c r="BH91" i="2"/>
  <c r="BI87" i="2"/>
  <c r="BI84" i="2"/>
  <c r="BI83" i="2"/>
  <c r="BI85" i="2"/>
  <c r="BI86" i="2"/>
  <c r="BI88" i="2"/>
  <c r="BI90" i="2"/>
  <c r="BI89" i="2"/>
  <c r="BI91" i="2"/>
  <c r="BJ87" i="2"/>
  <c r="BJ84" i="2"/>
  <c r="BJ83" i="2"/>
  <c r="BJ85" i="2"/>
  <c r="BJ86" i="2"/>
  <c r="BJ88" i="2"/>
  <c r="BJ90" i="2"/>
  <c r="BJ89" i="2"/>
  <c r="BJ91" i="2"/>
  <c r="BK87" i="2"/>
  <c r="BK84" i="2"/>
  <c r="BK83" i="2"/>
  <c r="BK85" i="2"/>
  <c r="BK86" i="2"/>
  <c r="BK88" i="2"/>
  <c r="BK90" i="2"/>
  <c r="BK89" i="2"/>
  <c r="BK91" i="2"/>
  <c r="BL87" i="2"/>
  <c r="BL84" i="2"/>
  <c r="BL83" i="2"/>
  <c r="BL85" i="2"/>
  <c r="BL86" i="2"/>
  <c r="BL88" i="2"/>
  <c r="BL90" i="2"/>
  <c r="BL89" i="2"/>
  <c r="BL91" i="2"/>
  <c r="AO81" i="2"/>
  <c r="AO80" i="2"/>
  <c r="AO82" i="2"/>
  <c r="AO87" i="2"/>
  <c r="AO84" i="2"/>
  <c r="AO83" i="2"/>
  <c r="AO85" i="2"/>
  <c r="AO86" i="2"/>
  <c r="AO88" i="2"/>
  <c r="AO90" i="2"/>
  <c r="AO89" i="2"/>
  <c r="AO91" i="2"/>
  <c r="AO92" i="2"/>
  <c r="B58" i="5"/>
  <c r="AM58" i="5"/>
  <c r="AQ58" i="5"/>
  <c r="B270" i="5"/>
  <c r="B294" i="5"/>
  <c r="B281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2" i="5"/>
  <c r="B37" i="5"/>
  <c r="B22" i="5"/>
  <c r="B24" i="5"/>
  <c r="B14" i="5"/>
  <c r="B288" i="5"/>
  <c r="B232" i="5"/>
  <c r="B290" i="5"/>
  <c r="B291" i="5"/>
  <c r="B286" i="5"/>
  <c r="B9" i="5"/>
  <c r="B274" i="5"/>
  <c r="B231" i="5"/>
  <c r="B6" i="5"/>
  <c r="B5" i="5"/>
  <c r="B35" i="5"/>
  <c r="B289" i="5"/>
  <c r="B36" i="5"/>
  <c r="B26" i="5"/>
  <c r="B25" i="5"/>
  <c r="B7" i="5"/>
  <c r="B296" i="5"/>
  <c r="B8" i="5"/>
  <c r="B295" i="5"/>
  <c r="B3" i="5"/>
  <c r="B280" i="5"/>
  <c r="B28" i="5"/>
  <c r="B283" i="5"/>
  <c r="B269" i="5"/>
  <c r="B287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1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50" i="5"/>
  <c r="B164" i="5"/>
  <c r="B165" i="5"/>
  <c r="B166" i="5"/>
  <c r="B27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2" i="5"/>
  <c r="B87" i="5"/>
  <c r="B213" i="5"/>
  <c r="B181" i="5"/>
  <c r="B215" i="5"/>
  <c r="B55" i="5"/>
  <c r="B106" i="5"/>
  <c r="B107" i="5"/>
  <c r="B108" i="5"/>
  <c r="B111" i="5"/>
  <c r="B249" i="5"/>
  <c r="B48" i="5"/>
  <c r="B62" i="5"/>
  <c r="B121" i="5"/>
  <c r="B161" i="5"/>
  <c r="B190" i="5"/>
  <c r="B159" i="5"/>
  <c r="B160" i="5"/>
  <c r="B72" i="5"/>
  <c r="B85" i="5"/>
  <c r="B192" i="5"/>
  <c r="B73" i="5"/>
  <c r="B252" i="5"/>
  <c r="B92" i="5"/>
  <c r="B214" i="5"/>
  <c r="B60" i="5"/>
  <c r="B244" i="5"/>
  <c r="B247" i="5"/>
  <c r="B115" i="5"/>
  <c r="B119" i="5"/>
  <c r="B126" i="5"/>
  <c r="B246" i="5"/>
  <c r="B248" i="5"/>
  <c r="B59" i="5"/>
  <c r="B221" i="5"/>
  <c r="B65" i="5"/>
  <c r="B70" i="5"/>
  <c r="B130" i="5"/>
  <c r="B81" i="5"/>
  <c r="B83" i="5"/>
  <c r="B86" i="5"/>
  <c r="B179" i="5"/>
  <c r="B209" i="5"/>
  <c r="B211" i="5"/>
  <c r="B245" i="5"/>
  <c r="B254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1" i="5"/>
  <c r="B82" i="5"/>
  <c r="B157" i="5"/>
  <c r="B191" i="5"/>
  <c r="B47" i="5"/>
  <c r="B177" i="5"/>
  <c r="B235" i="5"/>
  <c r="B163" i="5"/>
  <c r="B243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7" i="5"/>
  <c r="B255" i="5"/>
  <c r="B42" i="5"/>
  <c r="B258" i="5"/>
  <c r="B134" i="5"/>
  <c r="B253" i="5"/>
  <c r="B263" i="5"/>
  <c r="B256" i="5"/>
  <c r="B40" i="5"/>
  <c r="B80" i="5"/>
  <c r="B147" i="5"/>
  <c r="B193" i="5"/>
  <c r="B76" i="5"/>
  <c r="B45" i="5"/>
  <c r="B113" i="5"/>
  <c r="B101" i="5"/>
  <c r="B143" i="5"/>
  <c r="B262" i="5"/>
  <c r="B259" i="5"/>
  <c r="B261" i="5"/>
  <c r="B260" i="5"/>
  <c r="B264" i="5"/>
  <c r="B292" i="5"/>
  <c r="B276" i="5"/>
  <c r="B297" i="5"/>
  <c r="B265" i="5"/>
  <c r="B267" i="5"/>
  <c r="B266" i="5"/>
  <c r="B278" i="5"/>
  <c r="B277" i="5"/>
  <c r="B273" i="5"/>
  <c r="B275" i="5"/>
  <c r="B285" i="5"/>
  <c r="B284" i="5"/>
  <c r="B293" i="5"/>
  <c r="B272" i="5"/>
  <c r="B268" i="5"/>
  <c r="B279" i="5"/>
  <c r="B300" i="5"/>
  <c r="B301" i="5"/>
  <c r="B302" i="5"/>
  <c r="B303" i="5"/>
  <c r="B305" i="5"/>
  <c r="B306" i="5"/>
  <c r="B307" i="5"/>
  <c r="B308" i="5"/>
  <c r="B309" i="5"/>
  <c r="B310" i="5"/>
  <c r="B311" i="5"/>
  <c r="B312" i="5"/>
  <c r="B313" i="5"/>
  <c r="B314" i="5"/>
  <c r="B315" i="5"/>
  <c r="B332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3" i="5"/>
  <c r="B334" i="5"/>
  <c r="B335" i="5"/>
  <c r="B336" i="5"/>
  <c r="B338" i="5"/>
  <c r="B339" i="5"/>
  <c r="B340" i="5"/>
  <c r="B341" i="5"/>
  <c r="B342" i="5"/>
  <c r="B343" i="5"/>
  <c r="B344" i="5"/>
  <c r="B345" i="5"/>
  <c r="B346" i="5"/>
  <c r="B347" i="5"/>
  <c r="B33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5" i="5"/>
  <c r="B371" i="5"/>
  <c r="B372" i="5"/>
  <c r="B373" i="5"/>
  <c r="B374" i="5"/>
  <c r="B376" i="5"/>
  <c r="B377" i="5"/>
  <c r="B378" i="5"/>
  <c r="B379" i="5"/>
  <c r="B380" i="5"/>
  <c r="B381" i="5"/>
  <c r="B384" i="5"/>
  <c r="B385" i="5"/>
  <c r="B388" i="5"/>
  <c r="B386" i="5"/>
  <c r="B387" i="5"/>
  <c r="B392" i="5"/>
  <c r="B407" i="5"/>
  <c r="B410" i="5"/>
  <c r="B389" i="5"/>
  <c r="B393" i="5"/>
  <c r="B394" i="5"/>
  <c r="B395" i="5"/>
  <c r="B396" i="5"/>
  <c r="B402" i="5"/>
  <c r="B403" i="5"/>
  <c r="B404" i="5"/>
  <c r="B405" i="5"/>
  <c r="B409" i="5"/>
  <c r="B390" i="5"/>
  <c r="B391" i="5"/>
  <c r="B400" i="5"/>
  <c r="B401" i="5"/>
  <c r="B408" i="5"/>
  <c r="B411" i="5"/>
  <c r="B412" i="5"/>
  <c r="B413" i="5"/>
  <c r="B397" i="5"/>
  <c r="B406" i="5"/>
  <c r="B399" i="5"/>
  <c r="B398" i="5"/>
  <c r="B34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9" i="4"/>
  <c r="AA233" i="4"/>
  <c r="AA265" i="4"/>
  <c r="AA266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4" i="4"/>
  <c r="AA235" i="4"/>
  <c r="AA219" i="4"/>
  <c r="AA236" i="4"/>
  <c r="AA237" i="4"/>
  <c r="AA202" i="4"/>
  <c r="AA186" i="4"/>
  <c r="AA187" i="4"/>
  <c r="AA188" i="4"/>
  <c r="AA150" i="4"/>
  <c r="AA238" i="4"/>
  <c r="AA267" i="4"/>
  <c r="AA239" i="4"/>
  <c r="AA240" i="4"/>
  <c r="AA241" i="4"/>
  <c r="AA242" i="4"/>
  <c r="AA243" i="4"/>
  <c r="AA268" i="4"/>
  <c r="AA244" i="4"/>
  <c r="AA269" i="4"/>
  <c r="AA245" i="4"/>
  <c r="AA246" i="4"/>
  <c r="AA189" i="4"/>
  <c r="AA121" i="4"/>
  <c r="AA64" i="4"/>
  <c r="AA65" i="4"/>
  <c r="AA247" i="4"/>
  <c r="AA270" i="4"/>
  <c r="AA271" i="4"/>
  <c r="AA272" i="4"/>
  <c r="AA273" i="4"/>
  <c r="AA274" i="4"/>
  <c r="AA151" i="4"/>
  <c r="AA203" i="4"/>
  <c r="AA41" i="4"/>
  <c r="AA66" i="4"/>
  <c r="AA275" i="4"/>
  <c r="AA276" i="4"/>
  <c r="AA277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7" i="4"/>
  <c r="AA126" i="4"/>
  <c r="AA155" i="4"/>
  <c r="AA190" i="4"/>
  <c r="AA156" i="4"/>
  <c r="AA278" i="4"/>
  <c r="AA2" i="4"/>
  <c r="AA17" i="4"/>
  <c r="AA157" i="4"/>
  <c r="AA127" i="4"/>
  <c r="AA191" i="4"/>
  <c r="AA18" i="4"/>
  <c r="AA70" i="4"/>
  <c r="AA19" i="4"/>
  <c r="AA42" i="4"/>
  <c r="AA248" i="4"/>
  <c r="AA71" i="4"/>
  <c r="AA249" i="4"/>
  <c r="AA72" i="4"/>
  <c r="AA250" i="4"/>
  <c r="AA290" i="4"/>
  <c r="AA128" i="4"/>
  <c r="AA296" i="4"/>
  <c r="AA192" i="4"/>
  <c r="AA4" i="4"/>
  <c r="AA222" i="4"/>
  <c r="AA251" i="4"/>
  <c r="AA73" i="4"/>
  <c r="AA74" i="4"/>
  <c r="AA129" i="4"/>
  <c r="AA20" i="4"/>
  <c r="AA75" i="4"/>
  <c r="AA279" i="4"/>
  <c r="AA43" i="4"/>
  <c r="AA76" i="4"/>
  <c r="AA5" i="4"/>
  <c r="AA212" i="4"/>
  <c r="AA213" i="4"/>
  <c r="AA77" i="4"/>
  <c r="AA223" i="4"/>
  <c r="AA204" i="4"/>
  <c r="AA158" i="4"/>
  <c r="AA224" i="4"/>
  <c r="AA252" i="4"/>
  <c r="AA10" i="4"/>
  <c r="AA159" i="4"/>
  <c r="AA21" i="4"/>
  <c r="AA253" i="4"/>
  <c r="AA6" i="4"/>
  <c r="AA78" i="4"/>
  <c r="AA3" i="4"/>
  <c r="AA160" i="4"/>
  <c r="AA109" i="4"/>
  <c r="AA44" i="4"/>
  <c r="AA214" i="4"/>
  <c r="AA45" i="4"/>
  <c r="AA11" i="4"/>
  <c r="AA79" i="4"/>
  <c r="AA254" i="4"/>
  <c r="AA22" i="4"/>
  <c r="AA193" i="4"/>
  <c r="AA194" i="4"/>
  <c r="AA280" i="4"/>
  <c r="AA281" i="4"/>
  <c r="AA46" i="4"/>
  <c r="AA80" i="4"/>
  <c r="AA81" i="4"/>
  <c r="AA110" i="4"/>
  <c r="AA215" i="4"/>
  <c r="AA82" i="4"/>
  <c r="AA83" i="4"/>
  <c r="AA84" i="4"/>
  <c r="AA47" i="4"/>
  <c r="AA85" i="4"/>
  <c r="AA86" i="4"/>
  <c r="AA255" i="4"/>
  <c r="AA282" i="4"/>
  <c r="AA256" i="4"/>
  <c r="AA87" i="4"/>
  <c r="AA291" i="4"/>
  <c r="AA292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9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3" i="4"/>
  <c r="AA229" i="4"/>
  <c r="AA230" i="4"/>
  <c r="AA257" i="4"/>
  <c r="AA141" i="4"/>
  <c r="AA261" i="4"/>
  <c r="AA197" i="4"/>
  <c r="AA178" i="4"/>
  <c r="AA179" i="4"/>
  <c r="AA180" i="4"/>
  <c r="AA198" i="4"/>
  <c r="AA199" i="4"/>
  <c r="AA98" i="4"/>
  <c r="AA12" i="4"/>
  <c r="AA258" i="4"/>
  <c r="AA294" i="4"/>
  <c r="AA181" i="4"/>
  <c r="AA114" i="4"/>
  <c r="AA48" i="4"/>
  <c r="AA200" i="4"/>
  <c r="AA201" i="4"/>
  <c r="AA182" i="4"/>
  <c r="AA49" i="4"/>
  <c r="AA231" i="4"/>
  <c r="AA209" i="4"/>
  <c r="AA284" i="4"/>
  <c r="AA285" i="4"/>
  <c r="AA298" i="4"/>
  <c r="AA50" i="4"/>
  <c r="AA115" i="4"/>
  <c r="AA116" i="4"/>
  <c r="AA117" i="4"/>
  <c r="AA142" i="4"/>
  <c r="AA118" i="4"/>
  <c r="AA27" i="4"/>
  <c r="AA143" i="4"/>
  <c r="AA144" i="4"/>
  <c r="AA28" i="4"/>
  <c r="AA259" i="4"/>
  <c r="AA260" i="4"/>
  <c r="AA145" i="4"/>
  <c r="AA286" i="4"/>
  <c r="AA287" i="4"/>
  <c r="AA51" i="4"/>
  <c r="AA295" i="4"/>
  <c r="AA52" i="4"/>
  <c r="AA53" i="4"/>
  <c r="AA54" i="4"/>
  <c r="AA55" i="4"/>
  <c r="AA56" i="4"/>
  <c r="AA57" i="4"/>
  <c r="AA99" i="4"/>
  <c r="AA100" i="4"/>
  <c r="AA183" i="4"/>
  <c r="AA288" i="4"/>
  <c r="AA184" i="4"/>
  <c r="AA185" i="4"/>
  <c r="AA101" i="4"/>
  <c r="AA264" i="4"/>
  <c r="AA305" i="4"/>
  <c r="AA306" i="4"/>
  <c r="AA307" i="4"/>
  <c r="AA308" i="4"/>
  <c r="AA301" i="4"/>
  <c r="AA311" i="4"/>
  <c r="AA312" i="4"/>
  <c r="AA313" i="4"/>
  <c r="AA314" i="4"/>
  <c r="AA302" i="4"/>
  <c r="AA315" i="4"/>
  <c r="AA309" i="4"/>
  <c r="AA300" i="4"/>
  <c r="AA303" i="4"/>
  <c r="AA304" i="4"/>
  <c r="AA344" i="4"/>
  <c r="AA345" i="4"/>
  <c r="AA346" i="4"/>
  <c r="AA336" i="4"/>
  <c r="AA337" i="4"/>
  <c r="AA319" i="4"/>
  <c r="AA316" i="4"/>
  <c r="AA320" i="4"/>
  <c r="AA321" i="4"/>
  <c r="AA322" i="4"/>
  <c r="AA348" i="4"/>
  <c r="AA338" i="4"/>
  <c r="AA317" i="4"/>
  <c r="AA339" i="4"/>
  <c r="AA340" i="4"/>
  <c r="AA341" i="4"/>
  <c r="AA343" i="4"/>
  <c r="AA323" i="4"/>
  <c r="AA318" i="4"/>
  <c r="AA324" i="4"/>
  <c r="AA325" i="4"/>
  <c r="AA347" i="4"/>
  <c r="AA327" i="4"/>
  <c r="AA328" i="4"/>
  <c r="AA329" i="4"/>
  <c r="AA330" i="4"/>
  <c r="AA342" i="4"/>
  <c r="AA331" i="4"/>
  <c r="AA332" i="4"/>
  <c r="AA333" i="4"/>
  <c r="AA334" i="4"/>
  <c r="AA326" i="4"/>
  <c r="AA335" i="4"/>
  <c r="AA351" i="4"/>
  <c r="AA357" i="4"/>
  <c r="AA361" i="4"/>
  <c r="AA358" i="4"/>
  <c r="AA356" i="4"/>
  <c r="AA362" i="4"/>
  <c r="AA363" i="4"/>
  <c r="AA369" i="4"/>
  <c r="AA364" i="4"/>
  <c r="AA370" i="4"/>
  <c r="AA352" i="4"/>
  <c r="AA349" i="4"/>
  <c r="AA359" i="4"/>
  <c r="AA360" i="4"/>
  <c r="AA365" i="4"/>
  <c r="AA350" i="4"/>
  <c r="AA366" i="4"/>
  <c r="AA367" i="4"/>
  <c r="AA353" i="4"/>
  <c r="AA354" i="4"/>
  <c r="AA368" i="4"/>
  <c r="AA355" i="4"/>
  <c r="AA380" i="4"/>
  <c r="AA378" i="4"/>
  <c r="AA374" i="4"/>
  <c r="AA375" i="4"/>
  <c r="AA371" i="4"/>
  <c r="AA372" i="4"/>
  <c r="AA376" i="4"/>
  <c r="AA377" i="4"/>
  <c r="AA373" i="4"/>
  <c r="AA379" i="4"/>
  <c r="AA382" i="4"/>
  <c r="AA384" i="4"/>
  <c r="AA386" i="4"/>
  <c r="AA388" i="4"/>
  <c r="AA387" i="4"/>
  <c r="AA385" i="4"/>
  <c r="AA398" i="4"/>
  <c r="AA390" i="4"/>
  <c r="AA391" i="4"/>
  <c r="AA392" i="4"/>
  <c r="AA399" i="4"/>
  <c r="AA400" i="4"/>
  <c r="AA401" i="4"/>
  <c r="AA402" i="4"/>
  <c r="AA403" i="4"/>
  <c r="AA393" i="4"/>
  <c r="AA394" i="4"/>
  <c r="AA395" i="4"/>
  <c r="AA404" i="4"/>
  <c r="AA405" i="4"/>
  <c r="AA389" i="4"/>
  <c r="AA406" i="4"/>
  <c r="AA407" i="4"/>
  <c r="AA396" i="4"/>
  <c r="AA397" i="4"/>
  <c r="AA408" i="4"/>
  <c r="AA409" i="4"/>
  <c r="AA410" i="4"/>
  <c r="AA411" i="4"/>
  <c r="AA412" i="4"/>
  <c r="AA413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1" i="5"/>
  <c r="AM322" i="5"/>
  <c r="AM332" i="5"/>
  <c r="AM334" i="5"/>
  <c r="AM336" i="5"/>
  <c r="AM342" i="5"/>
  <c r="AM79" i="5"/>
  <c r="AM345" i="5"/>
  <c r="AM346" i="5"/>
  <c r="AM347" i="5"/>
  <c r="AM88" i="5"/>
  <c r="AM89" i="5"/>
  <c r="AM10" i="5"/>
  <c r="AM11" i="5"/>
  <c r="AM96" i="5"/>
  <c r="AM97" i="5"/>
  <c r="AM98" i="5"/>
  <c r="AM103" i="5"/>
  <c r="AM109" i="5"/>
  <c r="AM375" i="5"/>
  <c r="AM384" i="5"/>
  <c r="AM112" i="5"/>
  <c r="AM2" i="5"/>
  <c r="AM385" i="5"/>
  <c r="AM12" i="5"/>
  <c r="AM117" i="5"/>
  <c r="AM13" i="5"/>
  <c r="AM270" i="5"/>
  <c r="AM14" i="5"/>
  <c r="AM352" i="5"/>
  <c r="AM353" i="5"/>
  <c r="AM273" i="5"/>
  <c r="AM15" i="5"/>
  <c r="AM275" i="5"/>
  <c r="AM355" i="5"/>
  <c r="AM127" i="5"/>
  <c r="AM129" i="5"/>
  <c r="AM130" i="5"/>
  <c r="AM132" i="5"/>
  <c r="AM133" i="5"/>
  <c r="AM4" i="5"/>
  <c r="AM136" i="5"/>
  <c r="AM255" i="5"/>
  <c r="AM137" i="5"/>
  <c r="AM139" i="5"/>
  <c r="AM140" i="5"/>
  <c r="AM276" i="5"/>
  <c r="AM149" i="5"/>
  <c r="AM150" i="5"/>
  <c r="AM277" i="5"/>
  <c r="AM278" i="5"/>
  <c r="AM279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4" i="5"/>
  <c r="AM27" i="5"/>
  <c r="AM223" i="5"/>
  <c r="AM227" i="5"/>
  <c r="AM228" i="5"/>
  <c r="AM391" i="5"/>
  <c r="AM392" i="5"/>
  <c r="AM393" i="5"/>
  <c r="AM394" i="5"/>
  <c r="AM395" i="5"/>
  <c r="AM396" i="5"/>
  <c r="AM397" i="5"/>
  <c r="AM399" i="5"/>
  <c r="AM400" i="5"/>
  <c r="AM401" i="5"/>
  <c r="AM402" i="5"/>
  <c r="AM403" i="5"/>
  <c r="AM404" i="5"/>
  <c r="AM405" i="5"/>
  <c r="AM406" i="5"/>
  <c r="AM241" i="5"/>
  <c r="AM408" i="5"/>
  <c r="AM409" i="5"/>
  <c r="AM411" i="5"/>
  <c r="AM412" i="5"/>
  <c r="AM413" i="5"/>
  <c r="AM250" i="5"/>
  <c r="AM36" i="5"/>
  <c r="AM37" i="5"/>
  <c r="AM251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5" i="5"/>
  <c r="AM266" i="5"/>
  <c r="AM55" i="5"/>
  <c r="AM56" i="5"/>
  <c r="AM57" i="5"/>
  <c r="AM59" i="5"/>
  <c r="AM60" i="5"/>
  <c r="AM62" i="5"/>
  <c r="AM63" i="5"/>
  <c r="AM64" i="5"/>
  <c r="AM68" i="5"/>
  <c r="AM70" i="5"/>
  <c r="AM71" i="5"/>
  <c r="AM316" i="5"/>
  <c r="AM317" i="5"/>
  <c r="AM318" i="5"/>
  <c r="AM319" i="5"/>
  <c r="AM320" i="5"/>
  <c r="AM323" i="5"/>
  <c r="AM324" i="5"/>
  <c r="AM325" i="5"/>
  <c r="AM326" i="5"/>
  <c r="AM327" i="5"/>
  <c r="AM328" i="5"/>
  <c r="AM329" i="5"/>
  <c r="AM330" i="5"/>
  <c r="AM331" i="5"/>
  <c r="AM333" i="5"/>
  <c r="AM335" i="5"/>
  <c r="AM338" i="5"/>
  <c r="AM339" i="5"/>
  <c r="AM340" i="5"/>
  <c r="AM341" i="5"/>
  <c r="AM72" i="5"/>
  <c r="AM9" i="5"/>
  <c r="AM73" i="5"/>
  <c r="AM343" i="5"/>
  <c r="AM74" i="5"/>
  <c r="AM75" i="5"/>
  <c r="AM76" i="5"/>
  <c r="AM77" i="5"/>
  <c r="AM78" i="5"/>
  <c r="AM300" i="5"/>
  <c r="AM301" i="5"/>
  <c r="AM349" i="5"/>
  <c r="AM80" i="5"/>
  <c r="AM81" i="5"/>
  <c r="AM267" i="5"/>
  <c r="AM82" i="5"/>
  <c r="AM83" i="5"/>
  <c r="AM84" i="5"/>
  <c r="AM85" i="5"/>
  <c r="AM259" i="5"/>
  <c r="AM260" i="5"/>
  <c r="AM86" i="5"/>
  <c r="AM261" i="5"/>
  <c r="AM253" i="5"/>
  <c r="AM344" i="5"/>
  <c r="AM87" i="5"/>
  <c r="AM90" i="5"/>
  <c r="AM91" i="5"/>
  <c r="AM302" i="5"/>
  <c r="AM303" i="5"/>
  <c r="AM92" i="5"/>
  <c r="AM93" i="5"/>
  <c r="AM94" i="5"/>
  <c r="AM95" i="5"/>
  <c r="AM262" i="5"/>
  <c r="AM254" i="5"/>
  <c r="AM263" i="5"/>
  <c r="AM99" i="5"/>
  <c r="AM100" i="5"/>
  <c r="AM101" i="5"/>
  <c r="AM102" i="5"/>
  <c r="AM104" i="5"/>
  <c r="AM105" i="5"/>
  <c r="AM106" i="5"/>
  <c r="AM107" i="5"/>
  <c r="AM108" i="5"/>
  <c r="AM371" i="5"/>
  <c r="AM372" i="5"/>
  <c r="AM373" i="5"/>
  <c r="AM374" i="5"/>
  <c r="AM376" i="5"/>
  <c r="AM377" i="5"/>
  <c r="AM378" i="5"/>
  <c r="AM379" i="5"/>
  <c r="AM380" i="5"/>
  <c r="AM350" i="5"/>
  <c r="AM351" i="5"/>
  <c r="AM110" i="5"/>
  <c r="AM111" i="5"/>
  <c r="AM113" i="5"/>
  <c r="AM305" i="5"/>
  <c r="AM114" i="5"/>
  <c r="AM306" i="5"/>
  <c r="AM307" i="5"/>
  <c r="AM308" i="5"/>
  <c r="AM309" i="5"/>
  <c r="AM115" i="5"/>
  <c r="AM116" i="5"/>
  <c r="AM337" i="5"/>
  <c r="AM268" i="5"/>
  <c r="AM269" i="5"/>
  <c r="AM386" i="5"/>
  <c r="AM271" i="5"/>
  <c r="AM272" i="5"/>
  <c r="AM119" i="5"/>
  <c r="AM120" i="5"/>
  <c r="AM387" i="5"/>
  <c r="AM121" i="5"/>
  <c r="AM122" i="5"/>
  <c r="AM123" i="5"/>
  <c r="AM124" i="5"/>
  <c r="AM274" i="5"/>
  <c r="AM354" i="5"/>
  <c r="AM125" i="5"/>
  <c r="AM126" i="5"/>
  <c r="AM356" i="5"/>
  <c r="AM357" i="5"/>
  <c r="AM358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80" i="5"/>
  <c r="AM154" i="5"/>
  <c r="AM155" i="5"/>
  <c r="AM156" i="5"/>
  <c r="AM348" i="5"/>
  <c r="AM359" i="5"/>
  <c r="AM360" i="5"/>
  <c r="AM361" i="5"/>
  <c r="AM362" i="5"/>
  <c r="AM363" i="5"/>
  <c r="AM364" i="5"/>
  <c r="AM365" i="5"/>
  <c r="AM366" i="5"/>
  <c r="AM157" i="5"/>
  <c r="AM159" i="5"/>
  <c r="AM160" i="5"/>
  <c r="AM161" i="5"/>
  <c r="AM162" i="5"/>
  <c r="AM256" i="5"/>
  <c r="AM257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1" i="5"/>
  <c r="AM282" i="5"/>
  <c r="AM283" i="5"/>
  <c r="AM193" i="5"/>
  <c r="AM284" i="5"/>
  <c r="AM285" i="5"/>
  <c r="AM286" i="5"/>
  <c r="AM287" i="5"/>
  <c r="AM5" i="5"/>
  <c r="AM288" i="5"/>
  <c r="AM289" i="5"/>
  <c r="AM290" i="5"/>
  <c r="AM291" i="5"/>
  <c r="AM199" i="5"/>
  <c r="AM293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8" i="5"/>
  <c r="AM213" i="5"/>
  <c r="AM214" i="5"/>
  <c r="AM215" i="5"/>
  <c r="AM216" i="5"/>
  <c r="AM217" i="5"/>
  <c r="AM310" i="5"/>
  <c r="AM218" i="5"/>
  <c r="AM28" i="5"/>
  <c r="AM219" i="5"/>
  <c r="AM220" i="5"/>
  <c r="AM221" i="5"/>
  <c r="AM222" i="5"/>
  <c r="AM224" i="5"/>
  <c r="AM225" i="5"/>
  <c r="AM226" i="5"/>
  <c r="AM295" i="5"/>
  <c r="AM296" i="5"/>
  <c r="AM8" i="5"/>
  <c r="AM229" i="5"/>
  <c r="AM230" i="5"/>
  <c r="AM311" i="5"/>
  <c r="AM312" i="5"/>
  <c r="AM231" i="5"/>
  <c r="AM367" i="5"/>
  <c r="AM297" i="5"/>
  <c r="AM232" i="5"/>
  <c r="AM29" i="5"/>
  <c r="AM30" i="5"/>
  <c r="AM31" i="5"/>
  <c r="AM32" i="5"/>
  <c r="AM33" i="5"/>
  <c r="AM233" i="5"/>
  <c r="AM34" i="5"/>
  <c r="AM313" i="5"/>
  <c r="AM381" i="5"/>
  <c r="AM234" i="5"/>
  <c r="AM235" i="5"/>
  <c r="AM236" i="5"/>
  <c r="AM237" i="5"/>
  <c r="AM238" i="5"/>
  <c r="AM239" i="5"/>
  <c r="AM389" i="5"/>
  <c r="AM390" i="5"/>
  <c r="AM398" i="5"/>
  <c r="AM407" i="5"/>
  <c r="AM410" i="5"/>
  <c r="AM242" i="5"/>
  <c r="AM243" i="5"/>
  <c r="AM244" i="5"/>
  <c r="AM245" i="5"/>
  <c r="AM246" i="5"/>
  <c r="AM247" i="5"/>
  <c r="AM248" i="5"/>
  <c r="AM388" i="5"/>
  <c r="AM249" i="5"/>
  <c r="AM368" i="5"/>
  <c r="AM369" i="5"/>
  <c r="AM370" i="5"/>
  <c r="AM35" i="5"/>
  <c r="AM314" i="5"/>
  <c r="AM315" i="5"/>
  <c r="AM252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5" i="5"/>
  <c r="AP405" i="5"/>
  <c r="AQ404" i="5"/>
  <c r="AP404" i="5"/>
  <c r="AQ389" i="5"/>
  <c r="AP389" i="5"/>
  <c r="AQ390" i="5"/>
  <c r="AP390" i="5"/>
  <c r="AQ381" i="5"/>
  <c r="AQ380" i="5"/>
  <c r="AQ379" i="5"/>
  <c r="AQ378" i="5"/>
  <c r="AQ377" i="5"/>
  <c r="AQ376" i="5"/>
  <c r="AQ374" i="5"/>
  <c r="AQ373" i="5"/>
  <c r="AQ372" i="5"/>
  <c r="AQ371" i="5"/>
  <c r="AQ366" i="5"/>
  <c r="AQ365" i="5"/>
  <c r="AQ364" i="5"/>
  <c r="AQ363" i="5"/>
  <c r="AQ362" i="5"/>
  <c r="AQ361" i="5"/>
  <c r="AQ360" i="5"/>
  <c r="AQ351" i="5"/>
  <c r="AQ349" i="5"/>
  <c r="AQ370" i="5"/>
  <c r="AQ369" i="5"/>
  <c r="AQ368" i="5"/>
  <c r="AQ367" i="5"/>
  <c r="AQ359" i="5"/>
  <c r="AQ358" i="5"/>
  <c r="AQ357" i="5"/>
  <c r="AQ356" i="5"/>
  <c r="AQ355" i="5"/>
  <c r="AQ354" i="5"/>
  <c r="AQ353" i="5"/>
  <c r="AQ352" i="5"/>
  <c r="AQ350" i="5"/>
  <c r="AQ348" i="5"/>
  <c r="AQ337" i="5"/>
  <c r="AQ347" i="5"/>
  <c r="AQ346" i="5"/>
  <c r="AQ345" i="5"/>
  <c r="AQ344" i="5"/>
  <c r="AQ343" i="5"/>
  <c r="AQ342" i="5"/>
  <c r="AQ341" i="5"/>
  <c r="AQ340" i="5"/>
  <c r="AQ339" i="5"/>
  <c r="AQ338" i="5"/>
  <c r="AQ336" i="5"/>
  <c r="AQ335" i="5"/>
  <c r="AQ334" i="5"/>
  <c r="AQ333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3" i="5"/>
  <c r="AQ302" i="5"/>
  <c r="AQ301" i="5"/>
  <c r="AQ300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8" i="5"/>
  <c r="AQ258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8" i="5"/>
  <c r="AS87" i="5"/>
  <c r="AS249" i="5"/>
  <c r="AQ249" i="5"/>
  <c r="AS231" i="5"/>
  <c r="AQ231" i="5"/>
  <c r="AS8" i="5"/>
  <c r="AQ8" i="5"/>
  <c r="AS296" i="5"/>
  <c r="AQ296" i="5"/>
  <c r="AS295" i="5"/>
  <c r="AQ295" i="5"/>
  <c r="AS7" i="5"/>
  <c r="AQ7" i="5"/>
  <c r="AS291" i="5"/>
  <c r="AQ291" i="5"/>
  <c r="AS290" i="5"/>
  <c r="AQ290" i="5"/>
  <c r="AS289" i="5"/>
  <c r="AQ289" i="5"/>
  <c r="AS288" i="5"/>
  <c r="AQ288" i="5"/>
  <c r="AS5" i="5"/>
  <c r="AS287" i="5"/>
  <c r="AQ287" i="5"/>
  <c r="AS286" i="5"/>
  <c r="AQ286" i="5"/>
  <c r="AS193" i="5"/>
  <c r="AQ193" i="5"/>
  <c r="AS283" i="5"/>
  <c r="AQ283" i="5"/>
  <c r="AS282" i="5"/>
  <c r="AQ282" i="5"/>
  <c r="AS281" i="5"/>
  <c r="AQ281" i="5"/>
  <c r="AS192" i="5"/>
  <c r="AQ192" i="5"/>
  <c r="AS157" i="5"/>
  <c r="AQ157" i="5"/>
  <c r="AS280" i="5"/>
  <c r="AQ280" i="5"/>
  <c r="AQ147" i="5"/>
  <c r="AS143" i="5"/>
  <c r="AQ143" i="5"/>
  <c r="AQ134" i="5"/>
  <c r="AS3" i="5"/>
  <c r="AQ3" i="5"/>
  <c r="AS274" i="5"/>
  <c r="AQ274" i="5"/>
  <c r="AQ269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3" i="5"/>
  <c r="AQ293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5" i="5"/>
  <c r="AQ285" i="5"/>
  <c r="AS284" i="5"/>
  <c r="AQ284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7" i="5"/>
  <c r="AQ257" i="5"/>
  <c r="AS161" i="5"/>
  <c r="AQ161" i="5"/>
  <c r="AS146" i="5"/>
  <c r="AS102" i="5"/>
  <c r="AS263" i="5"/>
  <c r="AQ263" i="5"/>
  <c r="AS254" i="5"/>
  <c r="AQ254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1" i="5"/>
  <c r="AQ261" i="5"/>
  <c r="AS260" i="5"/>
  <c r="AQ260" i="5"/>
  <c r="AS267" i="5"/>
  <c r="AQ267" i="5"/>
  <c r="AQ266" i="5"/>
  <c r="AS252" i="5"/>
  <c r="AQ252" i="5"/>
  <c r="AS262" i="5"/>
  <c r="AQ262" i="5"/>
  <c r="AQ92" i="5"/>
  <c r="AQ253" i="5"/>
  <c r="AS86" i="5"/>
  <c r="AQ86" i="5"/>
  <c r="AS259" i="5"/>
  <c r="AQ259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7" i="5"/>
  <c r="AQ2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5" i="5"/>
  <c r="AS244" i="5"/>
  <c r="AQ244" i="5"/>
  <c r="AQ29" i="5"/>
  <c r="AS115" i="5"/>
  <c r="AQ115" i="5"/>
  <c r="AS70" i="5"/>
  <c r="AQ70" i="5"/>
  <c r="AS242" i="5"/>
  <c r="AQ242" i="5"/>
  <c r="AQ224" i="5"/>
  <c r="AS27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6" i="5"/>
  <c r="AQ256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8" i="5"/>
  <c r="AQ248" i="5"/>
  <c r="AS247" i="5"/>
  <c r="AQ247" i="5"/>
  <c r="AS246" i="5"/>
  <c r="AQ246" i="5"/>
  <c r="AS243" i="5"/>
  <c r="AQ243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3" i="5"/>
  <c r="AP393" i="5"/>
  <c r="AQ413" i="5"/>
  <c r="AP413" i="5"/>
  <c r="AQ408" i="5"/>
  <c r="AP408" i="5"/>
  <c r="AQ407" i="5"/>
  <c r="AP407" i="5"/>
  <c r="AQ406" i="5"/>
  <c r="AP406" i="5"/>
  <c r="AQ403" i="5"/>
  <c r="AP403" i="5"/>
  <c r="AQ402" i="5"/>
  <c r="AP402" i="5"/>
  <c r="AQ400" i="5"/>
  <c r="AP400" i="5"/>
  <c r="AQ399" i="5"/>
  <c r="AP399" i="5"/>
  <c r="AQ398" i="5"/>
  <c r="AP398" i="5"/>
  <c r="AQ396" i="5"/>
  <c r="AP396" i="5"/>
  <c r="AQ395" i="5"/>
  <c r="AP395" i="5"/>
  <c r="AQ392" i="5"/>
  <c r="AP392" i="5"/>
  <c r="AQ397" i="5"/>
  <c r="AP397" i="5"/>
  <c r="AQ391" i="5"/>
  <c r="AP391" i="5"/>
  <c r="AQ412" i="5"/>
  <c r="AP412" i="5"/>
  <c r="AQ411" i="5"/>
  <c r="AP411" i="5"/>
  <c r="AQ410" i="5"/>
  <c r="AP410" i="5"/>
  <c r="AQ409" i="5"/>
  <c r="AP409" i="5"/>
  <c r="AQ401" i="5"/>
  <c r="AP401" i="5"/>
  <c r="AQ394" i="5"/>
  <c r="AP394" i="5"/>
  <c r="AQ375" i="5"/>
  <c r="AQ332" i="5"/>
  <c r="AS149" i="5"/>
  <c r="AQ149" i="5"/>
  <c r="AS129" i="5"/>
  <c r="AS27" i="5"/>
  <c r="AS15" i="5"/>
  <c r="AS251" i="5"/>
  <c r="AQ251" i="5"/>
  <c r="AS292" i="5"/>
  <c r="AQ292" i="5"/>
  <c r="AS294" i="5"/>
  <c r="AQ294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9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70" i="5"/>
  <c r="AS276" i="5"/>
  <c r="AQ276" i="5"/>
  <c r="AQ275" i="5"/>
  <c r="AS245" i="5"/>
  <c r="AQ245" i="5"/>
  <c r="AS30" i="5"/>
  <c r="AQ30" i="5"/>
  <c r="AS191" i="5"/>
  <c r="AQ191" i="5"/>
  <c r="AS190" i="5"/>
  <c r="AQ190" i="5"/>
  <c r="AS162" i="5"/>
  <c r="AQ162" i="5"/>
  <c r="AS278" i="5"/>
  <c r="AQ278" i="5"/>
  <c r="AS98" i="5"/>
  <c r="AQ98" i="5"/>
  <c r="AS96" i="5"/>
  <c r="AQ96" i="5"/>
  <c r="AS250" i="5"/>
  <c r="AQ250" i="5"/>
  <c r="AS241" i="5"/>
  <c r="AS223" i="5"/>
  <c r="AQ223" i="5"/>
  <c r="AS170" i="5"/>
  <c r="AQ170" i="5"/>
  <c r="AS109" i="5"/>
  <c r="AQ109" i="5"/>
  <c r="AQ61" i="5"/>
  <c r="AQ255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80" i="2"/>
  <c r="BE81" i="2"/>
  <c r="BE82" i="2"/>
  <c r="BE92" i="2"/>
  <c r="BF80" i="2"/>
  <c r="BF81" i="2"/>
  <c r="BF82" i="2"/>
  <c r="BF92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80" i="2"/>
  <c r="BL81" i="2"/>
  <c r="BL82" i="2"/>
  <c r="BL92" i="2"/>
  <c r="BK80" i="2"/>
  <c r="BK81" i="2"/>
  <c r="BK82" i="2"/>
  <c r="BK92" i="2"/>
  <c r="BJ80" i="2"/>
  <c r="BJ81" i="2"/>
  <c r="BJ82" i="2"/>
  <c r="BJ92" i="2"/>
  <c r="BI80" i="2"/>
  <c r="BI81" i="2"/>
  <c r="BI82" i="2"/>
  <c r="BI92" i="2"/>
  <c r="BH80" i="2"/>
  <c r="BH81" i="2"/>
  <c r="BH82" i="2"/>
  <c r="BH92" i="2"/>
  <c r="BG80" i="2"/>
  <c r="BG81" i="2"/>
  <c r="BG82" i="2"/>
  <c r="BG92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6" i="4"/>
  <c r="AJ286" i="4"/>
  <c r="AJ295" i="4"/>
  <c r="AJ48" i="4"/>
  <c r="AJ298" i="4"/>
  <c r="AJ258" i="4"/>
  <c r="AJ257" i="4"/>
  <c r="AJ230" i="4"/>
  <c r="AJ229" i="4"/>
  <c r="AJ293" i="4"/>
  <c r="AJ228" i="4"/>
  <c r="AJ25" i="4"/>
  <c r="AJ7" i="4"/>
  <c r="AJ281" i="4"/>
  <c r="AJ280" i="4"/>
  <c r="AJ194" i="4"/>
  <c r="AJ252" i="4"/>
  <c r="AJ212" i="4"/>
  <c r="AJ73" i="4"/>
  <c r="AJ251" i="4"/>
  <c r="AJ249" i="4"/>
  <c r="AJ297" i="4"/>
  <c r="AJ189" i="4"/>
  <c r="AJ246" i="4"/>
  <c r="AJ288" i="4"/>
  <c r="AJ109" i="4"/>
  <c r="AJ17" i="4"/>
  <c r="AJ292" i="4"/>
  <c r="AJ221" i="4"/>
  <c r="AJ220" i="4"/>
  <c r="AJ210" i="4"/>
  <c r="AJ274" i="4"/>
  <c r="AJ273" i="4"/>
  <c r="AJ272" i="4"/>
  <c r="AJ188" i="4"/>
  <c r="AJ285" i="4"/>
  <c r="AJ284" i="4"/>
  <c r="AJ196" i="4"/>
  <c r="AJ131" i="4"/>
  <c r="AJ26" i="4"/>
  <c r="AJ113" i="4"/>
  <c r="AJ82" i="4"/>
  <c r="AJ77" i="4"/>
  <c r="AJ279" i="4"/>
  <c r="AJ222" i="4"/>
  <c r="AJ192" i="4"/>
  <c r="AJ250" i="4"/>
  <c r="AJ121" i="4"/>
  <c r="AJ187" i="4"/>
  <c r="AJ237" i="4"/>
  <c r="AJ236" i="4"/>
  <c r="AJ219" i="4"/>
  <c r="AJ235" i="4"/>
  <c r="AJ234" i="4"/>
  <c r="AJ265" i="4"/>
  <c r="AJ264" i="4"/>
  <c r="AJ156" i="4"/>
  <c r="AJ108" i="4"/>
  <c r="AJ151" i="4"/>
  <c r="AJ271" i="4"/>
  <c r="AJ270" i="4"/>
  <c r="AJ247" i="4"/>
  <c r="AJ245" i="4"/>
  <c r="AJ269" i="4"/>
  <c r="AJ244" i="4"/>
  <c r="AJ268" i="4"/>
  <c r="AJ243" i="4"/>
  <c r="AJ242" i="4"/>
  <c r="AJ241" i="4"/>
  <c r="AJ240" i="4"/>
  <c r="AJ239" i="4"/>
  <c r="AJ267" i="4"/>
  <c r="AJ238" i="4"/>
  <c r="AJ266" i="4"/>
  <c r="AJ233" i="4"/>
  <c r="AJ289" i="4"/>
  <c r="AJ287" i="4"/>
  <c r="AJ231" i="4"/>
  <c r="AJ181" i="4"/>
  <c r="AJ261" i="4"/>
  <c r="AJ260" i="4"/>
  <c r="AJ259" i="4"/>
  <c r="AJ254" i="4"/>
  <c r="AJ214" i="4"/>
  <c r="AJ223" i="4"/>
  <c r="AJ248" i="4"/>
  <c r="AJ296" i="4"/>
  <c r="AJ12" i="4"/>
  <c r="AJ198" i="4"/>
  <c r="AJ227" i="4"/>
  <c r="AJ226" i="4"/>
  <c r="AJ225" i="4"/>
  <c r="AJ206" i="4"/>
  <c r="AJ205" i="4"/>
  <c r="AJ165" i="4"/>
  <c r="AJ224" i="4"/>
  <c r="AJ191" i="4"/>
  <c r="AJ127" i="4"/>
  <c r="AJ211" i="4"/>
  <c r="AJ209" i="4"/>
  <c r="AJ182" i="4"/>
  <c r="AJ201" i="4"/>
  <c r="AJ200" i="4"/>
  <c r="AJ97" i="4"/>
  <c r="AJ217" i="4"/>
  <c r="AJ216" i="4"/>
  <c r="AJ299" i="4"/>
  <c r="AJ175" i="4"/>
  <c r="AJ174" i="4"/>
  <c r="AJ173" i="4"/>
  <c r="AJ172" i="4"/>
  <c r="AJ136" i="4"/>
  <c r="AJ208" i="4"/>
  <c r="AJ207" i="4"/>
  <c r="AJ195" i="4"/>
  <c r="AJ171" i="4"/>
  <c r="AJ170" i="4"/>
  <c r="AJ169" i="4"/>
  <c r="AJ168" i="4"/>
  <c r="AJ167" i="4"/>
  <c r="AJ193" i="4"/>
  <c r="AJ11" i="4"/>
  <c r="AJ45" i="4"/>
  <c r="AJ44" i="4"/>
  <c r="AJ21" i="4"/>
  <c r="AJ158" i="4"/>
  <c r="AJ20" i="4"/>
  <c r="AJ74" i="4"/>
  <c r="AJ72" i="4"/>
  <c r="AJ157" i="4"/>
  <c r="AJ126" i="4"/>
  <c r="AJ154" i="4"/>
  <c r="AJ152" i="4"/>
  <c r="AJ150" i="4"/>
  <c r="AJ202" i="4"/>
  <c r="AJ180" i="4"/>
  <c r="AJ179" i="4"/>
  <c r="AJ178" i="4"/>
  <c r="AJ197" i="4"/>
  <c r="AJ141" i="4"/>
  <c r="AJ24" i="4"/>
  <c r="AJ256" i="4"/>
  <c r="AJ282" i="4"/>
  <c r="AJ255" i="4"/>
  <c r="AJ253" i="4"/>
  <c r="AJ10" i="4"/>
  <c r="AJ204" i="4"/>
  <c r="AJ129" i="4"/>
  <c r="AJ290" i="4"/>
  <c r="AJ9" i="4"/>
  <c r="AJ8" i="4"/>
  <c r="AJ28" i="4"/>
  <c r="AJ98" i="4"/>
  <c r="AJ199" i="4"/>
  <c r="AJ177" i="4"/>
  <c r="AJ176" i="4"/>
  <c r="AJ135" i="4"/>
  <c r="AJ112" i="4"/>
  <c r="AJ185" i="4"/>
  <c r="AJ184" i="4"/>
  <c r="AJ143" i="4"/>
  <c r="AJ27" i="4"/>
  <c r="AJ139" i="4"/>
  <c r="AJ138" i="4"/>
  <c r="AJ125" i="4"/>
  <c r="AJ186" i="4"/>
  <c r="AJ218" i="4"/>
  <c r="AJ137" i="4"/>
  <c r="AJ166" i="4"/>
  <c r="AJ133" i="4"/>
  <c r="AJ132" i="4"/>
  <c r="AJ130" i="4"/>
  <c r="AJ23" i="4"/>
  <c r="AJ291" i="4"/>
  <c r="AJ213" i="4"/>
  <c r="AJ155" i="4"/>
  <c r="AJ122" i="4"/>
  <c r="AJ153" i="4"/>
  <c r="AJ277" i="4"/>
  <c r="AJ276" i="4"/>
  <c r="AJ101" i="4"/>
  <c r="AJ183" i="4"/>
  <c r="AJ99" i="4"/>
  <c r="AJ145" i="4"/>
  <c r="AJ144" i="4"/>
  <c r="AJ140" i="4"/>
  <c r="AJ134" i="4"/>
  <c r="AJ111" i="4"/>
  <c r="AJ215" i="4"/>
  <c r="AJ278" i="4"/>
  <c r="AJ190" i="4"/>
  <c r="AJ124" i="4"/>
  <c r="AJ123" i="4"/>
  <c r="AJ84" i="4"/>
  <c r="AJ79" i="4"/>
  <c r="AJ76" i="4"/>
  <c r="AJ71" i="4"/>
  <c r="AJ147" i="4"/>
  <c r="AJ119" i="4"/>
  <c r="AJ146" i="4"/>
  <c r="AJ100" i="4"/>
  <c r="AJ294" i="4"/>
  <c r="AJ163" i="4"/>
  <c r="AJ87" i="4"/>
  <c r="AJ83" i="4"/>
  <c r="AJ68" i="4"/>
  <c r="AJ14" i="4"/>
  <c r="AJ120" i="4"/>
  <c r="AJ105" i="4"/>
  <c r="AJ59" i="4"/>
  <c r="AJ164" i="4"/>
  <c r="AJ162" i="4"/>
  <c r="AJ161" i="4"/>
  <c r="AJ149" i="4"/>
  <c r="AJ118" i="4"/>
  <c r="AJ142" i="4"/>
  <c r="AJ117" i="4"/>
  <c r="AJ116" i="4"/>
  <c r="AJ115" i="4"/>
  <c r="AJ6" i="4"/>
  <c r="AJ4" i="4"/>
  <c r="AJ57" i="4"/>
  <c r="AJ56" i="4"/>
  <c r="AJ55" i="4"/>
  <c r="AJ54" i="4"/>
  <c r="AJ53" i="4"/>
  <c r="AJ52" i="4"/>
  <c r="AJ114" i="4"/>
  <c r="AJ19" i="4"/>
  <c r="AJ2" i="4"/>
  <c r="AJ15" i="4"/>
  <c r="AJ60" i="4"/>
  <c r="AJ148" i="4"/>
  <c r="AJ13" i="4"/>
  <c r="AJ31" i="4"/>
  <c r="AJ58" i="4"/>
  <c r="AJ29" i="4"/>
  <c r="AJ104" i="4"/>
  <c r="AJ103" i="4"/>
  <c r="AJ92" i="4"/>
  <c r="AJ89" i="4"/>
  <c r="AJ88" i="4"/>
  <c r="AJ96" i="4"/>
  <c r="AJ95" i="4"/>
  <c r="AJ94" i="4"/>
  <c r="AJ93" i="4"/>
  <c r="AJ91" i="4"/>
  <c r="AJ90" i="4"/>
  <c r="AJ22" i="4"/>
  <c r="AJ160" i="4"/>
  <c r="AJ3" i="4"/>
  <c r="AJ78" i="4"/>
  <c r="AJ43" i="4"/>
  <c r="AJ41" i="4"/>
  <c r="AJ107" i="4"/>
  <c r="AJ106" i="4"/>
  <c r="AJ66" i="4"/>
  <c r="AJ110" i="4"/>
  <c r="AJ81" i="4"/>
  <c r="AJ37" i="4"/>
  <c r="AJ35" i="4"/>
  <c r="AJ34" i="4"/>
  <c r="AJ86" i="4"/>
  <c r="AJ85" i="4"/>
  <c r="AJ47" i="4"/>
  <c r="AJ5" i="4"/>
  <c r="AJ128" i="4"/>
  <c r="AJ65" i="4"/>
  <c r="AJ64" i="4"/>
  <c r="AJ42" i="4"/>
  <c r="AJ18" i="4"/>
  <c r="AJ75" i="4"/>
  <c r="AJ70" i="4"/>
  <c r="AJ46" i="4"/>
  <c r="AJ36" i="4"/>
  <c r="AJ33" i="4"/>
  <c r="AJ32" i="4"/>
  <c r="AJ51" i="4"/>
  <c r="AJ50" i="4"/>
  <c r="AJ49" i="4"/>
  <c r="AJ80" i="4"/>
  <c r="AJ159" i="4"/>
  <c r="AJ69" i="4"/>
  <c r="AJ275" i="4"/>
  <c r="AJ203" i="4"/>
  <c r="AJ63" i="4"/>
  <c r="AJ40" i="4"/>
  <c r="AJ39" i="4"/>
  <c r="AJ38" i="4"/>
  <c r="AJ62" i="4"/>
  <c r="AJ61" i="4"/>
  <c r="AJ30" i="4"/>
  <c r="AM26" i="2"/>
  <c r="AZ403" i="5"/>
  <c r="AZ413" i="5"/>
  <c r="AZ412" i="5"/>
  <c r="AZ411" i="5"/>
  <c r="AZ410" i="5"/>
  <c r="AZ409" i="5"/>
  <c r="AZ408" i="5"/>
  <c r="AZ407" i="5"/>
  <c r="AZ406" i="5"/>
  <c r="AZ405" i="5"/>
  <c r="AZ404" i="5"/>
  <c r="AZ402" i="5"/>
  <c r="AZ401" i="5"/>
  <c r="AZ400" i="5"/>
  <c r="AZ399" i="5"/>
  <c r="AZ398" i="5"/>
  <c r="AZ397" i="5"/>
  <c r="AZ396" i="5"/>
  <c r="AZ395" i="5"/>
  <c r="AZ394" i="5"/>
  <c r="AZ393" i="5"/>
  <c r="AZ390" i="5"/>
  <c r="AZ389" i="5"/>
  <c r="AZ391" i="5"/>
  <c r="AZ392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4" i="5"/>
  <c r="AY254" i="5"/>
  <c r="AX254" i="5"/>
  <c r="AZ65" i="5"/>
  <c r="AY65" i="5"/>
  <c r="AX65" i="5"/>
  <c r="AZ55" i="5"/>
  <c r="AY55" i="5"/>
  <c r="AX55" i="5"/>
  <c r="AZ67" i="5"/>
  <c r="AY67" i="5"/>
  <c r="AX67" i="5"/>
  <c r="AZ291" i="5"/>
  <c r="AY291" i="5"/>
  <c r="AX291" i="5"/>
  <c r="AZ256" i="5"/>
  <c r="AY256" i="5"/>
  <c r="AX256" i="5"/>
  <c r="AZ38" i="5"/>
  <c r="AY38" i="5"/>
  <c r="AX38" i="5"/>
  <c r="AZ263" i="5"/>
  <c r="AY263" i="5"/>
  <c r="AX263" i="5"/>
  <c r="AZ279" i="5"/>
  <c r="AY279" i="5"/>
  <c r="AX279" i="5"/>
  <c r="AZ257" i="5"/>
  <c r="AY257" i="5"/>
  <c r="AX257" i="5"/>
  <c r="AZ271" i="5"/>
  <c r="AY271" i="5"/>
  <c r="AX27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5" i="5"/>
  <c r="AY255" i="5"/>
  <c r="AX255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9" i="5"/>
  <c r="AY249" i="5"/>
  <c r="AX249" i="5"/>
  <c r="AZ48" i="5"/>
  <c r="AY48" i="5"/>
  <c r="AX48" i="5"/>
  <c r="AZ294" i="5"/>
  <c r="AY294" i="5"/>
  <c r="AX294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6" i="5"/>
  <c r="AY276" i="5"/>
  <c r="AX276" i="5"/>
  <c r="AZ90" i="5"/>
  <c r="AY90" i="5"/>
  <c r="AX90" i="5"/>
  <c r="AZ120" i="5"/>
  <c r="AY120" i="5"/>
  <c r="AX120" i="5"/>
  <c r="AZ98" i="5"/>
  <c r="AY98" i="5"/>
  <c r="AX98" i="5"/>
  <c r="AZ251" i="5"/>
  <c r="AY251" i="5"/>
  <c r="AX251" i="5"/>
  <c r="AZ224" i="5"/>
  <c r="AY224" i="5"/>
  <c r="AX224" i="5"/>
  <c r="AZ196" i="5"/>
  <c r="AY196" i="5"/>
  <c r="AX196" i="5"/>
  <c r="AZ194" i="5"/>
  <c r="AY194" i="5"/>
  <c r="AX194" i="5"/>
  <c r="AZ278" i="5"/>
  <c r="AY278" i="5"/>
  <c r="AX278" i="5"/>
  <c r="AZ297" i="5"/>
  <c r="AY297" i="5"/>
  <c r="AX297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7" i="5"/>
  <c r="AY277" i="5"/>
  <c r="AX277" i="5"/>
  <c r="AZ147" i="5"/>
  <c r="AY147" i="5"/>
  <c r="AX147" i="5"/>
  <c r="AZ136" i="5"/>
  <c r="AY136" i="5"/>
  <c r="AX136" i="5"/>
  <c r="AZ272" i="5"/>
  <c r="AY272" i="5"/>
  <c r="AX272" i="5"/>
  <c r="AZ134" i="5"/>
  <c r="AY134" i="5"/>
  <c r="AX134" i="5"/>
  <c r="AY34" i="5"/>
  <c r="AZ274" i="5"/>
  <c r="AY274" i="5"/>
  <c r="AX274" i="5"/>
  <c r="AZ118" i="5"/>
  <c r="AY118" i="5"/>
  <c r="AX118" i="5"/>
  <c r="AZ228" i="5"/>
  <c r="AY228" i="5"/>
  <c r="AX228" i="5"/>
  <c r="AZ163" i="5"/>
  <c r="AY163" i="5"/>
  <c r="AX163" i="5"/>
  <c r="AZ275" i="5"/>
  <c r="AY275" i="5"/>
  <c r="AX275" i="5"/>
  <c r="AZ231" i="5"/>
  <c r="AY231" i="5"/>
  <c r="AX231" i="5"/>
  <c r="AZ207" i="5"/>
  <c r="AY207" i="5"/>
  <c r="AX207" i="5"/>
  <c r="AZ200" i="5"/>
  <c r="AY200" i="5"/>
  <c r="AX200" i="5"/>
  <c r="AZ242" i="5"/>
  <c r="AY242" i="5"/>
  <c r="AX242" i="5"/>
  <c r="AZ154" i="5"/>
  <c r="AY154" i="5"/>
  <c r="AX154" i="5"/>
  <c r="AZ116" i="5"/>
  <c r="AY116" i="5"/>
  <c r="AX116" i="5"/>
  <c r="AZ248" i="5"/>
  <c r="AY248" i="5"/>
  <c r="AX248" i="5"/>
  <c r="AZ247" i="5"/>
  <c r="AY247" i="5"/>
  <c r="AX247" i="5"/>
  <c r="AZ246" i="5"/>
  <c r="AY246" i="5"/>
  <c r="AX246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4" i="5"/>
  <c r="AY244" i="5"/>
  <c r="AX244" i="5"/>
  <c r="AZ287" i="5"/>
  <c r="AY287" i="5"/>
  <c r="AX287" i="5"/>
  <c r="AZ179" i="5"/>
  <c r="AY179" i="5"/>
  <c r="AX179" i="5"/>
  <c r="AY176" i="5"/>
  <c r="AZ286" i="5"/>
  <c r="AY286" i="5"/>
  <c r="AX286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9" i="5"/>
  <c r="AY269" i="5"/>
  <c r="AX269" i="5"/>
  <c r="AZ76" i="5"/>
  <c r="AY76" i="5"/>
  <c r="AX76" i="5"/>
  <c r="AZ74" i="5"/>
  <c r="AY74" i="5"/>
  <c r="AX74" i="5"/>
  <c r="AZ8" i="5"/>
  <c r="AY8" i="5"/>
  <c r="AX8" i="5"/>
  <c r="AZ258" i="5"/>
  <c r="AY258" i="5"/>
  <c r="AX258" i="5"/>
  <c r="AZ211" i="5"/>
  <c r="AY211" i="5"/>
  <c r="AX211" i="5"/>
  <c r="AZ282" i="5"/>
  <c r="AY282" i="5"/>
  <c r="AX282" i="5"/>
  <c r="AZ18" i="5"/>
  <c r="AY18" i="5"/>
  <c r="AX18" i="5"/>
  <c r="AZ17" i="5"/>
  <c r="AY17" i="5"/>
  <c r="AX17" i="5"/>
  <c r="AZ16" i="5"/>
  <c r="AY16" i="5"/>
  <c r="AX16" i="5"/>
  <c r="AZ280" i="5"/>
  <c r="AY280" i="5"/>
  <c r="AX280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6" i="5"/>
  <c r="AY296" i="5"/>
  <c r="AX296" i="5"/>
  <c r="AZ295" i="5"/>
  <c r="AY295" i="5"/>
  <c r="AX295" i="5"/>
  <c r="AZ292" i="5"/>
  <c r="AY292" i="5"/>
  <c r="AX292" i="5"/>
  <c r="AZ288" i="5"/>
  <c r="AY288" i="5"/>
  <c r="AX288" i="5"/>
  <c r="AZ195" i="5"/>
  <c r="AY195" i="5"/>
  <c r="AX195" i="5"/>
  <c r="AZ283" i="5"/>
  <c r="AY283" i="5"/>
  <c r="AX283" i="5"/>
  <c r="AZ281" i="5"/>
  <c r="AY281" i="5"/>
  <c r="AX281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3" i="5"/>
  <c r="AY293" i="5"/>
  <c r="AX293" i="5"/>
  <c r="AZ290" i="5"/>
  <c r="AY290" i="5"/>
  <c r="AX290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2" i="5"/>
  <c r="AY252" i="5"/>
  <c r="AX252" i="5"/>
  <c r="AZ245" i="5"/>
  <c r="AY245" i="5"/>
  <c r="AX245" i="5"/>
  <c r="AZ243" i="5"/>
  <c r="AY243" i="5"/>
  <c r="AX243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9" i="5"/>
  <c r="AY289" i="5"/>
  <c r="AX289" i="5"/>
  <c r="AZ285" i="5"/>
  <c r="AY285" i="5"/>
  <c r="AX285" i="5"/>
  <c r="AZ284" i="5"/>
  <c r="AY284" i="5"/>
  <c r="AX284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8" i="5"/>
  <c r="AY268" i="5"/>
  <c r="AX268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2" i="5"/>
  <c r="AY262" i="5"/>
  <c r="AX262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1" i="5"/>
  <c r="AY261" i="5"/>
  <c r="AX261" i="5"/>
  <c r="AZ86" i="5"/>
  <c r="AY86" i="5"/>
  <c r="AX86" i="5"/>
  <c r="AZ260" i="5"/>
  <c r="AY260" i="5"/>
  <c r="AX260" i="5"/>
  <c r="AZ259" i="5"/>
  <c r="AY259" i="5"/>
  <c r="AX259" i="5"/>
  <c r="AZ84" i="5"/>
  <c r="AY84" i="5"/>
  <c r="AX84" i="5"/>
  <c r="AZ83" i="5"/>
  <c r="AY83" i="5"/>
  <c r="AX83" i="5"/>
  <c r="AZ267" i="5"/>
  <c r="AY267" i="5"/>
  <c r="AX267" i="5"/>
  <c r="AZ81" i="5"/>
  <c r="AY81" i="5"/>
  <c r="AX81" i="5"/>
  <c r="AZ266" i="5"/>
  <c r="AY266" i="5"/>
  <c r="AX266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8" i="5"/>
  <c r="AY298" i="5"/>
  <c r="AX298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70" i="5"/>
  <c r="AY270" i="5"/>
  <c r="AX270" i="5"/>
  <c r="AZ104" i="5"/>
  <c r="AY104" i="5"/>
  <c r="AX104" i="5"/>
  <c r="AZ253" i="5"/>
  <c r="AY253" i="5"/>
  <c r="AX253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3" i="5"/>
  <c r="AY273" i="5"/>
  <c r="AX273" i="5"/>
  <c r="AZ12" i="5"/>
  <c r="AY12" i="5"/>
  <c r="AX12" i="5"/>
  <c r="AZ89" i="5"/>
  <c r="AY89" i="5"/>
  <c r="AX89" i="5"/>
  <c r="AZ78" i="5"/>
  <c r="AY78" i="5"/>
  <c r="AX78" i="5"/>
  <c r="AZ265" i="5"/>
  <c r="AY265" i="5"/>
  <c r="AX265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4" i="5"/>
  <c r="AY264" i="5"/>
  <c r="AX264" i="5"/>
  <c r="AZ241" i="5"/>
  <c r="AY241" i="5"/>
  <c r="AX241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50" i="5"/>
  <c r="AY250" i="5"/>
  <c r="AX250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2" i="4"/>
  <c r="J27" i="3"/>
  <c r="J20" i="3"/>
  <c r="J34" i="3"/>
  <c r="J41" i="3"/>
  <c r="BA2" i="5"/>
  <c r="BA292" i="5"/>
  <c r="BA271" i="5"/>
  <c r="BA192" i="5"/>
  <c r="BA120" i="5"/>
  <c r="BA122" i="5"/>
  <c r="BA121" i="5"/>
  <c r="BA274" i="5"/>
  <c r="BA119" i="5"/>
  <c r="BA63" i="5"/>
  <c r="BA64" i="5"/>
  <c r="BA279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3" i="5"/>
  <c r="BA150" i="5"/>
  <c r="BA144" i="5"/>
  <c r="BA269" i="5"/>
  <c r="BA236" i="5"/>
  <c r="BA281" i="5"/>
  <c r="BA44" i="5"/>
  <c r="BA286" i="5"/>
  <c r="BA68" i="5"/>
  <c r="BA231" i="5"/>
  <c r="BA49" i="5"/>
  <c r="BA111" i="5"/>
  <c r="BA228" i="5"/>
  <c r="BA293" i="5"/>
  <c r="BA160" i="5"/>
  <c r="BA43" i="5"/>
  <c r="BA34" i="5"/>
  <c r="BA282" i="5"/>
  <c r="BA45" i="5"/>
  <c r="BA222" i="5"/>
  <c r="BA195" i="5"/>
  <c r="BA287" i="5"/>
  <c r="BA3" i="5"/>
  <c r="BA37" i="5"/>
  <c r="BA272" i="5"/>
  <c r="BA125" i="5"/>
  <c r="BA7" i="5"/>
  <c r="BA33" i="5"/>
  <c r="BA280" i="5"/>
  <c r="BA297" i="5"/>
  <c r="BA249" i="5"/>
  <c r="BA277" i="5"/>
  <c r="BA165" i="5"/>
  <c r="BA233" i="5"/>
  <c r="BA199" i="5"/>
  <c r="BA112" i="5"/>
  <c r="BA250" i="5"/>
  <c r="BA237" i="5"/>
  <c r="BA46" i="5"/>
  <c r="BA145" i="5"/>
  <c r="BA90" i="5"/>
  <c r="BA163" i="5"/>
  <c r="BA35" i="5"/>
  <c r="BA168" i="5"/>
  <c r="BA54" i="5"/>
  <c r="BA268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8" i="5"/>
  <c r="BA32" i="5"/>
  <c r="BA174" i="5"/>
  <c r="BA213" i="5"/>
  <c r="BA30" i="5"/>
  <c r="BA232" i="5"/>
  <c r="BA157" i="5"/>
  <c r="BA71" i="5"/>
  <c r="BA204" i="5"/>
  <c r="BA205" i="5"/>
  <c r="BA92" i="5"/>
  <c r="BA294" i="5"/>
  <c r="BA91" i="5"/>
  <c r="BA238" i="5"/>
  <c r="BA298" i="5"/>
  <c r="BA18" i="5"/>
  <c r="BA109" i="5"/>
  <c r="BA133" i="5"/>
  <c r="BA80" i="5"/>
  <c r="BA212" i="5"/>
  <c r="BA99" i="5"/>
  <c r="BA113" i="5"/>
  <c r="BA259" i="5"/>
  <c r="BA189" i="5"/>
  <c r="BA75" i="5"/>
  <c r="BA289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90" i="5"/>
  <c r="BA83" i="5"/>
  <c r="BA81" i="5"/>
  <c r="BA115" i="5"/>
  <c r="BA262" i="5"/>
  <c r="BA202" i="5"/>
  <c r="BA201" i="5"/>
  <c r="BA16" i="5"/>
  <c r="BA198" i="5"/>
  <c r="BA214" i="5"/>
  <c r="BA218" i="5"/>
  <c r="BA260" i="5"/>
  <c r="BA261" i="5"/>
  <c r="BA182" i="5"/>
  <c r="BA267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5" i="5"/>
  <c r="BA210" i="5"/>
  <c r="BA128" i="5"/>
  <c r="BA185" i="5"/>
  <c r="BA107" i="5"/>
  <c r="BA106" i="5"/>
  <c r="BA13" i="5"/>
  <c r="BA278" i="5"/>
  <c r="BA78" i="5"/>
  <c r="BA21" i="5"/>
  <c r="BA276" i="5"/>
  <c r="BA156" i="5"/>
  <c r="BA57" i="5"/>
  <c r="BA58" i="5"/>
  <c r="BA266" i="5"/>
  <c r="BA77" i="5"/>
  <c r="BA229" i="5"/>
  <c r="BA11" i="5"/>
  <c r="BA155" i="5"/>
  <c r="BA251" i="5"/>
  <c r="BA110" i="5"/>
  <c r="BA79" i="5"/>
  <c r="BA252" i="5"/>
  <c r="BA134" i="5"/>
  <c r="BA215" i="5"/>
  <c r="BA273" i="5"/>
  <c r="BA265" i="5"/>
  <c r="BA147" i="5"/>
  <c r="BA10" i="5"/>
  <c r="BA22" i="5"/>
  <c r="BA173" i="5"/>
  <c r="BA132" i="5"/>
  <c r="BA217" i="5"/>
  <c r="BA114" i="5"/>
  <c r="BA253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5" i="5"/>
  <c r="BA248" i="5"/>
  <c r="BA60" i="5"/>
  <c r="BA255" i="5"/>
  <c r="BA243" i="5"/>
  <c r="BA270" i="5"/>
  <c r="BA241" i="5"/>
  <c r="BA221" i="5"/>
  <c r="BA138" i="5"/>
  <c r="BA183" i="5"/>
  <c r="BA8" i="5"/>
  <c r="BA123" i="5"/>
  <c r="BA391" i="5"/>
  <c r="BA118" i="5"/>
  <c r="BA209" i="5"/>
  <c r="BA246" i="5"/>
  <c r="BA244" i="5"/>
  <c r="BA242" i="5"/>
  <c r="BA397" i="5"/>
  <c r="BA225" i="5"/>
  <c r="BA27" i="5"/>
  <c r="BA256" i="5"/>
  <c r="BA124" i="5"/>
  <c r="BA149" i="5"/>
  <c r="BA129" i="5"/>
  <c r="BA137" i="5"/>
  <c r="BA245" i="5"/>
  <c r="BA179" i="5"/>
  <c r="BA247" i="5"/>
  <c r="BA257" i="5"/>
  <c r="BA264" i="5"/>
  <c r="BA140" i="5"/>
  <c r="BA154" i="5"/>
  <c r="BA411" i="5"/>
  <c r="BA52" i="5"/>
  <c r="BA142" i="5"/>
  <c r="BA408" i="5"/>
  <c r="BA176" i="5"/>
  <c r="BA148" i="5"/>
  <c r="BA152" i="5"/>
  <c r="BA413" i="5"/>
  <c r="BA404" i="5"/>
  <c r="BA402" i="5"/>
  <c r="BA401" i="5"/>
  <c r="BA396" i="5"/>
  <c r="BA394" i="5"/>
  <c r="BA389" i="5"/>
  <c r="BA50" i="5"/>
  <c r="BA258" i="5"/>
  <c r="BA153" i="5"/>
  <c r="BA398" i="5"/>
  <c r="BA59" i="5"/>
  <c r="BA56" i="5"/>
  <c r="BA399" i="5"/>
  <c r="BA53" i="5"/>
  <c r="BA410" i="5"/>
  <c r="BA67" i="5"/>
  <c r="BA65" i="5"/>
  <c r="BA175" i="5"/>
  <c r="BA66" i="5"/>
  <c r="BA38" i="5"/>
  <c r="BA412" i="5"/>
  <c r="BA400" i="5"/>
  <c r="BA39" i="5"/>
  <c r="BA40" i="5"/>
  <c r="BA41" i="5"/>
  <c r="BA102" i="5"/>
  <c r="BA291" i="5"/>
  <c r="BA284" i="5"/>
  <c r="BA61" i="5"/>
  <c r="BA406" i="5"/>
  <c r="BA407" i="5"/>
  <c r="BA390" i="5"/>
  <c r="BA47" i="5"/>
  <c r="BA177" i="5"/>
  <c r="BA42" i="5"/>
  <c r="BA188" i="5"/>
  <c r="BA97" i="5"/>
  <c r="BA161" i="5"/>
  <c r="BA405" i="5"/>
  <c r="BA403" i="5"/>
  <c r="BA393" i="5"/>
  <c r="BA409" i="5"/>
  <c r="BA254" i="5"/>
  <c r="BA263" i="5"/>
  <c r="BA285" i="5"/>
  <c r="Y179" i="4"/>
  <c r="Y190" i="4"/>
  <c r="Y200" i="4"/>
  <c r="Y201" i="4"/>
  <c r="X2" i="12"/>
  <c r="S2" i="12"/>
  <c r="T2" i="12"/>
  <c r="X49" i="4"/>
  <c r="X50" i="4"/>
  <c r="X69" i="4"/>
  <c r="X51" i="4"/>
  <c r="X2" i="4"/>
  <c r="X159" i="4"/>
  <c r="X40" i="4"/>
  <c r="X203" i="4"/>
  <c r="X63" i="4"/>
  <c r="X61" i="4"/>
  <c r="X38" i="4"/>
  <c r="W2" i="12"/>
  <c r="Z179" i="4"/>
  <c r="Z190" i="4"/>
  <c r="Z200" i="4"/>
  <c r="Z201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6" name="xtal_templates4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7" name="xtal_templates5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8" name="xtal_templates6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<sst xmlns="http://schemas.openxmlformats.org/spreadsheetml/2006/main" count="16178" uniqueCount="1637">
  <si>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</si>
  <si>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</si>
  <si>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</si>
  <si>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</si>
  <si>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</si>
  <si>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</si>
  <si>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</si>
  <si>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</si>
  <si>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</si>
  <si>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</si>
  <si>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</si>
  <si>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</si>
  <si>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</si>
  <si>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</si>
  <si>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</si>
  <si>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</si>
  <si>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</si>
  <si>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</si>
  <si>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</si>
  <si>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</si>
  <si>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</si>
  <si>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</si>
  <si>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</si>
  <si>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</si>
  <si>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</si>
  <si>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</si>
  <si>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</si>
  <si>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</si>
  <si>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</si>
  <si>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</si>
  <si>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</si>
  <si>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</si>
  <si>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</si>
  <si>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</si>
  <si>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</si>
  <si>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</si>
  <si>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</si>
  <si>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</si>
  <si>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</si>
  <si>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</si>
  <si>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</si>
  <si>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</si>
  <si>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</si>
  <si>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</si>
  <si>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</si>
  <si>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</si>
  <si>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</si>
  <si>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</si>
  <si>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</si>
  <si>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</si>
  <si>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</si>
  <si>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</si>
  <si>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</si>
  <si>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</si>
  <si>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</si>
  <si>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</si>
  <si>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</si>
  <si>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</si>
  <si>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</si>
  <si>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</si>
  <si>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</si>
  <si>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</si>
  <si>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</si>
  <si>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</si>
  <si>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</si>
  <si>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</si>
  <si>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</si>
  <si>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</si>
  <si>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</si>
  <si>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</si>
  <si>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</si>
  <si>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</si>
  <si>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</si>
  <si>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</si>
  <si>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</si>
  <si>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</si>
  <si>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</si>
  <si>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</si>
  <si>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</si>
  <si>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</si>
  <si>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</si>
  <si>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</si>
  <si>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</si>
  <si>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</si>
  <si>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</si>
  <si>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</si>
  <si>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</si>
  <si>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</si>
  <si>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</si>
  <si>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</si>
  <si>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</si>
  <si>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</si>
  <si>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</si>
  <si>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</si>
  <si>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</si>
  <si>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</si>
  <si>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</si>
  <si>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</si>
  <si>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</si>
  <si>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</si>
  <si>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</si>
  <si>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</si>
  <si>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</si>
  <si>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</si>
  <si>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</si>
  <si>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</si>
  <si>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</si>
  <si>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</si>
  <si>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</si>
  <si>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</si>
  <si>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</si>
  <si>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</si>
  <si>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</si>
  <si>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</si>
  <si>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</si>
  <si>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</si>
  <si>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</si>
  <si>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</si>
  <si>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</si>
  <si>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</si>
  <si>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</si>
  <si>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</si>
  <si>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</si>
  <si>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</si>
  <si>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</si>
  <si>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</si>
  <si>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</si>
  <si>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</si>
  <si>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</si>
  <si>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</si>
  <si>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</si>
  <si>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</si>
  <si>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</si>
  <si>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</si>
  <si>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</si>
  <si>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</si>
  <si>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</si>
  <si>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</si>
  <si>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</si>
  <si>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</si>
  <si>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</si>
  <si>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</si>
  <si>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</si>
  <si>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</si>
  <si>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</si>
  <si>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</si>
  <si>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</si>
  <si>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</si>
  <si>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</si>
  <si>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</si>
  <si>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</si>
  <si>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</si>
  <si>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</si>
  <si>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</si>
  <si>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</si>
  <si>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</si>
  <si>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</si>
  <si>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</si>
  <si>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</si>
  <si>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</si>
  <si>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</si>
  <si>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</si>
  <si>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</si>
  <si>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</si>
  <si>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</si>
  <si>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</si>
  <si>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</si>
  <si>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</si>
  <si>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</si>
  <si>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</si>
  <si>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</si>
  <si>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</si>
  <si>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</si>
  <si>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</si>
  <si>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</si>
  <si>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</si>
  <si>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</si>
  <si>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</si>
  <si>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</si>
  <si>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</si>
  <si>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</si>
  <si>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</si>
  <si>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</si>
  <si>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</si>
  <si>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</si>
  <si>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</si>
  <si>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</si>
  <si>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</si>
  <si>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</si>
  <si>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</si>
  <si>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</si>
  <si>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</si>
  <si>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</si>
  <si>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</si>
  <si>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</si>
  <si>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</si>
  <si>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</si>
  <si>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</si>
  <si>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</si>
  <si>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</si>
  <si>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</si>
  <si>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</si>
  <si>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</si>
  <si>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</si>
  <si>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</si>
  <si>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</si>
  <si>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</si>
  <si>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</si>
  <si>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</si>
  <si>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</si>
  <si>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</si>
  <si>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</si>
  <si>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</si>
  <si>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</si>
  <si>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</si>
  <si>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</si>
  <si>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</si>
  <si>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</si>
  <si>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</si>
  <si>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</si>
  <si>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</si>
  <si>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</si>
  <si>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</si>
  <si>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</si>
  <si>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</si>
  <si>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</si>
  <si>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</si>
  <si>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</si>
  <si>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</si>
  <si>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</si>
  <si>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</si>
  <si>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</si>
  <si>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</si>
  <si>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</si>
  <si>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</si>
  <si>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</si>
  <si>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</si>
  <si>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</si>
  <si>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</si>
  <si>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</si>
  <si>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</si>
  <si>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</si>
  <si>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</si>
  <si>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</si>
  <si>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</si>
  <si>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</si>
  <si>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</si>
  <si>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</si>
  <si>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</si>
  <si>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</si>
  <si>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</si>
  <si>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</si>
  <si>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</si>
  <si>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</si>
  <si>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</si>
  <si>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</si>
  <si>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</si>
  <si>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</si>
  <si>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</si>
  <si>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</si>
  <si>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</si>
  <si>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</si>
  <si>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</si>
  <si>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</si>
  <si>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</si>
  <si>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</si>
  <si>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</si>
  <si>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</si>
  <si>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</si>
  <si>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</si>
  <si>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</si>
  <si>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</si>
  <si>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</si>
  <si>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</si>
  <si>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</si>
  <si>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</si>
  <si>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</si>
  <si>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</si>
  <si>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</si>
  <si>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</si>
  <si>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</si>
  <si>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</si>
  <si>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</si>
  <si>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</si>
  <si>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</si>
  <si>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</si>
  <si>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</si>
  <si>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</si>
  <si>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</si>
  <si>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</si>
  <si>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</si>
  <si>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</si>
  <si>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</si>
  <si>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</si>
  <si>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</si>
  <si>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</si>
  <si>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</si>
  <si>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</si>
  <si>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</si>
  <si>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</si>
  <si>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</si>
  <si>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</si>
  <si>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</si>
  <si>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</si>
  <si>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</si>
  <si>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</si>
  <si>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</si>
  <si>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</si>
  <si>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</si>
  <si>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</si>
  <si>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</si>
  <si>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</si>
  <si>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</si>
  <si>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</si>
  <si>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</si>
  <si>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</si>
  <si>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</si>
  <si>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</si>
  <si>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</si>
  <si>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</si>
  <si>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</si>
  <si>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</si>
  <si>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</si>
  <si>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</si>
  <si>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</si>
  <si>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</si>
  <si>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</si>
  <si>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</si>
  <si>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</si>
  <si>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</si>
  <si>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</si>
  <si>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</si>
  <si>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</si>
  <si>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</si>
  <si>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</si>
  <si>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</si>
  <si>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</si>
  <si>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</si>
  <si>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</si>
  <si>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</si>
  <si>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</si>
  <si>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</si>
  <si>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</si>
  <si>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</si>
  <si>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</si>
  <si>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</si>
  <si>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</si>
  <si>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</si>
  <si>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</si>
  <si>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</si>
  <si>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</si>
  <si>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</si>
  <si>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</si>
  <si>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</si>
  <si>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</si>
  <si>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</si>
  <si>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</si>
  <si>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</si>
  <si>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</si>
  <si>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</si>
  <si>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</si>
  <si>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</si>
  <si>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</si>
  <si>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</si>
  <si>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</si>
  <si>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</si>
  <si>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</si>
  <si>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</si>
  <si>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</si>
  <si>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</si>
  <si>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</si>
  <si>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</si>
  <si>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</si>
  <si>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</si>
  <si>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</si>
  <si>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</si>
  <si>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</si>
  <si>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</si>
  <si>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</si>
  <si>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</si>
  <si>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</si>
  <si>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</si>
  <si>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</si>
  <si>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</si>
  <si>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</si>
  <si>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</si>
  <si>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</si>
  <si>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</si>
  <si>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</si>
  <si>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</si>
  <si>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</si>
  <si>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</si>
  <si>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</si>
  <si>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</si>
  <si>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</si>
  <si>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</si>
  <si>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</si>
  <si>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</si>
  <si>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</si>
  <si>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</si>
  <si>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</si>
  <si>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</si>
  <si>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</si>
  <si>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</si>
  <si>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</si>
  <si>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</si>
  <si>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</si>
  <si>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</si>
  <si>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</si>
  <si>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</si>
  <si>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</si>
  <si>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</si>
  <si>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</si>
  <si>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</si>
  <si>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</si>
  <si>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</si>
  <si>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</si>
  <si>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</si>
  <si>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</si>
  <si>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</si>
  <si>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</si>
  <si>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</si>
  <si>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</si>
  <si>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</si>
  <si>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</si>
  <si>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</si>
  <si>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</si>
  <si>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</si>
  <si>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</si>
  <si>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</si>
  <si>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</si>
  <si>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</si>
  <si>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</si>
  <si>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</si>
  <si>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</si>
  <si>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</si>
  <si>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</si>
  <si>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</si>
  <si>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</si>
  <si>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</si>
  <si>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</si>
  <si>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</si>
  <si>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</si>
  <si>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</si>
  <si>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</si>
  <si>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</si>
  <si>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</si>
  <si>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</si>
  <si>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</si>
  <si>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</si>
  <si>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</si>
  <si>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</si>
  <si>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</si>
  <si>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</si>
  <si>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</si>
  <si>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</si>
  <si>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</si>
  <si>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</si>
  <si>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</si>
  <si>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</si>
  <si>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</si>
  <si>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</si>
  <si>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</si>
  <si>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</si>
  <si>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</si>
  <si>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</si>
  <si>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</si>
  <si>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</si>
  <si>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</si>
  <si>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</si>
  <si>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</si>
  <si>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</si>
  <si>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</si>
  <si>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</si>
  <si>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</si>
  <si>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</si>
  <si>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</si>
  <si>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</si>
  <si>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</si>
  <si>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</si>
  <si>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</si>
  <si>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</si>
  <si>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</si>
  <si>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</si>
  <si>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</si>
  <si>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</si>
  <si>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</si>
  <si>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</si>
  <si>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</si>
  <si>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</si>
  <si>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</si>
  <si>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</si>
  <si>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</si>
  <si>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</si>
  <si>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</si>
  <si>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</si>
  <si>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</si>
  <si>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</si>
  <si>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</si>
  <si>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</si>
  <si>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</si>
  <si>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</si>
  <si>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</si>
  <si>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</si>
  <si>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</si>
  <si>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</si>
  <si>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</si>
  <si>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</si>
  <si>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</si>
  <si>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</si>
  <si>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</si>
  <si>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</si>
  <si>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</si>
  <si>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</si>
  <si>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</si>
  <si>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</si>
  <si>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</si>
  <si>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</si>
  <si>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</si>
  <si>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</si>
  <si>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</si>
  <si>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</si>
  <si>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</si>
  <si>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</si>
  <si>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</si>
  <si>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</si>
  <si>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</si>
  <si>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</si>
  <si>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</si>
  <si>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</si>
  <si>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</si>
  <si>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</si>
  <si>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</si>
  <si>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</si>
  <si>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</si>
  <si>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</si>
  <si>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</si>
  <si>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</si>
  <si>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</si>
  <si>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</si>
  <si>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</si>
  <si>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</si>
  <si>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</si>
  <si>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</si>
  <si>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</si>
  <si>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</si>
  <si>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</si>
  <si>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</si>
  <si>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</si>
  <si>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</si>
  <si>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</si>
  <si>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</si>
  <si>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</si>
  <si>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</si>
  <si>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</si>
  <si>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</si>
  <si>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</si>
  <si>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</si>
  <si>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</si>
  <si>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</si>
  <si>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</si>
  <si>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</si>
  <si>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</si>
  <si>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</si>
  <si>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</si>
  <si>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</si>
  <si>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</si>
  <si>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</si>
  <si>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</si>
  <si>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</si>
  <si>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</si>
  <si>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</si>
  <si>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</si>
  <si>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</si>
  <si>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</si>
  <si>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</si>
  <si>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</si>
  <si>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</si>
  <si>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</si>
  <si>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</si>
  <si>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</si>
  <si>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</si>
  <si>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</si>
  <si>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</si>
  <si>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</si>
  <si>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</si>
  <si>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</si>
  <si>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</si>
  <si>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</si>
  <si>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</si>
  <si>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</si>
  <si>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</si>
  <si>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</si>
  <si>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</si>
  <si>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</si>
  <si>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</si>
  <si>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</si>
  <si>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</si>
  <si>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</si>
  <si>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</si>
  <si>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</si>
  <si>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</si>
  <si>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</si>
  <si>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</si>
  <si>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</si>
  <si>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</si>
  <si>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</si>
  <si>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</si>
  <si>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</si>
  <si>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</si>
  <si>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</si>
  <si>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</si>
  <si>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</si>
  <si>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</si>
  <si>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</si>
  <si>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</si>
  <si>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</si>
  <si>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</si>
  <si>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</si>
  <si>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</si>
  <si>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</si>
  <si>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</si>
  <si>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</si>
  <si>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</si>
  <si>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</si>
  <si>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</si>
  <si>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</si>
  <si>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</si>
  <si>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</si>
  <si>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</si>
  <si>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</si>
  <si>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</si>
  <si>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</si>
  <si>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</si>
  <si>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</si>
  <si>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</si>
  <si>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</si>
  <si>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</si>
  <si>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</si>
  <si>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</si>
  <si>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</si>
  <si>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</si>
  <si>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</si>
  <si>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</si>
  <si>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</si>
  <si>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</si>
  <si>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</si>
  <si>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</si>
  <si>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</si>
  <si>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</si>
  <si>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</si>
  <si>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</si>
  <si>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</si>
  <si>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</si>
  <si>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</si>
  <si>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</si>
  <si>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</si>
  <si>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</si>
  <si>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</si>
  <si>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</si>
  <si>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</si>
  <si>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</si>
  <si>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</si>
  <si>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</si>
  <si>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</si>
  <si>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</si>
  <si>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</si>
  <si>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</si>
  <si>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</si>
  <si>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</si>
  <si>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</si>
  <si>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</si>
  <si>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</si>
  <si>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</si>
  <si>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</si>
  <si>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</si>
  <si>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</si>
  <si>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</si>
  <si>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</si>
  <si>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</si>
  <si>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</si>
  <si>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</si>
  <si>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</si>
  <si>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</si>
  <si>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</si>
  <si>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</si>
  <si>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</si>
  <si>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</si>
  <si>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</si>
  <si>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</si>
  <si>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</si>
  <si>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</si>
  <si>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</si>
  <si>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</si>
  <si>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</si>
  <si>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</si>
  <si>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</si>
  <si>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</si>
  <si>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</si>
  <si>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</si>
  <si>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</si>
  <si>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</si>
  <si>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</si>
  <si>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</si>
  <si>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</si>
  <si>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</si>
  <si>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</si>
  <si>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</si>
  <si>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</si>
  <si>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</si>
  <si>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</si>
  <si>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</si>
  <si>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</si>
  <si>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</si>
  <si>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</si>
  <si>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</si>
  <si>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</si>
  <si>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</si>
  <si>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</si>
  <si>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</si>
  <si>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</si>
  <si>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</si>
  <si>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</si>
  <si>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</si>
  <si>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</si>
  <si>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</si>
  <si>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</si>
  <si>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</si>
  <si>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</si>
  <si>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</si>
  <si>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</si>
  <si>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</si>
  <si>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</si>
  <si>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</si>
  <si>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</si>
  <si>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</si>
  <si>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</si>
  <si>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</si>
  <si>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</si>
  <si>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</si>
  <si>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</si>
  <si>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</si>
  <si>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</si>
  <si>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</si>
  <si>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</si>
  <si>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</si>
  <si>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</si>
  <si>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</si>
  <si>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</si>
  <si>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</si>
  <si>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</si>
  <si>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</si>
  <si>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</si>
  <si>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</si>
  <si>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</si>
  <si>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</si>
  <si>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</si>
  <si>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</si>
  <si>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</si>
  <si>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</si>
  <si>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</si>
  <si>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</si>
  <si>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</si>
  <si>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</si>
  <si>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</si>
  <si>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</si>
  <si>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</si>
  <si>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</si>
  <si>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</si>
  <si>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</si>
  <si>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</si>
  <si>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</si>
  <si>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</si>
  <si>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</si>
  <si>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</si>
  <si>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</si>
  <si>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</si>
  <si>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</si>
  <si>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</si>
  <si>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</si>
  <si>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</si>
  <si>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</si>
  <si>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</si>
  <si>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</si>
  <si>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</si>
  <si>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</si>
  <si>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</si>
  <si>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</si>
  <si>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</si>
  <si>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</si>
  <si>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</si>
  <si>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</si>
  <si>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</si>
  <si>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</si>
  <si>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</si>
  <si>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</si>
  <si>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</si>
  <si>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</si>
  <si>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</si>
  <si>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</si>
  <si>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</si>
  <si>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</si>
  <si>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</si>
  <si>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</si>
  <si>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</si>
  <si>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</si>
  <si>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</si>
  <si>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</si>
  <si>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</si>
  <si>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</si>
  <si>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</si>
  <si>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</si>
  <si>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</si>
  <si>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</si>
  <si>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</si>
  <si>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</si>
  <si>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</si>
  <si>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</si>
  <si>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</si>
  <si>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</si>
  <si>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</si>
  <si>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</si>
  <si>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</si>
  <si>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</si>
  <si>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</si>
  <si>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</si>
  <si>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</si>
  <si>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</si>
  <si>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</si>
  <si>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</si>
  <si>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</si>
  <si>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</si>
  <si>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</si>
  <si>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</si>
  <si>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</si>
  <si>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</si>
  <si>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</si>
  <si>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</si>
  <si>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</si>
  <si>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</si>
  <si>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</si>
  <si>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</si>
  <si>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</si>
  <si>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</si>
  <si>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</si>
  <si>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</si>
  <si>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</si>
  <si>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</si>
  <si>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</si>
  <si>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</si>
  <si>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</si>
  <si>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</si>
  <si>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</si>
  <si>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</si>
  <si>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</si>
  <si>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</si>
  <si>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</si>
  <si>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</si>
  <si>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</si>
  <si>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</si>
  <si>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</si>
  <si>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</si>
  <si>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</si>
  <si>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</si>
  <si>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</si>
  <si>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</si>
  <si>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</si>
  <si>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</si>
  <si>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</si>
  <si>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</si>
  <si>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</si>
  <si>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</si>
  <si>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</si>
  <si>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</si>
  <si>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</si>
  <si>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</si>
  <si>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</si>
  <si>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</si>
  <si>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</si>
  <si>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</si>
  <si>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</si>
  <si>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</si>
  <si>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</si>
  <si>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</si>
  <si>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</si>
  <si>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</si>
  <si>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</si>
  <si>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</si>
  <si>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</si>
  <si>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</si>
  <si>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</si>
  <si>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</si>
  <si>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</si>
  <si>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</si>
  <si>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</si>
  <si>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</si>
  <si>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</si>
  <si>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</si>
  <si>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</si>
  <si>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</si>
  <si>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</si>
  <si>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</si>
  <si>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</si>
  <si>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</si>
  <si>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</si>
  <si>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</si>
  <si>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</si>
  <si>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</si>
  <si>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</si>
  <si>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</si>
  <si>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</si>
  <si>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</si>
  <si>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</si>
  <si>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</si>
  <si>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</si>
  <si>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</si>
  <si>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</si>
  <si>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</si>
  <si>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</si>
  <si>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</si>
  <si>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</si>
  <si>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</si>
  <si>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</si>
  <si>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</si>
  <si>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</si>
  <si>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</si>
  <si>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</si>
  <si>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</si>
  <si>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</si>
  <si>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</si>
  <si>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</si>
  <si>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</si>
  <si>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</si>
  <si>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</si>
  <si>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</si>
  <si>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</si>
  <si>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</si>
  <si>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</si>
  <si>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</si>
  <si>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</si>
  <si>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</si>
  <si>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</si>
  <si>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</si>
  <si>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</si>
  <si>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</si>
  <si>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</si>
  <si>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</si>
  <si>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</si>
  <si>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</si>
  <si>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</si>
  <si>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</si>
  <si>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</si>
  <si>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</si>
  <si>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</si>
  <si>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</si>
  <si>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</si>
  <si>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</si>
  <si>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</si>
  <si>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</si>
  <si>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</si>
  <si>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</si>
  <si>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</si>
  <si>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</si>
  <si>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</si>
  <si>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</si>
  <si>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</si>
  <si>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</si>
  <si>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</si>
  <si>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</si>
  <si>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</si>
  <si>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</si>
  <si>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</si>
  <si>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</si>
  <si>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</si>
  <si>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</si>
  <si>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</si>
  <si>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</si>
  <si>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</si>
  <si>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</si>
  <si>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</si>
  <si>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</si>
  <si>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</si>
  <si>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</si>
  <si>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</si>
  <si>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</si>
  <si>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</si>
  <si>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</si>
  <si>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</si>
  <si>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</si>
  <si>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</si>
  <si>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</si>
  <si>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</si>
  <si>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</si>
  <si>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</si>
  <si>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</si>
  <si>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</si>
  <si>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</si>
  <si>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</si>
  <si>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</si>
  <si>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</si>
  <si>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</si>
  <si>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</si>
  <si>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</si>
  <si>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</si>
  <si>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</si>
  <si>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</si>
  <si>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</si>
  <si>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</si>
  <si>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</si>
  <si>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</si>
  <si>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</si>
  <si>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</si>
  <si>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</si>
  <si>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</si>
  <si>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</si>
  <si>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</si>
  <si>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</si>
  <si>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</si>
  <si>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</si>
  <si>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</si>
  <si>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</si>
  <si>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</si>
  <si>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</si>
  <si>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</si>
  <si>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</si>
  <si>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</si>
  <si>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</si>
  <si>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</si>
  <si>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</si>
  <si>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</si>
  <si>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</si>
  <si>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</si>
  <si>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</si>
  <si>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</si>
  <si>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</si>
  <si>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</si>
  <si>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</si>
  <si>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</si>
  <si>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</si>
  <si>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</si>
  <si>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</si>
  <si>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</si>
  <si>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</si>
  <si>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</si>
  <si>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</si>
  <si>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</si>
  <si>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</si>
  <si>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</si>
  <si>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</si>
  <si>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</si>
  <si>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</si>
  <si>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</si>
  <si>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</si>
  <si>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</si>
  <si>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</si>
  <si>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</si>
  <si>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</si>
  <si>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</si>
  <si>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</si>
  <si>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</si>
  <si>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</si>
  <si>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</si>
  <si>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</si>
  <si>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</si>
  <si>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</si>
  <si>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</si>
  <si>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</si>
  <si>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</si>
  <si>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</si>
  <si>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</si>
  <si>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</si>
  <si>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</si>
  <si>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</si>
  <si>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</si>
  <si>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</si>
  <si>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</si>
  <si>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</si>
  <si>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</si>
  <si>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</si>
  <si>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</si>
  <si>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</si>
  <si>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</si>
  <si>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</si>
  <si>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</si>
  <si>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</si>
  <si>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</si>
  <si>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</si>
  <si>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</si>
  <si>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</si>
  <si>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</si>
  <si>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</si>
  <si>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</si>
  <si>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</si>
  <si>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</si>
  <si>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</si>
  <si>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</si>
  <si>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</si>
  <si>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</si>
  <si>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</si>
  <si>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</si>
  <si>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</si>
  <si>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</si>
  <si>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</si>
  <si>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</si>
  <si>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</si>
  <si>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</si>
  <si>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</si>
  <si>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</si>
  <si>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</si>
  <si>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</si>
  <si>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</si>
  <si>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</si>
  <si>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</si>
  <si>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</si>
  <si>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</si>
  <si>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</si>
  <si>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</si>
  <si>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</si>
  <si>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</si>
  <si>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</si>
  <si>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</si>
  <si>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</si>
  <si>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</si>
  <si>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</si>
  <si>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</si>
  <si>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</si>
  <si>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</si>
  <si>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</si>
  <si>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</si>
  <si>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</si>
  <si>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</si>
  <si>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</si>
  <si>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</si>
  <si>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</si>
  <si>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</si>
  <si>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</si>
  <si>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</si>
  <si>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</si>
  <si>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</si>
  <si>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</si>
  <si>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</si>
  <si>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</si>
  <si>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</si>
  <si>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</si>
  <si>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</si>
  <si>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</si>
  <si>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</si>
  <si>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</si>
  <si>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</si>
  <si>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</si>
  <si>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</si>
  <si>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</si>
  <si>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</si>
  <si>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</si>
  <si>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</si>
  <si>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</si>
  <si>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</si>
  <si>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</si>
  <si>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</si>
  <si>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</si>
  <si>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</si>
  <si>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</si>
  <si>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</si>
  <si>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</si>
  <si>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</si>
  <si>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</si>
  <si>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</si>
  <si>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</si>
  <si>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</si>
  <si>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</si>
  <si>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</si>
  <si>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</si>
  <si>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</si>
  <si>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</si>
  <si>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</si>
  <si>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</si>
  <si>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</si>
  <si>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</si>
  <si>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</si>
  <si>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</si>
  <si>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</si>
  <si>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</si>
  <si>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</si>
  <si>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</si>
  <si>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</si>
  <si>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</si>
  <si>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</si>
  <si>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</si>
  <si>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</si>
  <si>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</si>
  <si>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</si>
  <si>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</si>
  <si>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</si>
  <si>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</si>
  <si>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</si>
  <si>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</si>
  <si>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</si>
  <si>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</si>
  <si>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</si>
  <si>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</si>
  <si>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</si>
  <si>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</si>
  <si>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</si>
  <si>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</si>
  <si>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</si>
  <si>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</si>
  <si>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</si>
  <si>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</si>
  <si>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</si>
  <si>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</si>
  <si>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</si>
  <si>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</si>
  <si>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</si>
  <si>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</si>
  <si>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</si>
  <si>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</si>
  <si>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</si>
  <si>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</si>
  <si>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</si>
  <si>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</si>
  <si>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</si>
  <si>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</si>
  <si>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</si>
  <si>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</si>
  <si>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</si>
  <si>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</si>
  <si>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</si>
  <si>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</si>
  <si>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</si>
  <si>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</si>
  <si>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</si>
  <si>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</si>
  <si>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</si>
  <si>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</si>
  <si>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</si>
  <si>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</si>
  <si>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</si>
  <si>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</si>
  <si>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</si>
  <si>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</si>
  <si>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</si>
  <si>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</si>
  <si>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</si>
  <si>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</si>
  <si>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</si>
  <si>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</si>
  <si>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</si>
  <si>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</si>
  <si>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</si>
  <si>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</si>
  <si>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</si>
  <si>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</si>
  <si>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</si>
  <si>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</si>
  <si>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cxcr4_human__wt</t>
  </si>
  <si>
    <t>drd3_human__wt</t>
  </si>
  <si>
    <t>ffar1_human__wt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</si>
  <si>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</si>
  <si>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</si>
  <si>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</si>
  <si>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</si>
  <si>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</si>
  <si>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</si>
  <si>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</si>
  <si>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</si>
  <si>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</si>
  <si>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</si>
  <si>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</si>
  <si>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</si>
  <si>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</si>
  <si>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</si>
  <si>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</si>
  <si>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</si>
  <si>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</si>
  <si>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</si>
  <si>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</si>
  <si>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</si>
  <si>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</si>
  <si>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</si>
  <si>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</si>
  <si>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</si>
  <si>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</si>
  <si>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</si>
  <si>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</si>
  <si>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</si>
  <si>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</si>
  <si>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</si>
  <si>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</si>
  <si>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</si>
  <si>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</si>
  <si>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</si>
  <si>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</si>
  <si>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</si>
  <si>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</si>
  <si>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</si>
  <si>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</si>
  <si>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</si>
  <si>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</si>
  <si>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</si>
  <si>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</si>
  <si>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</si>
  <si>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</si>
  <si>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</si>
  <si>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</si>
  <si>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</si>
  <si>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</si>
  <si>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</si>
  <si>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</si>
  <si>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</si>
  <si>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</si>
  <si>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</si>
  <si>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</si>
  <si>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</si>
  <si>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</si>
  <si>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</si>
  <si>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</si>
  <si>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</si>
  <si>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</si>
  <si>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</si>
  <si>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</si>
  <si>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</si>
  <si>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</si>
  <si>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</si>
  <si>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</si>
  <si>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</si>
  <si>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</si>
  <si>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</si>
  <si>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</si>
  <si>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</si>
  <si>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</si>
  <si>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</si>
  <si>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</si>
  <si>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</si>
  <si>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</si>
  <si>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</si>
  <si>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</si>
  <si>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</si>
  <si>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</si>
  <si>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</si>
  <si>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</si>
  <si>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</si>
  <si>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</si>
  <si>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</si>
  <si>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</si>
  <si>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</si>
  <si>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</si>
  <si>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</si>
  <si>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</si>
  <si>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</si>
  <si>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</si>
  <si>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</si>
  <si>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</si>
  <si>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</si>
  <si>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</si>
  <si>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</si>
  <si>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</si>
  <si>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</si>
  <si>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</si>
  <si>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</si>
  <si>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</si>
  <si>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</si>
  <si>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</si>
  <si>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</si>
  <si>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</si>
  <si>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</si>
  <si>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</si>
  <si>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</si>
  <si>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</si>
  <si>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</si>
  <si>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</si>
  <si>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</si>
  <si>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</si>
  <si>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</si>
  <si>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</si>
  <si>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</si>
  <si>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</si>
  <si>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</si>
  <si>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</si>
  <si>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</si>
  <si>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</si>
  <si>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</si>
  <si>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</si>
  <si>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</si>
  <si>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</si>
  <si>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</si>
  <si>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</si>
  <si>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</si>
  <si>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</si>
  <si>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</si>
  <si>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</si>
  <si>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</si>
  <si>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</si>
  <si>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</si>
  <si>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</si>
  <si>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</si>
  <si>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</si>
  <si>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</si>
  <si>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</si>
  <si>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</si>
  <si>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</si>
  <si>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</si>
  <si>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</si>
  <si>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</si>
  <si>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David templates</t>
  </si>
  <si>
    <t>Cl Template</t>
  </si>
  <si>
    <t>Cl David Template</t>
  </si>
  <si>
    <t>5VEX</t>
  </si>
  <si>
    <t>5VEW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</si>
  <si>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</si>
  <si>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</si>
  <si>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</si>
  <si>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</si>
  <si>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</si>
  <si>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</si>
  <si>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</si>
  <si>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</si>
  <si>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</si>
  <si>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</si>
  <si>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</si>
  <si>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</si>
  <si>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</si>
  <si>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</si>
  <si>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</si>
  <si>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</si>
  <si>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</si>
  <si>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</si>
  <si>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</si>
  <si>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</si>
  <si>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</si>
  <si>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</si>
  <si>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</si>
  <si>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</si>
  <si>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</si>
  <si>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</si>
  <si>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</si>
  <si>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</si>
  <si>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</si>
  <si>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</si>
  <si>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</si>
  <si>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</si>
  <si>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</si>
  <si>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</si>
  <si>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</si>
  <si>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</si>
  <si>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</si>
  <si>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</si>
  <si>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</si>
  <si>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</si>
  <si>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</si>
  <si>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</si>
  <si>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</si>
  <si>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</si>
  <si>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</si>
  <si>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</si>
  <si>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</si>
  <si>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</si>
  <si>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</si>
  <si>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</si>
  <si>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</si>
  <si>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</si>
  <si>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</si>
  <si>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</si>
  <si>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</si>
  <si>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</si>
  <si>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</si>
  <si>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</si>
  <si>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</si>
  <si>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</si>
  <si>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</si>
  <si>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</si>
  <si>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</si>
  <si>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</si>
  <si>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</si>
  <si>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</si>
  <si>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</si>
  <si>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</si>
  <si>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</si>
  <si>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</si>
  <si>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</si>
  <si>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</si>
  <si>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</si>
  <si>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</si>
  <si>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</si>
  <si>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</si>
  <si>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</si>
  <si>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</si>
  <si>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</si>
  <si>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</si>
  <si>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</si>
  <si>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</si>
  <si>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</si>
  <si>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5KW2</t>
  </si>
  <si>
    <t>6GDG</t>
  </si>
  <si>
    <t>Xtal</t>
  </si>
  <si>
    <t>6D32</t>
  </si>
  <si>
    <t>q98sw5_xenla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</si>
  <si>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</si>
  <si>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</si>
  <si>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</si>
  <si>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</si>
  <si>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</si>
  <si>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</si>
  <si>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</si>
  <si>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</si>
  <si>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</si>
  <si>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</si>
  <si>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</si>
  <si>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</si>
  <si>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</si>
  <si>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</si>
  <si>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</si>
  <si>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5XJM</t>
  </si>
  <si>
    <t>6DRX</t>
  </si>
  <si>
    <t>6DRY</t>
  </si>
  <si>
    <t>6DRZ</t>
  </si>
  <si>
    <t>6DS0</t>
  </si>
  <si>
    <t>6E3Y</t>
  </si>
  <si>
    <t>6D26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</si>
  <si>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</si>
  <si>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</si>
  <si>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</si>
  <si>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</si>
  <si>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</si>
  <si>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</si>
  <si>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</si>
  <si>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</si>
  <si>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</si>
  <si>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</si>
  <si>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6IGL</t>
  </si>
  <si>
    <t>6IGK</t>
  </si>
  <si>
    <t>5ZKC</t>
  </si>
  <si>
    <t>5ZKB</t>
  </si>
  <si>
    <t>5ZK8</t>
  </si>
  <si>
    <t>5ZK3</t>
  </si>
  <si>
    <t>5YC8</t>
  </si>
  <si>
    <t>6E59</t>
  </si>
  <si>
    <t>5YWY</t>
  </si>
  <si>
    <t>5YHL</t>
  </si>
  <si>
    <t>6M9T</t>
  </si>
  <si>
    <t>6AK3</t>
  </si>
  <si>
    <t>6MET</t>
  </si>
  <si>
    <t>6MEO</t>
  </si>
  <si>
    <t>6D27</t>
  </si>
  <si>
    <t>6HLL</t>
  </si>
  <si>
    <t>6HLO</t>
  </si>
  <si>
    <t>6HLP</t>
  </si>
  <si>
    <t>6GPS</t>
  </si>
  <si>
    <t>6GPX</t>
  </si>
  <si>
    <t>6IIU</t>
  </si>
  <si>
    <t>6IIV</t>
  </si>
  <si>
    <t>6IBL</t>
  </si>
  <si>
    <t>6NIY</t>
  </si>
  <si>
    <t>6N51</t>
  </si>
  <si>
    <t>6N52</t>
  </si>
  <si>
    <t>6BD4</t>
  </si>
  <si>
    <t>6DO1</t>
  </si>
  <si>
    <t>6N4B</t>
  </si>
  <si>
    <t>5ZTY</t>
  </si>
  <si>
    <t>6A94</t>
  </si>
  <si>
    <t>6A93</t>
  </si>
  <si>
    <t>5NM4</t>
  </si>
  <si>
    <t>5NLX</t>
  </si>
  <si>
    <t>6J20</t>
  </si>
  <si>
    <t>6J21</t>
  </si>
  <si>
    <t>6ME2</t>
  </si>
  <si>
    <t>6ME3</t>
  </si>
  <si>
    <t>6ME4</t>
  </si>
  <si>
    <t>6ME5</t>
  </si>
  <si>
    <t>6ME6</t>
  </si>
  <si>
    <t>6ME7</t>
  </si>
  <si>
    <t>6ME8</t>
  </si>
  <si>
    <t>6ME9</t>
  </si>
  <si>
    <t>6MH8</t>
  </si>
  <si>
    <t>6NBF</t>
  </si>
  <si>
    <t>6NBH</t>
  </si>
  <si>
    <t>6NBI</t>
  </si>
  <si>
    <t>5ZHP</t>
  </si>
  <si>
    <t>6OIJ</t>
  </si>
  <si>
    <t>6OIK</t>
  </si>
  <si>
    <t>6E67</t>
  </si>
  <si>
    <t>6OT0</t>
  </si>
  <si>
    <t>6N48</t>
  </si>
  <si>
    <t>6MH9</t>
  </si>
  <si>
    <t>6OS9</t>
  </si>
  <si>
    <t>6OSA</t>
  </si>
  <si>
    <t>6QNO</t>
  </si>
  <si>
    <t>6K1Q</t>
  </si>
  <si>
    <t>6OY9</t>
  </si>
  <si>
    <t>6OYA</t>
  </si>
  <si>
    <t>6GT3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</si>
  <si>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</si>
  <si>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6OFJ</t>
  </si>
  <si>
    <t>6QZH</t>
  </si>
  <si>
    <t>6KQI</t>
  </si>
  <si>
    <t>smo_mouse</t>
  </si>
  <si>
    <t>6O3C</t>
  </si>
  <si>
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DGPVAGLAFDLNEPSADVSSAWAQHVTKMVARRGAILPQDVSVTPVATPVPPEEQANMWLVEAEISPELEKRLGRKKKRRKRKKEVCPLRPAPELHHSAPVPATSAVPRLPQLPRQKCLVAANAWGTGESCRQGAWTLVSNPFCPEPSPHQDPFLPGASAPRVWAQGRLQGLGSIHSRTNLMEAEILDADSDF</t>
  </si>
  <si>
    <t>sucr1_rat</t>
  </si>
  <si>
    <t>6IBB</t>
  </si>
  <si>
    <t>MAQNLSCENWLALENILKKYYLSAFYGIEFIVGMLGNFTVVFGYLFCMKNWNSSNVYLFNLSISDLAFLCTLPMLIRSYATGNWTYGDVLCISNRYVLHANLYTSILFLTFISIDRYLLMKFPFREHILQKKEFAILISLAVWVLVTLEVLPMLTFITSTPIEKGDSCVDYASSGNPKYSLIYSLCLTLLGFLIPLSVMCFFYYKMVVFLKKRSQQQATVLSLNKPLRLVVLAVVIFSVLFTPYHIMRNVRIASRLDSWPQGCSQKAIKCLYILTRPLAFLNSAVNPIFYFLVGDHFRDMLFSKLRQYFKSLTSFRL</t>
  </si>
  <si>
    <t>6RNK</t>
  </si>
  <si>
    <t>6RZ4</t>
  </si>
  <si>
    <t>6RZ5</t>
  </si>
  <si>
    <t>6JZH</t>
  </si>
  <si>
    <t>6KJV</t>
  </si>
  <si>
    <t>6KK1</t>
  </si>
  <si>
    <t>6KK7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</si>
  <si>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</si>
  <si>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</si>
  <si>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</si>
  <si>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</si>
  <si>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</si>
  <si>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</si>
  <si>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</si>
  <si>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</si>
  <si>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</si>
  <si>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</si>
  <si>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6NI3</t>
  </si>
  <si>
    <t>6PWC</t>
  </si>
  <si>
    <t>6RZ6</t>
  </si>
  <si>
    <t>6RZ7</t>
  </si>
  <si>
    <t>6RZ8</t>
  </si>
  <si>
    <t>6RZ9</t>
  </si>
  <si>
    <t>6OL9</t>
  </si>
  <si>
    <t>6TPN</t>
  </si>
  <si>
    <t>6TO7</t>
  </si>
  <si>
    <t>6TOD</t>
  </si>
  <si>
    <t>6TP3</t>
  </si>
  <si>
    <t>6TP4</t>
  </si>
  <si>
    <t>6TP6</t>
  </si>
  <si>
    <t>6TQ4</t>
  </si>
  <si>
    <t>6TQ6</t>
  </si>
  <si>
    <t>6TQ7</t>
  </si>
  <si>
    <t>6TQ9</t>
  </si>
  <si>
    <t>6JOD</t>
  </si>
  <si>
    <t>6TOS</t>
  </si>
  <si>
    <t>6TOT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</si>
</sst>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8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49" fontId="0" fillId="2" borderId="0" xfId="0" applyNumberFormat="1" applyFont="1" applyFill="1"/>
    <xf numFmtId="0" fontId="0" fillId="6" borderId="0" xfId="0" applyFill="1"/>
    <xf numFmtId="11" fontId="0" fillId="0" borderId="0" xfId="0" applyNumberFormat="1" applyFont="1" applyFill="1"/>
    <xf numFmtId="49" fontId="0" fillId="0" borderId="0" xfId="0" applyNumberFormat="1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9" fillId="2" borderId="9" xfId="0" applyFont="1" applyFill="1" applyBorder="1"/>
    <xf numFmtId="0" fontId="0" fillId="5" borderId="5" xfId="0" applyFill="1" applyBorder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89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0662624"/>
        <c:axId val="1739686944"/>
      </c:lineChart>
      <c:catAx>
        <c:axId val="174066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86944"/>
        <c:crosses val="autoZero"/>
        <c:auto val="1"/>
        <c:lblAlgn val="ctr"/>
        <c:lblOffset val="100"/>
        <c:noMultiLvlLbl val="0"/>
      </c:catAx>
      <c:valAx>
        <c:axId val="173968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66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9715328"/>
        <c:axId val="1739718320"/>
      </c:lineChart>
      <c:catAx>
        <c:axId val="173971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18320"/>
        <c:crosses val="autoZero"/>
        <c:auto val="1"/>
        <c:lblAlgn val="ctr"/>
        <c:lblOffset val="100"/>
        <c:noMultiLvlLbl val="0"/>
      </c:catAx>
      <c:valAx>
        <c:axId val="17397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1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342976"/>
        <c:axId val="1657345536"/>
      </c:lineChart>
      <c:catAx>
        <c:axId val="165734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45536"/>
        <c:crosses val="autoZero"/>
        <c:auto val="1"/>
        <c:lblAlgn val="ctr"/>
        <c:lblOffset val="100"/>
        <c:noMultiLvlLbl val="0"/>
      </c:catAx>
      <c:valAx>
        <c:axId val="16573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34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8" connectionId="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xtal_templates_7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xtal_templates_6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501"/>
  <sheetViews>
    <sheetView tabSelected="1" zoomScale="110" zoomScaleNormal="110" zoomScalePageLayoutView="110" workbookViewId="0">
      <pane xSplit="3" ySplit="1" topLeftCell="D288" activePane="bottomRight" state="frozenSplit"/>
      <selection pane="topRight" activeCell="D1" sqref="D1"/>
      <selection pane="bottomLeft" activeCell="A2" sqref="A2"/>
      <selection pane="bottomRight" activeCell="BG319" sqref="BG319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6.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8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1076</v>
      </c>
      <c r="B1" s="61" t="s">
        <v>31</v>
      </c>
      <c r="C1" s="61" t="s">
        <v>30</v>
      </c>
      <c r="E1" s="61" t="s">
        <v>1060</v>
      </c>
      <c r="G1" s="61" t="s">
        <v>1061</v>
      </c>
      <c r="I1" s="62" t="s">
        <v>1077</v>
      </c>
      <c r="K1" s="62" t="s">
        <v>1078</v>
      </c>
      <c r="M1" s="61" t="s">
        <v>1062</v>
      </c>
      <c r="O1" s="61" t="s">
        <v>1063</v>
      </c>
      <c r="Q1" s="61" t="s">
        <v>1079</v>
      </c>
      <c r="S1" s="61" t="s">
        <v>1080</v>
      </c>
      <c r="U1" s="61" t="s">
        <v>1064</v>
      </c>
      <c r="W1" s="61" t="s">
        <v>1065</v>
      </c>
      <c r="Y1" s="61" t="s">
        <v>1092</v>
      </c>
      <c r="AA1" s="61" t="s">
        <v>1093</v>
      </c>
      <c r="AC1" s="104" t="s">
        <v>1066</v>
      </c>
      <c r="AE1" s="61" t="s">
        <v>1067</v>
      </c>
      <c r="AG1" s="61" t="s">
        <v>1095</v>
      </c>
      <c r="AI1" s="61" t="s">
        <v>1096</v>
      </c>
      <c r="AK1" s="61" t="s">
        <v>1068</v>
      </c>
      <c r="AM1" s="61" t="s">
        <v>1069</v>
      </c>
      <c r="AO1" s="61" t="s">
        <v>1070</v>
      </c>
      <c r="AQ1" s="61" t="s">
        <v>1071</v>
      </c>
      <c r="AS1" s="61" t="s">
        <v>1072</v>
      </c>
      <c r="AU1" s="61" t="s">
        <v>1073</v>
      </c>
      <c r="AW1" s="61" t="s">
        <v>1074</v>
      </c>
      <c r="AY1" s="61" t="s">
        <v>1075</v>
      </c>
      <c r="AZ1" s="63" t="s">
        <v>99</v>
      </c>
      <c r="BA1" s="64" t="s">
        <v>1380</v>
      </c>
      <c r="BB1" s="64" t="s">
        <v>1202</v>
      </c>
      <c r="BC1" s="61" t="s">
        <v>1167</v>
      </c>
      <c r="BD1" s="64" t="s">
        <v>1099</v>
      </c>
      <c r="BE1" s="61" t="s">
        <v>1373</v>
      </c>
      <c r="BF1" s="117" t="s">
        <v>1426</v>
      </c>
      <c r="BG1" s="76" t="s">
        <v>1381</v>
      </c>
      <c r="BH1" s="76" t="s">
        <v>1382</v>
      </c>
      <c r="BI1" s="61" t="s">
        <v>1107</v>
      </c>
      <c r="BJ1" s="65" t="s">
        <v>1060</v>
      </c>
      <c r="BK1" s="66" t="s">
        <v>1077</v>
      </c>
      <c r="BL1" s="67" t="s">
        <v>1062</v>
      </c>
      <c r="BM1" s="67" t="s">
        <v>1079</v>
      </c>
      <c r="BN1" s="67" t="s">
        <v>1064</v>
      </c>
      <c r="BO1" s="67" t="s">
        <v>1092</v>
      </c>
      <c r="BP1" s="67" t="s">
        <v>1066</v>
      </c>
      <c r="BQ1" s="67" t="s">
        <v>1095</v>
      </c>
      <c r="BR1" s="67" t="s">
        <v>1068</v>
      </c>
      <c r="BS1" s="67" t="s">
        <v>1070</v>
      </c>
      <c r="BT1" s="67" t="s">
        <v>1072</v>
      </c>
      <c r="BU1" s="68" t="s">
        <v>1074</v>
      </c>
      <c r="BV1" s="65" t="s">
        <v>1060</v>
      </c>
      <c r="BW1" s="69" t="s">
        <v>1077</v>
      </c>
      <c r="BX1" s="68" t="s">
        <v>1062</v>
      </c>
      <c r="BY1" s="68" t="s">
        <v>1079</v>
      </c>
      <c r="BZ1" s="68" t="s">
        <v>1064</v>
      </c>
      <c r="CA1" s="68" t="s">
        <v>1092</v>
      </c>
      <c r="CB1" s="68" t="s">
        <v>1066</v>
      </c>
      <c r="CC1" s="68" t="s">
        <v>1095</v>
      </c>
      <c r="CD1" s="68" t="s">
        <v>1068</v>
      </c>
      <c r="CE1" s="68" t="s">
        <v>1070</v>
      </c>
      <c r="CF1" s="68" t="s">
        <v>1072</v>
      </c>
      <c r="CG1" s="68" t="s">
        <v>1074</v>
      </c>
      <c r="CH1" s="65" t="s">
        <v>1061</v>
      </c>
      <c r="CI1" s="69" t="s">
        <v>1078</v>
      </c>
      <c r="CJ1" s="68" t="s">
        <v>1063</v>
      </c>
      <c r="CK1" s="68" t="s">
        <v>1080</v>
      </c>
      <c r="CL1" s="68" t="s">
        <v>1065</v>
      </c>
      <c r="CM1" s="68" t="s">
        <v>1093</v>
      </c>
      <c r="CN1" s="68" t="s">
        <v>1067</v>
      </c>
      <c r="CO1" s="68" t="s">
        <v>1096</v>
      </c>
      <c r="CP1" s="68" t="s">
        <v>1069</v>
      </c>
      <c r="CQ1" s="68" t="s">
        <v>1071</v>
      </c>
      <c r="CR1" s="68" t="s">
        <v>1073</v>
      </c>
      <c r="CS1" s="68" t="s">
        <v>1075</v>
      </c>
      <c r="CT1" s="61" t="s">
        <v>1288</v>
      </c>
    </row>
    <row r="2" spans="1:1029" x14ac:dyDescent="0.2">
      <c r="A2" s="3" t="str">
        <f t="shared" ref="A2:A77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7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8" t="s">
        <v>23</v>
      </c>
      <c r="BG2" s="49" t="s">
        <v>1372</v>
      </c>
      <c r="BH2" s="49" t="s">
        <v>1377</v>
      </c>
      <c r="BI2" s="1"/>
      <c r="BJ2" s="70" t="s">
        <v>1287</v>
      </c>
      <c r="BK2" s="57" t="s">
        <v>1287</v>
      </c>
      <c r="BL2" s="57" t="s">
        <v>1287</v>
      </c>
      <c r="BM2" s="57" t="s">
        <v>1287</v>
      </c>
      <c r="BN2" s="57" t="s">
        <v>1287</v>
      </c>
      <c r="BO2" s="57" t="s">
        <v>1287</v>
      </c>
      <c r="BP2" s="57" t="s">
        <v>1287</v>
      </c>
      <c r="BQ2" s="57" t="s">
        <v>1287</v>
      </c>
      <c r="BR2" s="57" t="s">
        <v>1287</v>
      </c>
      <c r="BS2" s="57" t="s">
        <v>1287</v>
      </c>
      <c r="BT2" s="57" t="s">
        <v>1287</v>
      </c>
      <c r="BU2" s="57" t="s">
        <v>1287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1042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1429</v>
      </c>
      <c r="BE3" s="3" t="s">
        <v>1428</v>
      </c>
      <c r="BF3" s="118">
        <v>2.8</v>
      </c>
      <c r="BG3" s="49" t="s">
        <v>1377</v>
      </c>
      <c r="BH3" s="49" t="s">
        <v>1377</v>
      </c>
      <c r="BI3" s="1"/>
      <c r="BJ3" s="70" t="s">
        <v>1287</v>
      </c>
      <c r="BK3" s="57" t="s">
        <v>1287</v>
      </c>
      <c r="BL3" s="57" t="s">
        <v>1287</v>
      </c>
      <c r="BM3" s="57" t="s">
        <v>1287</v>
      </c>
      <c r="BN3" s="57" t="s">
        <v>1287</v>
      </c>
      <c r="BO3" s="57" t="s">
        <v>1287</v>
      </c>
      <c r="BP3" s="57" t="s">
        <v>1287</v>
      </c>
      <c r="BQ3" s="57" t="s">
        <v>1287</v>
      </c>
      <c r="BR3" s="57" t="s">
        <v>1287</v>
      </c>
      <c r="BS3" s="57" t="s">
        <v>1287</v>
      </c>
      <c r="BT3" s="57" t="s">
        <v>1287</v>
      </c>
      <c r="BU3" s="57" t="s">
        <v>1287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1428</v>
      </c>
      <c r="BF4" s="118">
        <v>2.7</v>
      </c>
      <c r="BG4" s="49" t="s">
        <v>1377</v>
      </c>
      <c r="BH4" s="49" t="s">
        <v>1377</v>
      </c>
      <c r="BI4" s="1"/>
      <c r="BJ4" s="70" t="s">
        <v>1287</v>
      </c>
      <c r="BK4" s="57" t="s">
        <v>1287</v>
      </c>
      <c r="BL4" s="57" t="s">
        <v>1287</v>
      </c>
      <c r="BM4" s="57" t="s">
        <v>1287</v>
      </c>
      <c r="BN4" s="57" t="s">
        <v>1287</v>
      </c>
      <c r="BO4" s="57" t="s">
        <v>1287</v>
      </c>
      <c r="BP4" s="57" t="s">
        <v>1287</v>
      </c>
      <c r="BQ4" s="57" t="s">
        <v>1287</v>
      </c>
      <c r="BR4" s="57" t="s">
        <v>1287</v>
      </c>
      <c r="BS4" s="57" t="s">
        <v>1287</v>
      </c>
      <c r="BT4" s="57" t="s">
        <v>1287</v>
      </c>
      <c r="BU4" s="57" t="s">
        <v>1287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1467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1428</v>
      </c>
      <c r="BF5" s="118">
        <v>3.7</v>
      </c>
      <c r="BG5" s="49" t="s">
        <v>1377</v>
      </c>
      <c r="BH5" s="49" t="s">
        <v>1377</v>
      </c>
      <c r="BI5" s="1"/>
      <c r="BJ5" s="70" t="s">
        <v>1287</v>
      </c>
      <c r="BK5" s="57" t="s">
        <v>1287</v>
      </c>
      <c r="BL5" s="57" t="s">
        <v>1287</v>
      </c>
      <c r="BM5" s="57" t="s">
        <v>1287</v>
      </c>
      <c r="BN5" s="57" t="s">
        <v>1287</v>
      </c>
      <c r="BO5" s="57" t="s">
        <v>1287</v>
      </c>
      <c r="BP5" s="57" t="s">
        <v>1287</v>
      </c>
      <c r="BQ5" s="57" t="s">
        <v>1287</v>
      </c>
      <c r="BR5" s="57" t="s">
        <v>1287</v>
      </c>
      <c r="BS5" s="57" t="s">
        <v>1287</v>
      </c>
      <c r="BT5" s="57" t="s">
        <v>1287</v>
      </c>
      <c r="BU5" s="57" t="s">
        <v>1287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1504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1375</v>
      </c>
      <c r="BE6" s="3" t="s">
        <v>1291</v>
      </c>
      <c r="BF6" s="118">
        <v>3.78</v>
      </c>
      <c r="BG6" s="49" t="s">
        <v>1018</v>
      </c>
      <c r="BH6" s="49" t="s">
        <v>1018</v>
      </c>
      <c r="BI6" s="1"/>
      <c r="BJ6" s="70" t="s">
        <v>1287</v>
      </c>
      <c r="BK6" s="57" t="s">
        <v>1287</v>
      </c>
      <c r="BL6" s="57" t="s">
        <v>1287</v>
      </c>
      <c r="BM6" s="57" t="s">
        <v>1287</v>
      </c>
      <c r="BN6" s="57" t="s">
        <v>1287</v>
      </c>
      <c r="BO6" s="57" t="s">
        <v>1287</v>
      </c>
      <c r="BP6" s="57" t="s">
        <v>1287</v>
      </c>
      <c r="BQ6" s="57" t="s">
        <v>1287</v>
      </c>
      <c r="BR6" s="57" t="s">
        <v>1287</v>
      </c>
      <c r="BS6" s="57" t="s">
        <v>1287</v>
      </c>
      <c r="BT6" s="57" t="s">
        <v>1287</v>
      </c>
      <c r="BU6" s="57" t="s">
        <v>1287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19" t="s">
        <v>23</v>
      </c>
      <c r="BG7" s="51" t="s">
        <v>23</v>
      </c>
      <c r="BH7" s="51" t="s">
        <v>23</v>
      </c>
      <c r="BJ7" s="111" t="s">
        <v>1287</v>
      </c>
      <c r="BK7" s="112" t="s">
        <v>1287</v>
      </c>
      <c r="BL7" s="112" t="s">
        <v>1287</v>
      </c>
      <c r="BM7" s="112" t="s">
        <v>1287</v>
      </c>
      <c r="BN7" s="112" t="s">
        <v>1287</v>
      </c>
      <c r="BO7" s="112" t="s">
        <v>1287</v>
      </c>
      <c r="BP7" s="112" t="s">
        <v>1287</v>
      </c>
      <c r="BQ7" s="112" t="s">
        <v>1287</v>
      </c>
      <c r="BR7" s="112" t="s">
        <v>1287</v>
      </c>
      <c r="BS7" s="112" t="s">
        <v>1287</v>
      </c>
      <c r="BT7" s="112" t="s">
        <v>1287</v>
      </c>
      <c r="BU7" s="112" t="s">
        <v>1287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1559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1374</v>
      </c>
      <c r="BF8" s="119">
        <v>3</v>
      </c>
      <c r="BG8" s="51" t="s">
        <v>1</v>
      </c>
      <c r="BH8" s="51" t="s">
        <v>1</v>
      </c>
      <c r="BJ8" s="111" t="s">
        <v>1287</v>
      </c>
      <c r="BK8" s="112" t="s">
        <v>1287</v>
      </c>
      <c r="BL8" s="112" t="s">
        <v>1287</v>
      </c>
      <c r="BM8" s="112" t="s">
        <v>1287</v>
      </c>
      <c r="BN8" s="112" t="s">
        <v>1287</v>
      </c>
      <c r="BO8" s="112" t="s">
        <v>1287</v>
      </c>
      <c r="BP8" s="112" t="s">
        <v>1287</v>
      </c>
      <c r="BQ8" s="112" t="s">
        <v>1287</v>
      </c>
      <c r="BR8" s="112" t="s">
        <v>1287</v>
      </c>
      <c r="BS8" s="112" t="s">
        <v>1287</v>
      </c>
      <c r="BT8" s="112" t="s">
        <v>1287</v>
      </c>
      <c r="BU8" s="112" t="s">
        <v>1287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1558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1376</v>
      </c>
      <c r="BE9" s="9" t="s">
        <v>1374</v>
      </c>
      <c r="BF9" s="119">
        <v>2.9</v>
      </c>
      <c r="BG9" s="51" t="s">
        <v>1</v>
      </c>
      <c r="BH9" s="51" t="s">
        <v>1</v>
      </c>
      <c r="BJ9" s="111" t="s">
        <v>1287</v>
      </c>
      <c r="BK9" s="112" t="s">
        <v>1287</v>
      </c>
      <c r="BL9" s="112" t="s">
        <v>1287</v>
      </c>
      <c r="BM9" s="112" t="s">
        <v>1287</v>
      </c>
      <c r="BN9" s="112" t="s">
        <v>1287</v>
      </c>
      <c r="BO9" s="112" t="s">
        <v>1287</v>
      </c>
      <c r="BP9" s="112" t="s">
        <v>1287</v>
      </c>
      <c r="BQ9" s="112" t="s">
        <v>1287</v>
      </c>
      <c r="BR9" s="112" t="s">
        <v>1287</v>
      </c>
      <c r="BS9" s="112" t="s">
        <v>1287</v>
      </c>
      <c r="BT9" s="112" t="s">
        <v>1287</v>
      </c>
      <c r="BU9" s="112" t="s">
        <v>1287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8" t="s">
        <v>23</v>
      </c>
      <c r="BG10" s="49" t="s">
        <v>1372</v>
      </c>
      <c r="BH10" s="49" t="s">
        <v>1377</v>
      </c>
      <c r="BI10" s="1"/>
      <c r="BJ10" s="70" t="s">
        <v>1287</v>
      </c>
      <c r="BK10" s="57" t="s">
        <v>1287</v>
      </c>
      <c r="BL10" s="57" t="s">
        <v>1287</v>
      </c>
      <c r="BM10" s="57" t="s">
        <v>1287</v>
      </c>
      <c r="BN10" s="57" t="s">
        <v>1287</v>
      </c>
      <c r="BO10" s="57" t="s">
        <v>1287</v>
      </c>
      <c r="BP10" s="57" t="s">
        <v>1287</v>
      </c>
      <c r="BQ10" s="57" t="s">
        <v>1287</v>
      </c>
      <c r="BR10" s="57" t="s">
        <v>1287</v>
      </c>
      <c r="BS10" s="57" t="s">
        <v>1287</v>
      </c>
      <c r="BT10" s="57" t="s">
        <v>1287</v>
      </c>
      <c r="BU10" s="57" t="s">
        <v>1287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1429</v>
      </c>
      <c r="BE11" s="3" t="s">
        <v>1428</v>
      </c>
      <c r="BF11" s="118">
        <v>2.7</v>
      </c>
      <c r="BG11" s="49" t="s">
        <v>1377</v>
      </c>
      <c r="BH11" s="49" t="s">
        <v>1377</v>
      </c>
      <c r="BI11" s="1"/>
      <c r="BJ11" s="70" t="s">
        <v>1287</v>
      </c>
      <c r="BK11" s="57" t="s">
        <v>1287</v>
      </c>
      <c r="BL11" s="57" t="s">
        <v>1287</v>
      </c>
      <c r="BM11" s="57" t="s">
        <v>1287</v>
      </c>
      <c r="BN11" s="57" t="s">
        <v>1287</v>
      </c>
      <c r="BO11" s="57" t="s">
        <v>1287</v>
      </c>
      <c r="BP11" s="57" t="s">
        <v>1287</v>
      </c>
      <c r="BQ11" s="57" t="s">
        <v>1287</v>
      </c>
      <c r="BR11" s="57" t="s">
        <v>1287</v>
      </c>
      <c r="BS11" s="57" t="s">
        <v>1287</v>
      </c>
      <c r="BT11" s="57" t="s">
        <v>1287</v>
      </c>
      <c r="BU11" s="57" t="s">
        <v>1287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1164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1428</v>
      </c>
      <c r="BF12" s="118">
        <v>2.7</v>
      </c>
      <c r="BG12" s="49" t="s">
        <v>1377</v>
      </c>
      <c r="BH12" s="49" t="s">
        <v>1377</v>
      </c>
      <c r="BI12" s="1"/>
      <c r="BJ12" s="70" t="s">
        <v>1287</v>
      </c>
      <c r="BK12" s="57" t="s">
        <v>1287</v>
      </c>
      <c r="BL12" s="57" t="s">
        <v>1287</v>
      </c>
      <c r="BM12" s="57" t="s">
        <v>1287</v>
      </c>
      <c r="BN12" s="57" t="s">
        <v>1287</v>
      </c>
      <c r="BO12" s="57" t="s">
        <v>1287</v>
      </c>
      <c r="BP12" s="57" t="s">
        <v>1287</v>
      </c>
      <c r="BQ12" s="57" t="s">
        <v>1287</v>
      </c>
      <c r="BR12" s="57" t="s">
        <v>1287</v>
      </c>
      <c r="BS12" s="57" t="s">
        <v>1287</v>
      </c>
      <c r="BT12" s="57" t="s">
        <v>1287</v>
      </c>
      <c r="BU12" s="57" t="s">
        <v>1287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1308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1428</v>
      </c>
      <c r="BF13" s="118">
        <v>2.8</v>
      </c>
      <c r="BG13" s="49" t="s">
        <v>1377</v>
      </c>
      <c r="BH13" s="49" t="s">
        <v>1377</v>
      </c>
      <c r="BI13" s="1"/>
      <c r="BJ13" s="70" t="s">
        <v>1287</v>
      </c>
      <c r="BK13" s="57" t="s">
        <v>1287</v>
      </c>
      <c r="BL13" s="57" t="s">
        <v>1287</v>
      </c>
      <c r="BM13" s="57" t="s">
        <v>1287</v>
      </c>
      <c r="BN13" s="57" t="s">
        <v>1287</v>
      </c>
      <c r="BO13" s="57" t="s">
        <v>1287</v>
      </c>
      <c r="BP13" s="57" t="s">
        <v>1287</v>
      </c>
      <c r="BQ13" s="57" t="s">
        <v>1287</v>
      </c>
      <c r="BR13" s="57" t="s">
        <v>1287</v>
      </c>
      <c r="BS13" s="57" t="s">
        <v>1287</v>
      </c>
      <c r="BT13" s="57" t="s">
        <v>1287</v>
      </c>
      <c r="BU13" s="57" t="s">
        <v>1287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1427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1375</v>
      </c>
      <c r="BE14" s="3" t="s">
        <v>1291</v>
      </c>
      <c r="BF14" s="118">
        <v>3</v>
      </c>
      <c r="BG14" s="49" t="s">
        <v>1377</v>
      </c>
      <c r="BH14" s="49" t="s">
        <v>1377</v>
      </c>
      <c r="BI14" s="1"/>
      <c r="BJ14" s="70" t="s">
        <v>1287</v>
      </c>
      <c r="BK14" s="57" t="s">
        <v>1287</v>
      </c>
      <c r="BL14" s="57" t="s">
        <v>1287</v>
      </c>
      <c r="BM14" s="57" t="s">
        <v>1287</v>
      </c>
      <c r="BN14" s="57" t="s">
        <v>1287</v>
      </c>
      <c r="BO14" s="57" t="s">
        <v>1287</v>
      </c>
      <c r="BP14" s="57" t="s">
        <v>1287</v>
      </c>
      <c r="BQ14" s="57" t="s">
        <v>1287</v>
      </c>
      <c r="BR14" s="57" t="s">
        <v>1287</v>
      </c>
      <c r="BS14" s="57" t="s">
        <v>1287</v>
      </c>
      <c r="BT14" s="57" t="s">
        <v>1287</v>
      </c>
      <c r="BU14" s="57" t="s">
        <v>1287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1386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1428</v>
      </c>
      <c r="BF15" s="118">
        <v>2.9</v>
      </c>
      <c r="BG15" s="49" t="s">
        <v>1377</v>
      </c>
      <c r="BH15" s="49" t="s">
        <v>1377</v>
      </c>
      <c r="BI15" s="1"/>
      <c r="BJ15" s="70" t="s">
        <v>1287</v>
      </c>
      <c r="BK15" s="57" t="s">
        <v>1287</v>
      </c>
      <c r="BL15" s="57" t="s">
        <v>1287</v>
      </c>
      <c r="BM15" s="57" t="s">
        <v>1287</v>
      </c>
      <c r="BN15" s="57" t="s">
        <v>1287</v>
      </c>
      <c r="BO15" s="57" t="s">
        <v>1287</v>
      </c>
      <c r="BP15" s="57" t="s">
        <v>1287</v>
      </c>
      <c r="BQ15" s="57" t="s">
        <v>1287</v>
      </c>
      <c r="BR15" s="57" t="s">
        <v>1287</v>
      </c>
      <c r="BS15" s="57" t="s">
        <v>1287</v>
      </c>
      <c r="BT15" s="57" t="s">
        <v>1287</v>
      </c>
      <c r="BU15" s="57" t="s">
        <v>1287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1512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1428</v>
      </c>
      <c r="BF16" s="119">
        <v>3.1</v>
      </c>
      <c r="BG16" s="51" t="s">
        <v>1</v>
      </c>
      <c r="BH16" s="51" t="s">
        <v>1</v>
      </c>
      <c r="BJ16" s="111" t="s">
        <v>1287</v>
      </c>
      <c r="BK16" s="112" t="s">
        <v>1287</v>
      </c>
      <c r="BL16" s="112" t="s">
        <v>1287</v>
      </c>
      <c r="BM16" s="112" t="s">
        <v>1287</v>
      </c>
      <c r="BN16" s="112" t="s">
        <v>1287</v>
      </c>
      <c r="BO16" s="112" t="s">
        <v>1287</v>
      </c>
      <c r="BP16" s="112" t="s">
        <v>1287</v>
      </c>
      <c r="BQ16" s="112" t="s">
        <v>1287</v>
      </c>
      <c r="BR16" s="112" t="s">
        <v>1287</v>
      </c>
      <c r="BS16" s="112" t="s">
        <v>1287</v>
      </c>
      <c r="BT16" s="112" t="s">
        <v>1287</v>
      </c>
      <c r="BU16" s="112" t="s">
        <v>1287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1513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1428</v>
      </c>
      <c r="BF17" s="119">
        <v>2.92</v>
      </c>
      <c r="BG17" s="51" t="s">
        <v>1</v>
      </c>
      <c r="BH17" s="51" t="s">
        <v>1</v>
      </c>
      <c r="BJ17" s="111" t="s">
        <v>1287</v>
      </c>
      <c r="BK17" s="112" t="s">
        <v>1287</v>
      </c>
      <c r="BL17" s="112" t="s">
        <v>1287</v>
      </c>
      <c r="BM17" s="112" t="s">
        <v>1287</v>
      </c>
      <c r="BN17" s="112" t="s">
        <v>1287</v>
      </c>
      <c r="BO17" s="112" t="s">
        <v>1287</v>
      </c>
      <c r="BP17" s="112" t="s">
        <v>1287</v>
      </c>
      <c r="BQ17" s="112" t="s">
        <v>1287</v>
      </c>
      <c r="BR17" s="112" t="s">
        <v>1287</v>
      </c>
      <c r="BS17" s="112" t="s">
        <v>1287</v>
      </c>
      <c r="BT17" s="112" t="s">
        <v>1287</v>
      </c>
      <c r="BU17" s="112" t="s">
        <v>1287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1514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1428</v>
      </c>
      <c r="BF18" s="119">
        <v>3.1</v>
      </c>
      <c r="BG18" s="51" t="s">
        <v>1</v>
      </c>
      <c r="BH18" s="51" t="s">
        <v>1</v>
      </c>
      <c r="BJ18" s="111" t="s">
        <v>1287</v>
      </c>
      <c r="BK18" s="112" t="s">
        <v>1287</v>
      </c>
      <c r="BL18" s="112" t="s">
        <v>1287</v>
      </c>
      <c r="BM18" s="112" t="s">
        <v>1287</v>
      </c>
      <c r="BN18" s="112" t="s">
        <v>1287</v>
      </c>
      <c r="BO18" s="112" t="s">
        <v>1287</v>
      </c>
      <c r="BP18" s="112" t="s">
        <v>1287</v>
      </c>
      <c r="BQ18" s="112" t="s">
        <v>1287</v>
      </c>
      <c r="BR18" s="112" t="s">
        <v>1287</v>
      </c>
      <c r="BS18" s="112" t="s">
        <v>1287</v>
      </c>
      <c r="BT18" s="112" t="s">
        <v>1287</v>
      </c>
      <c r="BU18" s="112" t="s">
        <v>1287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1515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1428</v>
      </c>
      <c r="BF19" s="119">
        <v>3.19</v>
      </c>
      <c r="BG19" s="51" t="s">
        <v>1</v>
      </c>
      <c r="BH19" s="51" t="s">
        <v>1</v>
      </c>
      <c r="BJ19" s="111" t="s">
        <v>1287</v>
      </c>
      <c r="BK19" s="112" t="s">
        <v>1287</v>
      </c>
      <c r="BL19" s="112" t="s">
        <v>1287</v>
      </c>
      <c r="BM19" s="112" t="s">
        <v>1287</v>
      </c>
      <c r="BN19" s="112" t="s">
        <v>1287</v>
      </c>
      <c r="BO19" s="112" t="s">
        <v>1287</v>
      </c>
      <c r="BP19" s="112" t="s">
        <v>1287</v>
      </c>
      <c r="BQ19" s="112" t="s">
        <v>1287</v>
      </c>
      <c r="BR19" s="112" t="s">
        <v>1287</v>
      </c>
      <c r="BS19" s="112" t="s">
        <v>1287</v>
      </c>
      <c r="BT19" s="112" t="s">
        <v>1287</v>
      </c>
      <c r="BU19" s="112" t="s">
        <v>1287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8" t="s">
        <v>23</v>
      </c>
      <c r="BG20" s="49" t="s">
        <v>1377</v>
      </c>
      <c r="BH20" s="49" t="s">
        <v>1377</v>
      </c>
      <c r="BI20" s="1"/>
      <c r="BJ20" s="70" t="s">
        <v>1287</v>
      </c>
      <c r="BK20" s="57" t="s">
        <v>1287</v>
      </c>
      <c r="BL20" s="57" t="s">
        <v>1287</v>
      </c>
      <c r="BM20" s="57" t="s">
        <v>1287</v>
      </c>
      <c r="BN20" s="57" t="s">
        <v>1287</v>
      </c>
      <c r="BO20" s="57" t="s">
        <v>1287</v>
      </c>
      <c r="BP20" s="57" t="s">
        <v>1287</v>
      </c>
      <c r="BQ20" s="57" t="s">
        <v>1287</v>
      </c>
      <c r="BR20" s="57" t="s">
        <v>1287</v>
      </c>
      <c r="BS20" s="57" t="s">
        <v>1287</v>
      </c>
      <c r="BT20" s="57" t="s">
        <v>1287</v>
      </c>
      <c r="BU20" s="57" t="s">
        <v>1287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1465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1375</v>
      </c>
      <c r="BE21" s="3" t="s">
        <v>1291</v>
      </c>
      <c r="BF21" s="118">
        <v>3</v>
      </c>
      <c r="BG21" s="49" t="s">
        <v>1</v>
      </c>
      <c r="BH21" s="49" t="s">
        <v>1</v>
      </c>
      <c r="BI21" s="1"/>
      <c r="BJ21" s="70" t="s">
        <v>1287</v>
      </c>
      <c r="BK21" s="57" t="s">
        <v>1287</v>
      </c>
      <c r="BL21" s="57" t="s">
        <v>1287</v>
      </c>
      <c r="BM21" s="57" t="s">
        <v>1287</v>
      </c>
      <c r="BN21" s="57" t="s">
        <v>1287</v>
      </c>
      <c r="BO21" s="57" t="s">
        <v>1287</v>
      </c>
      <c r="BP21" s="57" t="s">
        <v>1287</v>
      </c>
      <c r="BQ21" s="57" t="s">
        <v>1287</v>
      </c>
      <c r="BR21" s="57" t="s">
        <v>1287</v>
      </c>
      <c r="BS21" s="57" t="s">
        <v>1287</v>
      </c>
      <c r="BT21" s="57" t="s">
        <v>1287</v>
      </c>
      <c r="BU21" s="57" t="s">
        <v>1287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1466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1429</v>
      </c>
      <c r="BE22" s="3" t="s">
        <v>1428</v>
      </c>
      <c r="BF22" s="118">
        <v>2.7</v>
      </c>
      <c r="BG22" s="49" t="s">
        <v>1</v>
      </c>
      <c r="BH22" s="49" t="s">
        <v>1</v>
      </c>
      <c r="BI22" s="1"/>
      <c r="BJ22" s="70" t="s">
        <v>1287</v>
      </c>
      <c r="BK22" s="57" t="s">
        <v>1287</v>
      </c>
      <c r="BL22" s="57" t="s">
        <v>1287</v>
      </c>
      <c r="BM22" s="57" t="s">
        <v>1287</v>
      </c>
      <c r="BN22" s="57" t="s">
        <v>1287</v>
      </c>
      <c r="BO22" s="57" t="s">
        <v>1287</v>
      </c>
      <c r="BP22" s="57" t="s">
        <v>1287</v>
      </c>
      <c r="BQ22" s="57" t="s">
        <v>1287</v>
      </c>
      <c r="BR22" s="57" t="s">
        <v>1287</v>
      </c>
      <c r="BS22" s="57" t="s">
        <v>1287</v>
      </c>
      <c r="BT22" s="57" t="s">
        <v>1287</v>
      </c>
      <c r="BU22" s="57" t="s">
        <v>1287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8" t="s">
        <v>23</v>
      </c>
      <c r="BG23" s="49" t="s">
        <v>1377</v>
      </c>
      <c r="BH23" s="49" t="s">
        <v>1377</v>
      </c>
      <c r="BI23" s="1"/>
      <c r="BJ23" s="70" t="s">
        <v>1287</v>
      </c>
      <c r="BK23" s="57" t="s">
        <v>1287</v>
      </c>
      <c r="BL23" s="57" t="s">
        <v>1287</v>
      </c>
      <c r="BM23" s="57" t="s">
        <v>1287</v>
      </c>
      <c r="BN23" s="57" t="s">
        <v>1287</v>
      </c>
      <c r="BO23" s="57" t="s">
        <v>1287</v>
      </c>
      <c r="BP23" s="57" t="s">
        <v>1287</v>
      </c>
      <c r="BQ23" s="57" t="s">
        <v>1287</v>
      </c>
      <c r="BR23" s="57" t="s">
        <v>1287</v>
      </c>
      <c r="BS23" s="57" t="s">
        <v>1287</v>
      </c>
      <c r="BT23" s="57" t="s">
        <v>1287</v>
      </c>
      <c r="BU23" s="57" t="s">
        <v>1287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1431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1374</v>
      </c>
      <c r="BF24" s="118">
        <v>3.3</v>
      </c>
      <c r="BG24" s="49" t="s">
        <v>1</v>
      </c>
      <c r="BH24" s="49" t="s">
        <v>1</v>
      </c>
      <c r="BI24" s="1"/>
      <c r="BJ24" s="70" t="s">
        <v>1287</v>
      </c>
      <c r="BK24" s="57" t="s">
        <v>1287</v>
      </c>
      <c r="BL24" s="57" t="s">
        <v>1287</v>
      </c>
      <c r="BM24" s="57" t="s">
        <v>1287</v>
      </c>
      <c r="BN24" s="57" t="s">
        <v>1287</v>
      </c>
      <c r="BO24" s="57" t="s">
        <v>1287</v>
      </c>
      <c r="BP24" s="57" t="s">
        <v>1287</v>
      </c>
      <c r="BQ24" s="57" t="s">
        <v>1287</v>
      </c>
      <c r="BR24" s="57" t="s">
        <v>1287</v>
      </c>
      <c r="BS24" s="57" t="s">
        <v>1287</v>
      </c>
      <c r="BT24" s="57" t="s">
        <v>1287</v>
      </c>
      <c r="BU24" s="57" t="s">
        <v>1287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1389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1376</v>
      </c>
      <c r="BE25" s="3" t="s">
        <v>1374</v>
      </c>
      <c r="BF25" s="118">
        <v>3.2</v>
      </c>
      <c r="BG25" s="49" t="s">
        <v>1377</v>
      </c>
      <c r="BH25" s="49" t="s">
        <v>1377</v>
      </c>
      <c r="BI25" s="1"/>
      <c r="BJ25" s="70" t="s">
        <v>1287</v>
      </c>
      <c r="BK25" s="57" t="s">
        <v>1287</v>
      </c>
      <c r="BL25" s="57" t="s">
        <v>1287</v>
      </c>
      <c r="BM25" s="57" t="s">
        <v>1287</v>
      </c>
      <c r="BN25" s="57" t="s">
        <v>1287</v>
      </c>
      <c r="BO25" s="57" t="s">
        <v>1287</v>
      </c>
      <c r="BP25" s="57" t="s">
        <v>1287</v>
      </c>
      <c r="BQ25" s="57" t="s">
        <v>1287</v>
      </c>
      <c r="BR25" s="57" t="s">
        <v>1287</v>
      </c>
      <c r="BS25" s="57" t="s">
        <v>1287</v>
      </c>
      <c r="BT25" s="57" t="s">
        <v>1287</v>
      </c>
      <c r="BU25" s="57" t="s">
        <v>1287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1503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1375</v>
      </c>
      <c r="BE26" s="3" t="s">
        <v>1291</v>
      </c>
      <c r="BF26" s="118">
        <v>3.6</v>
      </c>
      <c r="BG26" s="49" t="s">
        <v>1422</v>
      </c>
      <c r="BH26" s="49" t="s">
        <v>1422</v>
      </c>
      <c r="BI26" s="1"/>
      <c r="BJ26" s="70" t="s">
        <v>1287</v>
      </c>
      <c r="BK26" s="57" t="s">
        <v>1287</v>
      </c>
      <c r="BL26" s="57" t="s">
        <v>1287</v>
      </c>
      <c r="BM26" s="57" t="s">
        <v>1287</v>
      </c>
      <c r="BN26" s="57" t="s">
        <v>1287</v>
      </c>
      <c r="BO26" s="57" t="s">
        <v>1287</v>
      </c>
      <c r="BP26" s="57" t="s">
        <v>1287</v>
      </c>
      <c r="BQ26" s="57" t="s">
        <v>1287</v>
      </c>
      <c r="BR26" s="57" t="s">
        <v>1287</v>
      </c>
      <c r="BS26" s="57" t="s">
        <v>1287</v>
      </c>
      <c r="BT26" s="57" t="s">
        <v>1287</v>
      </c>
      <c r="BU26" s="57" t="s">
        <v>1287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8" t="s">
        <v>23</v>
      </c>
      <c r="BG27" s="49" t="s">
        <v>1372</v>
      </c>
      <c r="BH27" s="49" t="s">
        <v>1377</v>
      </c>
      <c r="BI27" s="1"/>
      <c r="BJ27" s="70" t="s">
        <v>1287</v>
      </c>
      <c r="BK27" s="57" t="s">
        <v>1287</v>
      </c>
      <c r="BL27" s="57" t="s">
        <v>1287</v>
      </c>
      <c r="BM27" s="57" t="s">
        <v>1287</v>
      </c>
      <c r="BN27" s="57" t="s">
        <v>1287</v>
      </c>
      <c r="BO27" s="57" t="s">
        <v>1287</v>
      </c>
      <c r="BP27" s="57" t="s">
        <v>1287</v>
      </c>
      <c r="BQ27" s="57" t="s">
        <v>1287</v>
      </c>
      <c r="BR27" s="57" t="s">
        <v>1287</v>
      </c>
      <c r="BS27" s="57" t="s">
        <v>1287</v>
      </c>
      <c r="BT27" s="57" t="s">
        <v>1287</v>
      </c>
      <c r="BU27" s="57" t="s">
        <v>1287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1028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1428</v>
      </c>
      <c r="BF28" s="118">
        <v>3</v>
      </c>
      <c r="BG28" s="49" t="s">
        <v>1377</v>
      </c>
      <c r="BH28" s="49" t="s">
        <v>1377</v>
      </c>
      <c r="BI28" s="1"/>
      <c r="BJ28" s="70" t="s">
        <v>1287</v>
      </c>
      <c r="BK28" s="57" t="s">
        <v>1287</v>
      </c>
      <c r="BL28" s="57" t="s">
        <v>1287</v>
      </c>
      <c r="BM28" s="57" t="s">
        <v>1287</v>
      </c>
      <c r="BN28" s="57" t="s">
        <v>1287</v>
      </c>
      <c r="BO28" s="57" t="s">
        <v>1287</v>
      </c>
      <c r="BP28" s="57" t="s">
        <v>1287</v>
      </c>
      <c r="BQ28" s="57" t="s">
        <v>1287</v>
      </c>
      <c r="BR28" s="57" t="s">
        <v>1287</v>
      </c>
      <c r="BS28" s="57" t="s">
        <v>1287</v>
      </c>
      <c r="BT28" s="57" t="s">
        <v>1287</v>
      </c>
      <c r="BU28" s="57" t="s">
        <v>1287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1428</v>
      </c>
      <c r="BF29" s="118">
        <v>2.6</v>
      </c>
      <c r="BG29" s="49" t="s">
        <v>1377</v>
      </c>
      <c r="BH29" s="49" t="s">
        <v>1377</v>
      </c>
      <c r="BI29" s="1"/>
      <c r="BJ29" s="70" t="s">
        <v>1287</v>
      </c>
      <c r="BK29" s="57" t="s">
        <v>1287</v>
      </c>
      <c r="BL29" s="57" t="s">
        <v>1287</v>
      </c>
      <c r="BM29" s="57" t="s">
        <v>1287</v>
      </c>
      <c r="BN29" s="57" t="s">
        <v>1287</v>
      </c>
      <c r="BO29" s="57" t="s">
        <v>1287</v>
      </c>
      <c r="BP29" s="57" t="s">
        <v>1287</v>
      </c>
      <c r="BQ29" s="57" t="s">
        <v>1287</v>
      </c>
      <c r="BR29" s="57" t="s">
        <v>1287</v>
      </c>
      <c r="BS29" s="57" t="s">
        <v>1287</v>
      </c>
      <c r="BT29" s="57" t="s">
        <v>1287</v>
      </c>
      <c r="BU29" s="57" t="s">
        <v>1287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1033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1428</v>
      </c>
      <c r="BF30" s="118">
        <v>2.71</v>
      </c>
      <c r="BG30" s="49" t="s">
        <v>1377</v>
      </c>
      <c r="BH30" s="49" t="s">
        <v>1377</v>
      </c>
      <c r="BI30" s="1"/>
      <c r="BJ30" s="70" t="s">
        <v>1287</v>
      </c>
      <c r="BK30" s="57" t="s">
        <v>1287</v>
      </c>
      <c r="BL30" s="57" t="s">
        <v>1287</v>
      </c>
      <c r="BM30" s="57" t="s">
        <v>1287</v>
      </c>
      <c r="BN30" s="57" t="s">
        <v>1287</v>
      </c>
      <c r="BO30" s="57" t="s">
        <v>1287</v>
      </c>
      <c r="BP30" s="57" t="s">
        <v>1287</v>
      </c>
      <c r="BQ30" s="57" t="s">
        <v>1287</v>
      </c>
      <c r="BR30" s="57" t="s">
        <v>1287</v>
      </c>
      <c r="BS30" s="57" t="s">
        <v>1287</v>
      </c>
      <c r="BT30" s="57" t="s">
        <v>1287</v>
      </c>
      <c r="BU30" s="57" t="s">
        <v>1287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1428</v>
      </c>
      <c r="BF31" s="118">
        <v>3.31</v>
      </c>
      <c r="BG31" s="49" t="s">
        <v>1377</v>
      </c>
      <c r="BH31" s="49" t="s">
        <v>1377</v>
      </c>
      <c r="BI31" s="1"/>
      <c r="BJ31" s="70" t="s">
        <v>1287</v>
      </c>
      <c r="BK31" s="57" t="s">
        <v>1287</v>
      </c>
      <c r="BL31" s="57" t="s">
        <v>1287</v>
      </c>
      <c r="BM31" s="57" t="s">
        <v>1287</v>
      </c>
      <c r="BN31" s="57" t="s">
        <v>1287</v>
      </c>
      <c r="BO31" s="57" t="s">
        <v>1287</v>
      </c>
      <c r="BP31" s="57" t="s">
        <v>1287</v>
      </c>
      <c r="BQ31" s="57" t="s">
        <v>1287</v>
      </c>
      <c r="BR31" s="57" t="s">
        <v>1287</v>
      </c>
      <c r="BS31" s="57" t="s">
        <v>1287</v>
      </c>
      <c r="BT31" s="57" t="s">
        <v>1287</v>
      </c>
      <c r="BU31" s="57" t="s">
        <v>1287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1034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1374</v>
      </c>
      <c r="BF32" s="118">
        <v>3.6</v>
      </c>
      <c r="BG32" s="49" t="s">
        <v>1377</v>
      </c>
      <c r="BH32" s="49" t="s">
        <v>1377</v>
      </c>
      <c r="BI32" s="1"/>
      <c r="BJ32" s="70" t="s">
        <v>1287</v>
      </c>
      <c r="BK32" s="57" t="s">
        <v>1287</v>
      </c>
      <c r="BL32" s="57" t="s">
        <v>1287</v>
      </c>
      <c r="BM32" s="57" t="s">
        <v>1287</v>
      </c>
      <c r="BN32" s="57" t="s">
        <v>1287</v>
      </c>
      <c r="BO32" s="57" t="s">
        <v>1287</v>
      </c>
      <c r="BP32" s="57" t="s">
        <v>1287</v>
      </c>
      <c r="BQ32" s="57" t="s">
        <v>1287</v>
      </c>
      <c r="BR32" s="57" t="s">
        <v>1287</v>
      </c>
      <c r="BS32" s="57" t="s">
        <v>1287</v>
      </c>
      <c r="BT32" s="57" t="s">
        <v>1287</v>
      </c>
      <c r="BU32" s="57" t="s">
        <v>1287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1035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1374</v>
      </c>
      <c r="BF33" s="118">
        <v>3.27</v>
      </c>
      <c r="BG33" s="49" t="s">
        <v>1377</v>
      </c>
      <c r="BH33" s="49" t="s">
        <v>1377</v>
      </c>
      <c r="BI33" s="1"/>
      <c r="BJ33" s="70" t="s">
        <v>1287</v>
      </c>
      <c r="BK33" s="57" t="s">
        <v>1287</v>
      </c>
      <c r="BL33" s="57" t="s">
        <v>1287</v>
      </c>
      <c r="BM33" s="57" t="s">
        <v>1287</v>
      </c>
      <c r="BN33" s="57" t="s">
        <v>1287</v>
      </c>
      <c r="BO33" s="57" t="s">
        <v>1287</v>
      </c>
      <c r="BP33" s="57" t="s">
        <v>1287</v>
      </c>
      <c r="BQ33" s="57" t="s">
        <v>1287</v>
      </c>
      <c r="BR33" s="57" t="s">
        <v>1287</v>
      </c>
      <c r="BS33" s="57" t="s">
        <v>1287</v>
      </c>
      <c r="BT33" s="57" t="s">
        <v>1287</v>
      </c>
      <c r="BU33" s="57" t="s">
        <v>1287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1036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1374</v>
      </c>
      <c r="BF34" s="118">
        <v>3.34</v>
      </c>
      <c r="BG34" s="49" t="s">
        <v>1377</v>
      </c>
      <c r="BH34" s="49" t="s">
        <v>1377</v>
      </c>
      <c r="BI34" s="1"/>
      <c r="BJ34" s="70" t="s">
        <v>1287</v>
      </c>
      <c r="BK34" s="57" t="s">
        <v>1287</v>
      </c>
      <c r="BL34" s="57" t="s">
        <v>1287</v>
      </c>
      <c r="BM34" s="57" t="s">
        <v>1287</v>
      </c>
      <c r="BN34" s="57" t="s">
        <v>1287</v>
      </c>
      <c r="BO34" s="57" t="s">
        <v>1287</v>
      </c>
      <c r="BP34" s="57" t="s">
        <v>1287</v>
      </c>
      <c r="BQ34" s="57" t="s">
        <v>1287</v>
      </c>
      <c r="BR34" s="57" t="s">
        <v>1287</v>
      </c>
      <c r="BS34" s="57" t="s">
        <v>1287</v>
      </c>
      <c r="BT34" s="57" t="s">
        <v>1287</v>
      </c>
      <c r="BU34" s="57" t="s">
        <v>1287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1103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1376</v>
      </c>
      <c r="BE35" s="3" t="s">
        <v>1374</v>
      </c>
      <c r="BF35" s="118">
        <v>2.7</v>
      </c>
      <c r="BG35" s="49" t="s">
        <v>1377</v>
      </c>
      <c r="BH35" s="49" t="s">
        <v>1377</v>
      </c>
      <c r="BI35" s="1"/>
      <c r="BJ35" s="70" t="s">
        <v>1287</v>
      </c>
      <c r="BK35" s="57" t="s">
        <v>1287</v>
      </c>
      <c r="BL35" s="57" t="s">
        <v>1287</v>
      </c>
      <c r="BM35" s="57" t="s">
        <v>1287</v>
      </c>
      <c r="BN35" s="57" t="s">
        <v>1287</v>
      </c>
      <c r="BO35" s="57" t="s">
        <v>1287</v>
      </c>
      <c r="BP35" s="57" t="s">
        <v>1287</v>
      </c>
      <c r="BQ35" s="57" t="s">
        <v>1287</v>
      </c>
      <c r="BR35" s="57" t="s">
        <v>1287</v>
      </c>
      <c r="BS35" s="57" t="s">
        <v>1287</v>
      </c>
      <c r="BT35" s="57" t="s">
        <v>1287</v>
      </c>
      <c r="BU35" s="57" t="s">
        <v>1287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1374</v>
      </c>
      <c r="BF36" s="118">
        <v>1.8</v>
      </c>
      <c r="BG36" s="49" t="s">
        <v>1377</v>
      </c>
      <c r="BH36" s="49" t="s">
        <v>1377</v>
      </c>
      <c r="BI36" s="1"/>
      <c r="BJ36" s="70" t="s">
        <v>1287</v>
      </c>
      <c r="BK36" s="57" t="s">
        <v>1287</v>
      </c>
      <c r="BL36" s="57" t="s">
        <v>1287</v>
      </c>
      <c r="BM36" s="57" t="s">
        <v>1287</v>
      </c>
      <c r="BN36" s="57" t="s">
        <v>1287</v>
      </c>
      <c r="BO36" s="57" t="s">
        <v>1287</v>
      </c>
      <c r="BP36" s="57" t="s">
        <v>1287</v>
      </c>
      <c r="BQ36" s="57" t="s">
        <v>1287</v>
      </c>
      <c r="BR36" s="57" t="s">
        <v>1287</v>
      </c>
      <c r="BS36" s="57" t="s">
        <v>1287</v>
      </c>
      <c r="BT36" s="57" t="s">
        <v>1287</v>
      </c>
      <c r="BU36" s="57" t="s">
        <v>1287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1054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1429</v>
      </c>
      <c r="BE37" s="3" t="s">
        <v>1428</v>
      </c>
      <c r="BF37" s="118">
        <v>2.6</v>
      </c>
      <c r="BG37" s="49" t="s">
        <v>1377</v>
      </c>
      <c r="BH37" s="49" t="s">
        <v>1377</v>
      </c>
      <c r="BI37" s="1"/>
      <c r="BJ37" s="70" t="s">
        <v>1287</v>
      </c>
      <c r="BK37" s="57" t="s">
        <v>1287</v>
      </c>
      <c r="BL37" s="57" t="s">
        <v>1287</v>
      </c>
      <c r="BM37" s="57" t="s">
        <v>1287</v>
      </c>
      <c r="BN37" s="57" t="s">
        <v>1287</v>
      </c>
      <c r="BO37" s="57" t="s">
        <v>1287</v>
      </c>
      <c r="BP37" s="57" t="s">
        <v>1287</v>
      </c>
      <c r="BQ37" s="57" t="s">
        <v>1287</v>
      </c>
      <c r="BR37" s="57" t="s">
        <v>1287</v>
      </c>
      <c r="BS37" s="57" t="s">
        <v>1287</v>
      </c>
      <c r="BT37" s="57" t="s">
        <v>1287</v>
      </c>
      <c r="BU37" s="57" t="s">
        <v>1287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1292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105" si="225">_xlfn.AGGREGATE(9,6,CH38:CS38)-_xlfn.AGGREGATE(9,6,BV38:CG38)+12</f>
        <v>251</v>
      </c>
      <c r="BD38" s="4" t="s">
        <v>1375</v>
      </c>
      <c r="BE38" s="3" t="s">
        <v>1291</v>
      </c>
      <c r="BF38" s="118">
        <v>3.4</v>
      </c>
      <c r="BG38" s="49" t="s">
        <v>1281</v>
      </c>
      <c r="BH38" s="49" t="s">
        <v>1281</v>
      </c>
      <c r="BI38" s="1"/>
      <c r="BJ38" s="70" t="s">
        <v>1287</v>
      </c>
      <c r="BK38" s="57" t="s">
        <v>1287</v>
      </c>
      <c r="BL38" s="57" t="s">
        <v>1287</v>
      </c>
      <c r="BM38" s="57" t="s">
        <v>1287</v>
      </c>
      <c r="BN38" s="57" t="s">
        <v>1287</v>
      </c>
      <c r="BO38" s="57" t="s">
        <v>1287</v>
      </c>
      <c r="BP38" s="57" t="s">
        <v>1287</v>
      </c>
      <c r="BQ38" s="57" t="s">
        <v>1287</v>
      </c>
      <c r="BR38" s="57" t="s">
        <v>1287</v>
      </c>
      <c r="BS38" s="57" t="s">
        <v>1287</v>
      </c>
      <c r="BT38" s="57" t="s">
        <v>1287</v>
      </c>
      <c r="BU38" s="57" t="s">
        <v>1287</v>
      </c>
      <c r="BV38" s="70">
        <f t="shared" ref="BV38:BV105" si="226">E38</f>
        <v>6</v>
      </c>
      <c r="BW38" s="71">
        <f t="shared" ref="BW38:BW105" si="227">I38</f>
        <v>35</v>
      </c>
      <c r="BX38" s="72">
        <f t="shared" ref="BX38:BX105" si="228">M38</f>
        <v>39</v>
      </c>
      <c r="BY38" s="71">
        <f t="shared" ref="BY38:BY105" si="229">Q38</f>
        <v>70</v>
      </c>
      <c r="BZ38" s="72">
        <f t="shared" ref="BZ38:BZ105" si="230">U38</f>
        <v>73</v>
      </c>
      <c r="CA38" s="71">
        <f t="shared" ref="CA38:CA105" si="231">Y38</f>
        <v>109</v>
      </c>
      <c r="CB38" s="72">
        <f t="shared" ref="CB38:CB105" si="232">AC38</f>
        <v>117</v>
      </c>
      <c r="CC38" s="71">
        <f t="shared" ref="CC38:CC105" si="233">AG38</f>
        <v>166</v>
      </c>
      <c r="CD38" s="72">
        <f t="shared" ref="CD38:CD105" si="234">AK38</f>
        <v>173</v>
      </c>
      <c r="CE38" s="71">
        <f t="shared" ref="CE38:CE105" si="235">AO38</f>
        <v>224</v>
      </c>
      <c r="CF38" s="72">
        <f t="shared" ref="CF38:CF105" si="236">AS38</f>
        <v>266</v>
      </c>
      <c r="CG38" s="71">
        <f t="shared" ref="CG38:CG105" si="237">AW38</f>
        <v>292</v>
      </c>
      <c r="CH38" s="70">
        <f t="shared" ref="CH38:CH105" si="238">G38</f>
        <v>34</v>
      </c>
      <c r="CI38" s="71">
        <f t="shared" ref="CI38:CI105" si="239">K38</f>
        <v>38</v>
      </c>
      <c r="CJ38" s="72">
        <f t="shared" ref="CJ38:CJ105" si="240">O38</f>
        <v>69</v>
      </c>
      <c r="CK38" s="72">
        <f t="shared" ref="CK38:CK105" si="241">S38</f>
        <v>72</v>
      </c>
      <c r="CL38" s="72">
        <f t="shared" ref="CL38:CL105" si="242">W38</f>
        <v>108</v>
      </c>
      <c r="CM38" s="72">
        <f t="shared" ref="CM38:CM105" si="243">AA38</f>
        <v>116</v>
      </c>
      <c r="CN38" s="72">
        <f t="shared" ref="CN38:CN105" si="244">AE38</f>
        <v>142</v>
      </c>
      <c r="CO38" s="72">
        <f t="shared" ref="CO38:CO105" si="245">AI38</f>
        <v>168</v>
      </c>
      <c r="CP38" s="72">
        <f t="shared" ref="CP38:CP105" si="246">AM38</f>
        <v>207</v>
      </c>
      <c r="CQ38" s="72">
        <f t="shared" ref="CQ38:CQ105" si="247">AQ38</f>
        <v>259</v>
      </c>
      <c r="CR38" s="72">
        <f t="shared" ref="CR38:CR105" si="248">AU38</f>
        <v>291</v>
      </c>
      <c r="CS38" s="72">
        <f t="shared" ref="CS38:CS105" si="249">AY38</f>
        <v>305</v>
      </c>
      <c r="CT38" s="23">
        <f t="shared" ref="CT38:CT105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1345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1374</v>
      </c>
      <c r="BF39" s="118">
        <v>1.72</v>
      </c>
      <c r="BG39" s="49" t="s">
        <v>1377</v>
      </c>
      <c r="BH39" s="49" t="s">
        <v>1377</v>
      </c>
      <c r="BI39" s="1"/>
      <c r="BJ39" s="70" t="s">
        <v>1287</v>
      </c>
      <c r="BK39" s="57" t="s">
        <v>1287</v>
      </c>
      <c r="BL39" s="57" t="s">
        <v>1287</v>
      </c>
      <c r="BM39" s="57" t="s">
        <v>1287</v>
      </c>
      <c r="BN39" s="57" t="s">
        <v>1287</v>
      </c>
      <c r="BO39" s="57" t="s">
        <v>1287</v>
      </c>
      <c r="BP39" s="57" t="s">
        <v>1287</v>
      </c>
      <c r="BQ39" s="57" t="s">
        <v>1287</v>
      </c>
      <c r="BR39" s="57" t="s">
        <v>1287</v>
      </c>
      <c r="BS39" s="57" t="s">
        <v>1287</v>
      </c>
      <c r="BT39" s="57" t="s">
        <v>1287</v>
      </c>
      <c r="BU39" s="57" t="s">
        <v>1287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1346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1374</v>
      </c>
      <c r="BF40" s="118">
        <v>1.9</v>
      </c>
      <c r="BG40" s="49" t="s">
        <v>1377</v>
      </c>
      <c r="BH40" s="49" t="s">
        <v>1377</v>
      </c>
      <c r="BI40" s="1"/>
      <c r="BJ40" s="70" t="s">
        <v>1287</v>
      </c>
      <c r="BK40" s="57" t="s">
        <v>1287</v>
      </c>
      <c r="BL40" s="57" t="s">
        <v>1287</v>
      </c>
      <c r="BM40" s="57" t="s">
        <v>1287</v>
      </c>
      <c r="BN40" s="57" t="s">
        <v>1287</v>
      </c>
      <c r="BO40" s="57" t="s">
        <v>1287</v>
      </c>
      <c r="BP40" s="57" t="s">
        <v>1287</v>
      </c>
      <c r="BQ40" s="57" t="s">
        <v>1287</v>
      </c>
      <c r="BR40" s="57" t="s">
        <v>1287</v>
      </c>
      <c r="BS40" s="57" t="s">
        <v>1287</v>
      </c>
      <c r="BT40" s="57" t="s">
        <v>1287</v>
      </c>
      <c r="BU40" s="57" t="s">
        <v>1287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1347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1374</v>
      </c>
      <c r="BF41" s="118">
        <v>2</v>
      </c>
      <c r="BG41" s="49" t="s">
        <v>1377</v>
      </c>
      <c r="BH41" s="49" t="s">
        <v>1377</v>
      </c>
      <c r="BI41" s="1"/>
      <c r="BJ41" s="70" t="s">
        <v>1287</v>
      </c>
      <c r="BK41" s="57" t="s">
        <v>1287</v>
      </c>
      <c r="BL41" s="57" t="s">
        <v>1287</v>
      </c>
      <c r="BM41" s="57" t="s">
        <v>1287</v>
      </c>
      <c r="BN41" s="57" t="s">
        <v>1287</v>
      </c>
      <c r="BO41" s="57" t="s">
        <v>1287</v>
      </c>
      <c r="BP41" s="57" t="s">
        <v>1287</v>
      </c>
      <c r="BQ41" s="57" t="s">
        <v>1287</v>
      </c>
      <c r="BR41" s="57" t="s">
        <v>1287</v>
      </c>
      <c r="BS41" s="57" t="s">
        <v>1287</v>
      </c>
      <c r="BT41" s="57" t="s">
        <v>1287</v>
      </c>
      <c r="BU41" s="57" t="s">
        <v>1287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1348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1374</v>
      </c>
      <c r="BF42" s="118">
        <v>2.2000000000000002</v>
      </c>
      <c r="BG42" s="49" t="s">
        <v>1377</v>
      </c>
      <c r="BH42" s="49" t="s">
        <v>1377</v>
      </c>
      <c r="BI42" s="1"/>
      <c r="BJ42" s="70" t="s">
        <v>1287</v>
      </c>
      <c r="BK42" s="57" t="s">
        <v>1287</v>
      </c>
      <c r="BL42" s="57" t="s">
        <v>1287</v>
      </c>
      <c r="BM42" s="57" t="s">
        <v>1287</v>
      </c>
      <c r="BN42" s="57" t="s">
        <v>1287</v>
      </c>
      <c r="BO42" s="57" t="s">
        <v>1287</v>
      </c>
      <c r="BP42" s="57" t="s">
        <v>1287</v>
      </c>
      <c r="BQ42" s="57" t="s">
        <v>1287</v>
      </c>
      <c r="BR42" s="57" t="s">
        <v>1287</v>
      </c>
      <c r="BS42" s="57" t="s">
        <v>1287</v>
      </c>
      <c r="BT42" s="57" t="s">
        <v>1287</v>
      </c>
      <c r="BU42" s="57" t="s">
        <v>1287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1349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1374</v>
      </c>
      <c r="BF43" s="118">
        <v>2.1</v>
      </c>
      <c r="BG43" s="49" t="s">
        <v>1377</v>
      </c>
      <c r="BH43" s="49" t="s">
        <v>1377</v>
      </c>
      <c r="BI43" s="1"/>
      <c r="BJ43" s="70" t="s">
        <v>1287</v>
      </c>
      <c r="BK43" s="57" t="s">
        <v>1287</v>
      </c>
      <c r="BL43" s="57" t="s">
        <v>1287</v>
      </c>
      <c r="BM43" s="57" t="s">
        <v>1287</v>
      </c>
      <c r="BN43" s="57" t="s">
        <v>1287</v>
      </c>
      <c r="BO43" s="57" t="s">
        <v>1287</v>
      </c>
      <c r="BP43" s="57" t="s">
        <v>1287</v>
      </c>
      <c r="BQ43" s="57" t="s">
        <v>1287</v>
      </c>
      <c r="BR43" s="57" t="s">
        <v>1287</v>
      </c>
      <c r="BS43" s="57" t="s">
        <v>1287</v>
      </c>
      <c r="BT43" s="57" t="s">
        <v>1287</v>
      </c>
      <c r="BU43" s="57" t="s">
        <v>1287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1339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1374</v>
      </c>
      <c r="BF44" s="118">
        <v>2.5</v>
      </c>
      <c r="BG44" s="49" t="s">
        <v>1377</v>
      </c>
      <c r="BH44" s="49" t="s">
        <v>1377</v>
      </c>
      <c r="BI44" s="1"/>
      <c r="BJ44" s="70" t="s">
        <v>1287</v>
      </c>
      <c r="BK44" s="57" t="s">
        <v>1287</v>
      </c>
      <c r="BL44" s="57" t="s">
        <v>1287</v>
      </c>
      <c r="BM44" s="57" t="s">
        <v>1287</v>
      </c>
      <c r="BN44" s="57" t="s">
        <v>1287</v>
      </c>
      <c r="BO44" s="57" t="s">
        <v>1287</v>
      </c>
      <c r="BP44" s="57" t="s">
        <v>1287</v>
      </c>
      <c r="BQ44" s="57" t="s">
        <v>1287</v>
      </c>
      <c r="BR44" s="57" t="s">
        <v>1287</v>
      </c>
      <c r="BS44" s="57" t="s">
        <v>1287</v>
      </c>
      <c r="BT44" s="57" t="s">
        <v>1287</v>
      </c>
      <c r="BU44" s="57" t="s">
        <v>1287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1340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1374</v>
      </c>
      <c r="BF45" s="118">
        <v>2.5</v>
      </c>
      <c r="BG45" s="49" t="s">
        <v>1377</v>
      </c>
      <c r="BH45" s="49" t="s">
        <v>1377</v>
      </c>
      <c r="BI45" s="1"/>
      <c r="BJ45" s="70" t="s">
        <v>1287</v>
      </c>
      <c r="BK45" s="57" t="s">
        <v>1287</v>
      </c>
      <c r="BL45" s="57" t="s">
        <v>1287</v>
      </c>
      <c r="BM45" s="57" t="s">
        <v>1287</v>
      </c>
      <c r="BN45" s="57" t="s">
        <v>1287</v>
      </c>
      <c r="BO45" s="57" t="s">
        <v>1287</v>
      </c>
      <c r="BP45" s="57" t="s">
        <v>1287</v>
      </c>
      <c r="BQ45" s="57" t="s">
        <v>1287</v>
      </c>
      <c r="BR45" s="57" t="s">
        <v>1287</v>
      </c>
      <c r="BS45" s="57" t="s">
        <v>1287</v>
      </c>
      <c r="BT45" s="57" t="s">
        <v>1287</v>
      </c>
      <c r="BU45" s="57" t="s">
        <v>1287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1341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1374</v>
      </c>
      <c r="BF46" s="118">
        <v>1.9</v>
      </c>
      <c r="BG46" s="49" t="s">
        <v>1377</v>
      </c>
      <c r="BH46" s="49" t="s">
        <v>1377</v>
      </c>
      <c r="BI46" s="1"/>
      <c r="BJ46" s="70" t="s">
        <v>1287</v>
      </c>
      <c r="BK46" s="57" t="s">
        <v>1287</v>
      </c>
      <c r="BL46" s="57" t="s">
        <v>1287</v>
      </c>
      <c r="BM46" s="57" t="s">
        <v>1287</v>
      </c>
      <c r="BN46" s="57" t="s">
        <v>1287</v>
      </c>
      <c r="BO46" s="57" t="s">
        <v>1287</v>
      </c>
      <c r="BP46" s="57" t="s">
        <v>1287</v>
      </c>
      <c r="BQ46" s="57" t="s">
        <v>1287</v>
      </c>
      <c r="BR46" s="57" t="s">
        <v>1287</v>
      </c>
      <c r="BS46" s="57" t="s">
        <v>1287</v>
      </c>
      <c r="BT46" s="57" t="s">
        <v>1287</v>
      </c>
      <c r="BU46" s="57" t="s">
        <v>1287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1342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1374</v>
      </c>
      <c r="BF47" s="118">
        <v>1.9</v>
      </c>
      <c r="BG47" s="49" t="s">
        <v>1377</v>
      </c>
      <c r="BH47" s="49" t="s">
        <v>1377</v>
      </c>
      <c r="BI47" s="1"/>
      <c r="BJ47" s="70" t="s">
        <v>1287</v>
      </c>
      <c r="BK47" s="57" t="s">
        <v>1287</v>
      </c>
      <c r="BL47" s="57" t="s">
        <v>1287</v>
      </c>
      <c r="BM47" s="57" t="s">
        <v>1287</v>
      </c>
      <c r="BN47" s="57" t="s">
        <v>1287</v>
      </c>
      <c r="BO47" s="57" t="s">
        <v>1287</v>
      </c>
      <c r="BP47" s="57" t="s">
        <v>1287</v>
      </c>
      <c r="BQ47" s="57" t="s">
        <v>1287</v>
      </c>
      <c r="BR47" s="57" t="s">
        <v>1287</v>
      </c>
      <c r="BS47" s="57" t="s">
        <v>1287</v>
      </c>
      <c r="BT47" s="57" t="s">
        <v>1287</v>
      </c>
      <c r="BU47" s="57" t="s">
        <v>1287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1435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1374</v>
      </c>
      <c r="BF48" s="118">
        <v>2</v>
      </c>
      <c r="BG48" s="49" t="s">
        <v>1</v>
      </c>
      <c r="BH48" s="49" t="s">
        <v>1</v>
      </c>
      <c r="BI48" s="1"/>
      <c r="BJ48" s="70" t="s">
        <v>1287</v>
      </c>
      <c r="BK48" s="57" t="s">
        <v>1287</v>
      </c>
      <c r="BL48" s="57" t="s">
        <v>1287</v>
      </c>
      <c r="BM48" s="57" t="s">
        <v>1287</v>
      </c>
      <c r="BN48" s="57" t="s">
        <v>1287</v>
      </c>
      <c r="BO48" s="57" t="s">
        <v>1287</v>
      </c>
      <c r="BP48" s="57" t="s">
        <v>1287</v>
      </c>
      <c r="BQ48" s="57" t="s">
        <v>1287</v>
      </c>
      <c r="BR48" s="57" t="s">
        <v>1287</v>
      </c>
      <c r="BS48" s="57" t="s">
        <v>1287</v>
      </c>
      <c r="BT48" s="57" t="s">
        <v>1287</v>
      </c>
      <c r="BU48" s="57" t="s">
        <v>1287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1436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1374</v>
      </c>
      <c r="BF49" s="118">
        <v>3</v>
      </c>
      <c r="BG49" s="49" t="s">
        <v>1</v>
      </c>
      <c r="BH49" s="49" t="s">
        <v>1</v>
      </c>
      <c r="BI49" s="1"/>
      <c r="BJ49" s="70" t="s">
        <v>1287</v>
      </c>
      <c r="BK49" s="57" t="s">
        <v>1287</v>
      </c>
      <c r="BL49" s="57" t="s">
        <v>1287</v>
      </c>
      <c r="BM49" s="57" t="s">
        <v>1287</v>
      </c>
      <c r="BN49" s="57" t="s">
        <v>1287</v>
      </c>
      <c r="BO49" s="57" t="s">
        <v>1287</v>
      </c>
      <c r="BP49" s="57" t="s">
        <v>1287</v>
      </c>
      <c r="BQ49" s="57" t="s">
        <v>1287</v>
      </c>
      <c r="BR49" s="57" t="s">
        <v>1287</v>
      </c>
      <c r="BS49" s="57" t="s">
        <v>1287</v>
      </c>
      <c r="BT49" s="57" t="s">
        <v>1287</v>
      </c>
      <c r="BU49" s="57" t="s">
        <v>1287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1430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1374</v>
      </c>
      <c r="BF50" s="118">
        <v>2.9</v>
      </c>
      <c r="BG50" s="49" t="s">
        <v>1</v>
      </c>
      <c r="BH50" s="49" t="s">
        <v>1</v>
      </c>
      <c r="BI50" s="1"/>
      <c r="BJ50" s="70" t="s">
        <v>1287</v>
      </c>
      <c r="BK50" s="57" t="s">
        <v>1287</v>
      </c>
      <c r="BL50" s="57" t="s">
        <v>1287</v>
      </c>
      <c r="BM50" s="57" t="s">
        <v>1287</v>
      </c>
      <c r="BN50" s="57" t="s">
        <v>1287</v>
      </c>
      <c r="BO50" s="57" t="s">
        <v>1287</v>
      </c>
      <c r="BP50" s="57" t="s">
        <v>1287</v>
      </c>
      <c r="BQ50" s="57" t="s">
        <v>1287</v>
      </c>
      <c r="BR50" s="57" t="s">
        <v>1287</v>
      </c>
      <c r="BS50" s="57" t="s">
        <v>1287</v>
      </c>
      <c r="BT50" s="57" t="s">
        <v>1287</v>
      </c>
      <c r="BU50" s="57" t="s">
        <v>1287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1387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1374</v>
      </c>
      <c r="BF51" s="118">
        <v>3.5</v>
      </c>
      <c r="BG51" s="49" t="s">
        <v>1377</v>
      </c>
      <c r="BH51" s="49" t="s">
        <v>1377</v>
      </c>
      <c r="BI51" s="1"/>
      <c r="BJ51" s="70" t="s">
        <v>1287</v>
      </c>
      <c r="BK51" s="57" t="s">
        <v>1287</v>
      </c>
      <c r="BL51" s="57" t="s">
        <v>1287</v>
      </c>
      <c r="BM51" s="57" t="s">
        <v>1287</v>
      </c>
      <c r="BN51" s="57" t="s">
        <v>1287</v>
      </c>
      <c r="BO51" s="57" t="s">
        <v>1287</v>
      </c>
      <c r="BP51" s="57" t="s">
        <v>1287</v>
      </c>
      <c r="BQ51" s="57" t="s">
        <v>1287</v>
      </c>
      <c r="BR51" s="57" t="s">
        <v>1287</v>
      </c>
      <c r="BS51" s="57" t="s">
        <v>1287</v>
      </c>
      <c r="BT51" s="57" t="s">
        <v>1287</v>
      </c>
      <c r="BU51" s="57" t="s">
        <v>1287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1411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1374</v>
      </c>
      <c r="BF52" s="118">
        <v>3.2</v>
      </c>
      <c r="BG52" s="49" t="s">
        <v>1</v>
      </c>
      <c r="BH52" s="49" t="s">
        <v>1</v>
      </c>
      <c r="BI52" s="1"/>
      <c r="BJ52" s="70" t="s">
        <v>1287</v>
      </c>
      <c r="BK52" s="57" t="s">
        <v>1287</v>
      </c>
      <c r="BL52" s="57" t="s">
        <v>1287</v>
      </c>
      <c r="BM52" s="57" t="s">
        <v>1287</v>
      </c>
      <c r="BN52" s="57" t="s">
        <v>1287</v>
      </c>
      <c r="BO52" s="57" t="s">
        <v>1287</v>
      </c>
      <c r="BP52" s="57" t="s">
        <v>1287</v>
      </c>
      <c r="BQ52" s="57" t="s">
        <v>1287</v>
      </c>
      <c r="BR52" s="57" t="s">
        <v>1287</v>
      </c>
      <c r="BS52" s="57" t="s">
        <v>1287</v>
      </c>
      <c r="BT52" s="57" t="s">
        <v>1287</v>
      </c>
      <c r="BU52" s="57" t="s">
        <v>1287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1412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1374</v>
      </c>
      <c r="BF53" s="118">
        <v>2.8</v>
      </c>
      <c r="BG53" s="49" t="s">
        <v>1</v>
      </c>
      <c r="BH53" s="49" t="s">
        <v>1</v>
      </c>
      <c r="BI53" s="1"/>
      <c r="BJ53" s="70" t="s">
        <v>1287</v>
      </c>
      <c r="BK53" s="57" t="s">
        <v>1287</v>
      </c>
      <c r="BL53" s="57" t="s">
        <v>1287</v>
      </c>
      <c r="BM53" s="57" t="s">
        <v>1287</v>
      </c>
      <c r="BN53" s="57" t="s">
        <v>1287</v>
      </c>
      <c r="BO53" s="57" t="s">
        <v>1287</v>
      </c>
      <c r="BP53" s="57" t="s">
        <v>1287</v>
      </c>
      <c r="BQ53" s="57" t="s">
        <v>1287</v>
      </c>
      <c r="BR53" s="57" t="s">
        <v>1287</v>
      </c>
      <c r="BS53" s="57" t="s">
        <v>1287</v>
      </c>
      <c r="BT53" s="57" t="s">
        <v>1287</v>
      </c>
      <c r="BU53" s="57" t="s">
        <v>1287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1443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1374</v>
      </c>
      <c r="BF54" s="118">
        <v>1.95</v>
      </c>
      <c r="BG54" s="49" t="s">
        <v>1</v>
      </c>
      <c r="BH54" s="49" t="s">
        <v>1</v>
      </c>
      <c r="BI54" s="1"/>
      <c r="BJ54" s="70" t="s">
        <v>1287</v>
      </c>
      <c r="BK54" s="57" t="s">
        <v>1287</v>
      </c>
      <c r="BL54" s="57" t="s">
        <v>1287</v>
      </c>
      <c r="BM54" s="57" t="s">
        <v>1287</v>
      </c>
      <c r="BN54" s="57" t="s">
        <v>1287</v>
      </c>
      <c r="BO54" s="57" t="s">
        <v>1287</v>
      </c>
      <c r="BP54" s="57" t="s">
        <v>1287</v>
      </c>
      <c r="BQ54" s="57" t="s">
        <v>1287</v>
      </c>
      <c r="BR54" s="57" t="s">
        <v>1287</v>
      </c>
      <c r="BS54" s="57" t="s">
        <v>1287</v>
      </c>
      <c r="BT54" s="57" t="s">
        <v>1287</v>
      </c>
      <c r="BU54" s="57" t="s">
        <v>1287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1560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1374</v>
      </c>
      <c r="BF55" s="119">
        <v>1.7</v>
      </c>
      <c r="BG55" s="51" t="s">
        <v>1</v>
      </c>
      <c r="BH55" s="51" t="s">
        <v>1</v>
      </c>
      <c r="BJ55" s="111" t="s">
        <v>1287</v>
      </c>
      <c r="BK55" s="112" t="s">
        <v>1287</v>
      </c>
      <c r="BL55" s="112" t="s">
        <v>1287</v>
      </c>
      <c r="BM55" s="112" t="s">
        <v>1287</v>
      </c>
      <c r="BN55" s="112" t="s">
        <v>1287</v>
      </c>
      <c r="BO55" s="112" t="s">
        <v>1287</v>
      </c>
      <c r="BP55" s="112" t="s">
        <v>1287</v>
      </c>
      <c r="BQ55" s="112" t="s">
        <v>1287</v>
      </c>
      <c r="BR55" s="112" t="s">
        <v>1287</v>
      </c>
      <c r="BS55" s="112" t="s">
        <v>1287</v>
      </c>
      <c r="BT55" s="112" t="s">
        <v>1287</v>
      </c>
      <c r="BU55" s="112" t="s">
        <v>1287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1561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1374</v>
      </c>
      <c r="BF56" s="119">
        <v>2.14</v>
      </c>
      <c r="BG56" s="51" t="s">
        <v>1</v>
      </c>
      <c r="BH56" s="51" t="s">
        <v>1</v>
      </c>
      <c r="BJ56" s="111" t="s">
        <v>1287</v>
      </c>
      <c r="BK56" s="112" t="s">
        <v>1287</v>
      </c>
      <c r="BL56" s="112" t="s">
        <v>1287</v>
      </c>
      <c r="BM56" s="112" t="s">
        <v>1287</v>
      </c>
      <c r="BN56" s="112" t="s">
        <v>1287</v>
      </c>
      <c r="BO56" s="112" t="s">
        <v>1287</v>
      </c>
      <c r="BP56" s="112" t="s">
        <v>1287</v>
      </c>
      <c r="BQ56" s="112" t="s">
        <v>1287</v>
      </c>
      <c r="BR56" s="112" t="s">
        <v>1287</v>
      </c>
      <c r="BS56" s="112" t="s">
        <v>1287</v>
      </c>
      <c r="BT56" s="112" t="s">
        <v>1287</v>
      </c>
      <c r="BU56" s="112" t="s">
        <v>1287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1449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1374</v>
      </c>
      <c r="BF57" s="118">
        <v>2.35</v>
      </c>
      <c r="BG57" s="49" t="s">
        <v>1</v>
      </c>
      <c r="BH57" s="49" t="s">
        <v>1</v>
      </c>
      <c r="BI57" s="1"/>
      <c r="BJ57" s="70" t="s">
        <v>1287</v>
      </c>
      <c r="BK57" s="57" t="s">
        <v>1287</v>
      </c>
      <c r="BL57" s="57" t="s">
        <v>1287</v>
      </c>
      <c r="BM57" s="57" t="s">
        <v>1287</v>
      </c>
      <c r="BN57" s="57" t="s">
        <v>1287</v>
      </c>
      <c r="BO57" s="57" t="s">
        <v>1287</v>
      </c>
      <c r="BP57" s="57" t="s">
        <v>1287</v>
      </c>
      <c r="BQ57" s="57" t="s">
        <v>1287</v>
      </c>
      <c r="BR57" s="57" t="s">
        <v>1287</v>
      </c>
      <c r="BS57" s="57" t="s">
        <v>1287</v>
      </c>
      <c r="BT57" s="57" t="s">
        <v>1287</v>
      </c>
      <c r="BU57" s="57" t="s">
        <v>1287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1454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1374</v>
      </c>
      <c r="BF58" s="118">
        <v>1.87</v>
      </c>
      <c r="BG58" s="49" t="s">
        <v>1</v>
      </c>
      <c r="BH58" s="49" t="s">
        <v>1</v>
      </c>
      <c r="BI58" s="1"/>
      <c r="BJ58" s="70" t="s">
        <v>1287</v>
      </c>
      <c r="BK58" s="57" t="s">
        <v>1287</v>
      </c>
      <c r="BL58" s="57" t="s">
        <v>1287</v>
      </c>
      <c r="BM58" s="57" t="s">
        <v>1287</v>
      </c>
      <c r="BN58" s="57" t="s">
        <v>1287</v>
      </c>
      <c r="BO58" s="57" t="s">
        <v>1287</v>
      </c>
      <c r="BP58" s="57" t="s">
        <v>1287</v>
      </c>
      <c r="BQ58" s="57" t="s">
        <v>1287</v>
      </c>
      <c r="BR58" s="57" t="s">
        <v>1287</v>
      </c>
      <c r="BS58" s="57" t="s">
        <v>1287</v>
      </c>
      <c r="BT58" s="57" t="s">
        <v>1287</v>
      </c>
      <c r="BU58" s="57" t="s">
        <v>1287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1455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1374</v>
      </c>
      <c r="BF59" s="118">
        <v>2.6</v>
      </c>
      <c r="BG59" s="49" t="s">
        <v>1</v>
      </c>
      <c r="BH59" s="49" t="s">
        <v>1</v>
      </c>
      <c r="BI59" s="1"/>
      <c r="BJ59" s="70" t="s">
        <v>1287</v>
      </c>
      <c r="BK59" s="57" t="s">
        <v>1287</v>
      </c>
      <c r="BL59" s="57" t="s">
        <v>1287</v>
      </c>
      <c r="BM59" s="57" t="s">
        <v>1287</v>
      </c>
      <c r="BN59" s="57" t="s">
        <v>1287</v>
      </c>
      <c r="BO59" s="57" t="s">
        <v>1287</v>
      </c>
      <c r="BP59" s="57" t="s">
        <v>1287</v>
      </c>
      <c r="BQ59" s="57" t="s">
        <v>1287</v>
      </c>
      <c r="BR59" s="57" t="s">
        <v>1287</v>
      </c>
      <c r="BS59" s="57" t="s">
        <v>1287</v>
      </c>
      <c r="BT59" s="57" t="s">
        <v>1287</v>
      </c>
      <c r="BU59" s="57" t="s">
        <v>1287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1456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1374</v>
      </c>
      <c r="BF60" s="118">
        <v>3.1</v>
      </c>
      <c r="BG60" s="49" t="s">
        <v>1</v>
      </c>
      <c r="BH60" s="49" t="s">
        <v>1</v>
      </c>
      <c r="BI60" s="1"/>
      <c r="BJ60" s="70" t="s">
        <v>1287</v>
      </c>
      <c r="BK60" s="57" t="s">
        <v>1287</v>
      </c>
      <c r="BL60" s="57" t="s">
        <v>1287</v>
      </c>
      <c r="BM60" s="57" t="s">
        <v>1287</v>
      </c>
      <c r="BN60" s="57" t="s">
        <v>1287</v>
      </c>
      <c r="BO60" s="57" t="s">
        <v>1287</v>
      </c>
      <c r="BP60" s="57" t="s">
        <v>1287</v>
      </c>
      <c r="BQ60" s="57" t="s">
        <v>1287</v>
      </c>
      <c r="BR60" s="57" t="s">
        <v>1287</v>
      </c>
      <c r="BS60" s="57" t="s">
        <v>1287</v>
      </c>
      <c r="BT60" s="57" t="s">
        <v>1287</v>
      </c>
      <c r="BU60" s="57" t="s">
        <v>1287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1457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1374</v>
      </c>
      <c r="BF61" s="118">
        <v>2</v>
      </c>
      <c r="BG61" s="49" t="s">
        <v>1</v>
      </c>
      <c r="BH61" s="49" t="s">
        <v>1</v>
      </c>
      <c r="BI61" s="1"/>
      <c r="BJ61" s="70" t="s">
        <v>1287</v>
      </c>
      <c r="BK61" s="57" t="s">
        <v>1287</v>
      </c>
      <c r="BL61" s="57" t="s">
        <v>1287</v>
      </c>
      <c r="BM61" s="57" t="s">
        <v>1287</v>
      </c>
      <c r="BN61" s="57" t="s">
        <v>1287</v>
      </c>
      <c r="BO61" s="57" t="s">
        <v>1287</v>
      </c>
      <c r="BP61" s="57" t="s">
        <v>1287</v>
      </c>
      <c r="BQ61" s="57" t="s">
        <v>1287</v>
      </c>
      <c r="BR61" s="57" t="s">
        <v>1287</v>
      </c>
      <c r="BS61" s="57" t="s">
        <v>1287</v>
      </c>
      <c r="BT61" s="57" t="s">
        <v>1287</v>
      </c>
      <c r="BU61" s="57" t="s">
        <v>1287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1458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1374</v>
      </c>
      <c r="BF62" s="118">
        <v>1.9</v>
      </c>
      <c r="BG62" s="49" t="s">
        <v>1</v>
      </c>
      <c r="BH62" s="49" t="s">
        <v>1</v>
      </c>
      <c r="BI62" s="1"/>
      <c r="BJ62" s="70" t="s">
        <v>1287</v>
      </c>
      <c r="BK62" s="57" t="s">
        <v>1287</v>
      </c>
      <c r="BL62" s="57" t="s">
        <v>1287</v>
      </c>
      <c r="BM62" s="57" t="s">
        <v>1287</v>
      </c>
      <c r="BN62" s="57" t="s">
        <v>1287</v>
      </c>
      <c r="BO62" s="57" t="s">
        <v>1287</v>
      </c>
      <c r="BP62" s="57" t="s">
        <v>1287</v>
      </c>
      <c r="BQ62" s="57" t="s">
        <v>1287</v>
      </c>
      <c r="BR62" s="57" t="s">
        <v>1287</v>
      </c>
      <c r="BS62" s="57" t="s">
        <v>1287</v>
      </c>
      <c r="BT62" s="57" t="s">
        <v>1287</v>
      </c>
      <c r="BU62" s="57" t="s">
        <v>1287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1459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1374</v>
      </c>
      <c r="BF63" s="118">
        <v>2.1</v>
      </c>
      <c r="BG63" s="49" t="s">
        <v>1</v>
      </c>
      <c r="BH63" s="49" t="s">
        <v>1</v>
      </c>
      <c r="BI63" s="1"/>
      <c r="BJ63" s="70" t="s">
        <v>1287</v>
      </c>
      <c r="BK63" s="57" t="s">
        <v>1287</v>
      </c>
      <c r="BL63" s="57" t="s">
        <v>1287</v>
      </c>
      <c r="BM63" s="57" t="s">
        <v>1287</v>
      </c>
      <c r="BN63" s="57" t="s">
        <v>1287</v>
      </c>
      <c r="BO63" s="57" t="s">
        <v>1287</v>
      </c>
      <c r="BP63" s="57" t="s">
        <v>1287</v>
      </c>
      <c r="BQ63" s="57" t="s">
        <v>1287</v>
      </c>
      <c r="BR63" s="57" t="s">
        <v>1287</v>
      </c>
      <c r="BS63" s="57" t="s">
        <v>1287</v>
      </c>
      <c r="BT63" s="57" t="s">
        <v>1287</v>
      </c>
      <c r="BU63" s="57" t="s">
        <v>1287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1460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1374</v>
      </c>
      <c r="BF64" s="118">
        <v>2</v>
      </c>
      <c r="BG64" s="49" t="s">
        <v>1</v>
      </c>
      <c r="BH64" s="49" t="s">
        <v>1</v>
      </c>
      <c r="BI64" s="1"/>
      <c r="BJ64" s="70" t="s">
        <v>1287</v>
      </c>
      <c r="BK64" s="57" t="s">
        <v>1287</v>
      </c>
      <c r="BL64" s="57" t="s">
        <v>1287</v>
      </c>
      <c r="BM64" s="57" t="s">
        <v>1287</v>
      </c>
      <c r="BN64" s="57" t="s">
        <v>1287</v>
      </c>
      <c r="BO64" s="57" t="s">
        <v>1287</v>
      </c>
      <c r="BP64" s="57" t="s">
        <v>1287</v>
      </c>
      <c r="BQ64" s="57" t="s">
        <v>1287</v>
      </c>
      <c r="BR64" s="57" t="s">
        <v>1287</v>
      </c>
      <c r="BS64" s="57" t="s">
        <v>1287</v>
      </c>
      <c r="BT64" s="57" t="s">
        <v>1287</v>
      </c>
      <c r="BU64" s="57" t="s">
        <v>1287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1461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1374</v>
      </c>
      <c r="BF65" s="118">
        <v>2.5099999999999998</v>
      </c>
      <c r="BG65" s="49" t="s">
        <v>1</v>
      </c>
      <c r="BH65" s="49" t="s">
        <v>1</v>
      </c>
      <c r="BI65" s="1"/>
      <c r="BJ65" s="70" t="s">
        <v>1287</v>
      </c>
      <c r="BK65" s="57" t="s">
        <v>1287</v>
      </c>
      <c r="BL65" s="57" t="s">
        <v>1287</v>
      </c>
      <c r="BM65" s="57" t="s">
        <v>1287</v>
      </c>
      <c r="BN65" s="57" t="s">
        <v>1287</v>
      </c>
      <c r="BO65" s="57" t="s">
        <v>1287</v>
      </c>
      <c r="BP65" s="57" t="s">
        <v>1287</v>
      </c>
      <c r="BQ65" s="57" t="s">
        <v>1287</v>
      </c>
      <c r="BR65" s="57" t="s">
        <v>1287</v>
      </c>
      <c r="BS65" s="57" t="s">
        <v>1287</v>
      </c>
      <c r="BT65" s="57" t="s">
        <v>1287</v>
      </c>
      <c r="BU65" s="57" t="s">
        <v>1287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1470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1471</v>
      </c>
      <c r="BF66" s="118">
        <v>2.6</v>
      </c>
      <c r="BG66" s="49" t="s">
        <v>1</v>
      </c>
      <c r="BH66" s="49" t="s">
        <v>1</v>
      </c>
      <c r="BI66" s="1"/>
      <c r="BJ66" s="70" t="s">
        <v>1287</v>
      </c>
      <c r="BK66" s="57" t="s">
        <v>1287</v>
      </c>
      <c r="BL66" s="57" t="s">
        <v>1287</v>
      </c>
      <c r="BM66" s="57" t="s">
        <v>1287</v>
      </c>
      <c r="BN66" s="57" t="s">
        <v>1287</v>
      </c>
      <c r="BO66" s="57" t="s">
        <v>1287</v>
      </c>
      <c r="BP66" s="57" t="s">
        <v>1287</v>
      </c>
      <c r="BQ66" s="57" t="s">
        <v>1287</v>
      </c>
      <c r="BR66" s="57" t="s">
        <v>1287</v>
      </c>
      <c r="BS66" s="57" t="s">
        <v>1287</v>
      </c>
      <c r="BT66" s="57" t="s">
        <v>1287</v>
      </c>
      <c r="BU66" s="57" t="s">
        <v>1287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1472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1471</v>
      </c>
      <c r="BF67" s="118">
        <v>2.9</v>
      </c>
      <c r="BG67" s="49" t="s">
        <v>1</v>
      </c>
      <c r="BH67" s="49" t="s">
        <v>1</v>
      </c>
      <c r="BI67" s="1"/>
      <c r="BJ67" s="70" t="s">
        <v>1287</v>
      </c>
      <c r="BK67" s="57" t="s">
        <v>1287</v>
      </c>
      <c r="BL67" s="57" t="s">
        <v>1287</v>
      </c>
      <c r="BM67" s="57" t="s">
        <v>1287</v>
      </c>
      <c r="BN67" s="57" t="s">
        <v>1287</v>
      </c>
      <c r="BO67" s="57" t="s">
        <v>1287</v>
      </c>
      <c r="BP67" s="57" t="s">
        <v>1287</v>
      </c>
      <c r="BQ67" s="57" t="s">
        <v>1287</v>
      </c>
      <c r="BR67" s="57" t="s">
        <v>1287</v>
      </c>
      <c r="BS67" s="57" t="s">
        <v>1287</v>
      </c>
      <c r="BT67" s="57" t="s">
        <v>1287</v>
      </c>
      <c r="BU67" s="57" t="s">
        <v>1287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1492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1291</v>
      </c>
      <c r="BF68" s="118">
        <v>4.1100000000000003</v>
      </c>
      <c r="BG68" s="49" t="s">
        <v>1</v>
      </c>
      <c r="BH68" s="49" t="s">
        <v>1</v>
      </c>
      <c r="BI68" s="1"/>
      <c r="BJ68" s="70" t="s">
        <v>1287</v>
      </c>
      <c r="BK68" s="57" t="s">
        <v>1287</v>
      </c>
      <c r="BL68" s="57" t="s">
        <v>1287</v>
      </c>
      <c r="BM68" s="57" t="s">
        <v>1287</v>
      </c>
      <c r="BN68" s="57" t="s">
        <v>1287</v>
      </c>
      <c r="BO68" s="57" t="s">
        <v>1287</v>
      </c>
      <c r="BP68" s="57" t="s">
        <v>1287</v>
      </c>
      <c r="BQ68" s="57" t="s">
        <v>1287</v>
      </c>
      <c r="BR68" s="57" t="s">
        <v>1287</v>
      </c>
      <c r="BS68" s="57" t="s">
        <v>1287</v>
      </c>
      <c r="BT68" s="57" t="s">
        <v>1287</v>
      </c>
      <c r="BU68" s="57" t="s">
        <v>1287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s="12" customFormat="1" x14ac:dyDescent="0.2">
      <c r="A69" s="9" t="str">
        <f t="shared" ref="A69" si="335">CONCATENATE(B69,"_",C69)</f>
        <v>aa2ar_human_6MH8</v>
      </c>
      <c r="B69" s="9" t="s">
        <v>139</v>
      </c>
      <c r="C69" s="9" t="s">
        <v>1572</v>
      </c>
      <c r="D69" s="9" t="str">
        <f>IFERROR(MID(VLOOKUP($B69,Seqs!$A:$B,2,0),E69,1),"")</f>
        <v>M</v>
      </c>
      <c r="E69" s="9">
        <v>1</v>
      </c>
      <c r="F69" s="9" t="str">
        <f>IFERROR(MID(VLOOKUP($B69,Seqs!$A:$B,2,0),G69,1),"")</f>
        <v>N</v>
      </c>
      <c r="G69" s="9">
        <v>34</v>
      </c>
      <c r="H69" s="9" t="str">
        <f>IFERROR(MID(VLOOKUP($B69,Seqs!$A:$B,2,0),I69,1),"")</f>
        <v>S</v>
      </c>
      <c r="I69" s="109">
        <v>35</v>
      </c>
      <c r="J69" s="9" t="str">
        <f>IFERROR(MID(VLOOKUP($B69,Seqs!$A:$B,2,0),K69,1),"")</f>
        <v>Q</v>
      </c>
      <c r="K69" s="109">
        <v>38</v>
      </c>
      <c r="L69" s="9" t="str">
        <f>IFERROR(MID(VLOOKUP($B69,Seqs!$A:$B,2,0),M69,1),"")</f>
        <v>N</v>
      </c>
      <c r="M69" s="9">
        <v>39</v>
      </c>
      <c r="N69" s="9" t="str">
        <f>IFERROR(MID(VLOOKUP($B69,Seqs!$A:$B,2,0),O69,1),"")</f>
        <v>G</v>
      </c>
      <c r="O69" s="9">
        <v>69</v>
      </c>
      <c r="P69" s="9" t="str">
        <f>IFERROR(MID(VLOOKUP($B69,Seqs!$A:$B,2,0),Q69,1),"")</f>
        <v>F</v>
      </c>
      <c r="Q69" s="9">
        <v>70</v>
      </c>
      <c r="R69" s="9" t="str">
        <f>IFERROR(MID(VLOOKUP($B69,Seqs!$A:$B,2,0),S69,1),"")</f>
        <v>A</v>
      </c>
      <c r="S69" s="9">
        <v>72</v>
      </c>
      <c r="T69" s="9" t="str">
        <f>IFERROR(MID(VLOOKUP($B69,Seqs!$A:$B,2,0),U69,1),"")</f>
        <v>A</v>
      </c>
      <c r="U69" s="9">
        <v>73</v>
      </c>
      <c r="V69" s="9" t="str">
        <f>IFERROR(MID(VLOOKUP($B69,Seqs!$A:$B,2,0),W69,1),"")</f>
        <v>I</v>
      </c>
      <c r="W69" s="9">
        <v>108</v>
      </c>
      <c r="X69" s="9" t="str">
        <f>IFERROR(MID(VLOOKUP($B69,Seqs!$A:$B,2,0),Y69,1),"")</f>
        <v>P</v>
      </c>
      <c r="Y69" s="9">
        <v>109</v>
      </c>
      <c r="Z69" s="9" t="str">
        <f>IFERROR(MID(VLOOKUP($B69,Seqs!$A:$B,2,0),AA69,1),"")</f>
        <v>V</v>
      </c>
      <c r="AA69" s="9">
        <v>116</v>
      </c>
      <c r="AB69" s="9" t="str">
        <f>IFERROR(MID(VLOOKUP($B69,Seqs!$A:$B,2,0),AC69,1),"")</f>
        <v>T</v>
      </c>
      <c r="AC69" s="9">
        <v>117</v>
      </c>
      <c r="AD69" s="9" t="str">
        <f>IFERROR(MID(VLOOKUP($B69,Seqs!$A:$B,2,0),AE69,1),"")</f>
        <v>G</v>
      </c>
      <c r="AE69" s="9">
        <v>142</v>
      </c>
      <c r="AF69" s="9" t="str">
        <f>IFERROR(MID(VLOOKUP($B69,Seqs!$A:$B,2,0),AG69,1),"")</f>
        <v>C</v>
      </c>
      <c r="AG69" s="9">
        <v>166</v>
      </c>
      <c r="AH69" s="9" t="str">
        <f>IFERROR(MID(VLOOKUP($B69,Seqs!$A:$B,2,0),AI69,1),"")</f>
        <v>F</v>
      </c>
      <c r="AI69" s="9">
        <v>168</v>
      </c>
      <c r="AJ69" s="9" t="str">
        <f>IFERROR(MID(VLOOKUP($B69,Seqs!$A:$B,2,0),AK69,1),"")</f>
        <v>P</v>
      </c>
      <c r="AK69" s="9">
        <v>173</v>
      </c>
      <c r="AL69" s="9" t="str">
        <f>IFERROR(MID(VLOOKUP($B69,Seqs!$A:$B,2,0),AM69,1),"")</f>
        <v>L</v>
      </c>
      <c r="AM69" s="9">
        <v>208</v>
      </c>
      <c r="AN69" s="9" t="str">
        <f>IFERROR(MID(VLOOKUP($B69,Seqs!$A:$B,2,0),AO69,1),"")</f>
        <v>E</v>
      </c>
      <c r="AO69" s="9">
        <v>219</v>
      </c>
      <c r="AP69" s="9" t="str">
        <f>IFERROR(MID(VLOOKUP($B69,Seqs!$A:$B,2,0),AQ69,1),"")</f>
        <v>C</v>
      </c>
      <c r="AQ69" s="9">
        <v>259</v>
      </c>
      <c r="AR69" s="9" t="str">
        <f>IFERROR(MID(VLOOKUP($B69,Seqs!$A:$B,2,0),AS69,1),"")</f>
        <v>P</v>
      </c>
      <c r="AS69" s="9">
        <v>266</v>
      </c>
      <c r="AT69" s="9" t="str">
        <f>IFERROR(MID(VLOOKUP($B69,Seqs!$A:$B,2,0),AU69,1),"")</f>
        <v>R</v>
      </c>
      <c r="AU69" s="9">
        <v>291</v>
      </c>
      <c r="AV69" s="9" t="str">
        <f>IFERROR(MID(VLOOKUP($B69,Seqs!$A:$B,2,0),AW69,1),"")</f>
        <v>I</v>
      </c>
      <c r="AW69" s="9">
        <v>292</v>
      </c>
      <c r="AX69" s="9" t="str">
        <f>IFERROR(MID(VLOOKUP($B69,Seqs!$A:$B,2,0),AY69,1),"")</f>
        <v>H</v>
      </c>
      <c r="AY69" s="9">
        <v>306</v>
      </c>
      <c r="AZ69" s="110" t="str">
        <f>VLOOKUP(B69,Classification!A:D,2,0)</f>
        <v>A</v>
      </c>
      <c r="BA69" s="98" t="str">
        <f>VLOOKUP(B69,Classification!A:D,4,0)</f>
        <v>Adenosine</v>
      </c>
      <c r="BB69" s="36" t="b">
        <f t="shared" ref="BB69" si="336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C69" s="109">
        <f t="shared" ref="BC69" si="337">_xlfn.AGGREGATE(9,6,CH69:CS69)-_xlfn.AGGREGATE(9,6,BV69:CG69)+12</f>
        <v>263</v>
      </c>
      <c r="BD69" s="13" t="s">
        <v>23</v>
      </c>
      <c r="BE69" s="9" t="s">
        <v>1374</v>
      </c>
      <c r="BF69" s="119">
        <v>4.2</v>
      </c>
      <c r="BG69" s="51" t="s">
        <v>1</v>
      </c>
      <c r="BH69" s="51" t="s">
        <v>1</v>
      </c>
      <c r="BJ69" s="111" t="s">
        <v>1287</v>
      </c>
      <c r="BK69" s="112" t="s">
        <v>1287</v>
      </c>
      <c r="BL69" s="112" t="s">
        <v>1287</v>
      </c>
      <c r="BM69" s="112" t="s">
        <v>1287</v>
      </c>
      <c r="BN69" s="112" t="s">
        <v>1287</v>
      </c>
      <c r="BO69" s="112" t="s">
        <v>1287</v>
      </c>
      <c r="BP69" s="112" t="s">
        <v>1287</v>
      </c>
      <c r="BQ69" s="112" t="s">
        <v>1287</v>
      </c>
      <c r="BR69" s="112" t="s">
        <v>1287</v>
      </c>
      <c r="BS69" s="112" t="s">
        <v>1287</v>
      </c>
      <c r="BT69" s="112" t="s">
        <v>1287</v>
      </c>
      <c r="BU69" s="112" t="s">
        <v>1287</v>
      </c>
      <c r="BV69" s="111">
        <f t="shared" ref="BV69" si="338">E69</f>
        <v>1</v>
      </c>
      <c r="BW69" s="113">
        <f t="shared" ref="BW69" si="339">I69</f>
        <v>35</v>
      </c>
      <c r="BX69" s="114">
        <f t="shared" ref="BX69" si="340">M69</f>
        <v>39</v>
      </c>
      <c r="BY69" s="113">
        <f t="shared" ref="BY69" si="341">Q69</f>
        <v>70</v>
      </c>
      <c r="BZ69" s="114">
        <f t="shared" ref="BZ69" si="342">U69</f>
        <v>73</v>
      </c>
      <c r="CA69" s="113">
        <f t="shared" ref="CA69" si="343">Y69</f>
        <v>109</v>
      </c>
      <c r="CB69" s="114">
        <f t="shared" ref="CB69" si="344">AC69</f>
        <v>117</v>
      </c>
      <c r="CC69" s="113">
        <f t="shared" ref="CC69" si="345">AG69</f>
        <v>166</v>
      </c>
      <c r="CD69" s="114">
        <f t="shared" ref="CD69" si="346">AK69</f>
        <v>173</v>
      </c>
      <c r="CE69" s="113">
        <f t="shared" ref="CE69" si="347">AO69</f>
        <v>219</v>
      </c>
      <c r="CF69" s="114">
        <f t="shared" ref="CF69" si="348">AS69</f>
        <v>266</v>
      </c>
      <c r="CG69" s="113">
        <f t="shared" ref="CG69" si="349">AW69</f>
        <v>292</v>
      </c>
      <c r="CH69" s="111">
        <f t="shared" ref="CH69" si="350">G69</f>
        <v>34</v>
      </c>
      <c r="CI69" s="113">
        <f t="shared" ref="CI69" si="351">K69</f>
        <v>38</v>
      </c>
      <c r="CJ69" s="114">
        <f t="shared" ref="CJ69" si="352">O69</f>
        <v>69</v>
      </c>
      <c r="CK69" s="114">
        <f t="shared" ref="CK69" si="353">S69</f>
        <v>72</v>
      </c>
      <c r="CL69" s="114">
        <f t="shared" ref="CL69" si="354">W69</f>
        <v>108</v>
      </c>
      <c r="CM69" s="114">
        <f t="shared" ref="CM69" si="355">AA69</f>
        <v>116</v>
      </c>
      <c r="CN69" s="114">
        <f t="shared" ref="CN69" si="356">AE69</f>
        <v>142</v>
      </c>
      <c r="CO69" s="114">
        <f t="shared" ref="CO69" si="357">AI69</f>
        <v>168</v>
      </c>
      <c r="CP69" s="114">
        <f t="shared" ref="CP69" si="358">AM69</f>
        <v>208</v>
      </c>
      <c r="CQ69" s="114">
        <f t="shared" ref="CQ69" si="359">AQ69</f>
        <v>259</v>
      </c>
      <c r="CR69" s="114">
        <f t="shared" ref="CR69" si="360">AU69</f>
        <v>291</v>
      </c>
      <c r="CS69" s="114">
        <f t="shared" ref="CS69" si="361">AY69</f>
        <v>306</v>
      </c>
      <c r="CT69" s="109">
        <f t="shared" ref="CT69" si="362">M69-K69</f>
        <v>1</v>
      </c>
    </row>
    <row r="70" spans="1:1029" s="12" customFormat="1" x14ac:dyDescent="0.2">
      <c r="A70" s="9" t="str">
        <f t="shared" ref="A70" si="363">CONCATENATE(B70,"_",C70)</f>
        <v>aa2ar_human_6MH9</v>
      </c>
      <c r="B70" s="9" t="s">
        <v>139</v>
      </c>
      <c r="C70" s="9" t="s">
        <v>1582</v>
      </c>
      <c r="D70" s="9" t="str">
        <f>IFERROR(MID(VLOOKUP($B70,Seqs!$A:$B,2,0),E70,1),"")</f>
        <v>M</v>
      </c>
      <c r="E70" s="9">
        <v>1</v>
      </c>
      <c r="F70" s="9" t="str">
        <f>IFERROR(MID(VLOOKUP($B70,Seqs!$A:$B,2,0),G70,1),"")</f>
        <v>N</v>
      </c>
      <c r="G70" s="9">
        <v>34</v>
      </c>
      <c r="H70" s="9" t="str">
        <f>IFERROR(MID(VLOOKUP($B70,Seqs!$A:$B,2,0),I70,1),"")</f>
        <v>S</v>
      </c>
      <c r="I70" s="109">
        <v>35</v>
      </c>
      <c r="J70" s="9" t="str">
        <f>IFERROR(MID(VLOOKUP($B70,Seqs!$A:$B,2,0),K70,1),"")</f>
        <v>Q</v>
      </c>
      <c r="K70" s="109">
        <v>38</v>
      </c>
      <c r="L70" s="9" t="str">
        <f>IFERROR(MID(VLOOKUP($B70,Seqs!$A:$B,2,0),M70,1),"")</f>
        <v>N</v>
      </c>
      <c r="M70" s="9">
        <v>39</v>
      </c>
      <c r="N70" s="9" t="str">
        <f>IFERROR(MID(VLOOKUP($B70,Seqs!$A:$B,2,0),O70,1),"")</f>
        <v>G</v>
      </c>
      <c r="O70" s="9">
        <v>69</v>
      </c>
      <c r="P70" s="9" t="str">
        <f>IFERROR(MID(VLOOKUP($B70,Seqs!$A:$B,2,0),Q70,1),"")</f>
        <v>F</v>
      </c>
      <c r="Q70" s="9">
        <v>70</v>
      </c>
      <c r="R70" s="9" t="str">
        <f>IFERROR(MID(VLOOKUP($B70,Seqs!$A:$B,2,0),S70,1),"")</f>
        <v>A</v>
      </c>
      <c r="S70" s="9">
        <v>72</v>
      </c>
      <c r="T70" s="9" t="str">
        <f>IFERROR(MID(VLOOKUP($B70,Seqs!$A:$B,2,0),U70,1),"")</f>
        <v>A</v>
      </c>
      <c r="U70" s="9">
        <v>73</v>
      </c>
      <c r="V70" s="9" t="str">
        <f>IFERROR(MID(VLOOKUP($B70,Seqs!$A:$B,2,0),W70,1),"")</f>
        <v>I</v>
      </c>
      <c r="W70" s="9">
        <v>108</v>
      </c>
      <c r="X70" s="9" t="str">
        <f>IFERROR(MID(VLOOKUP($B70,Seqs!$A:$B,2,0),Y70,1),"")</f>
        <v>P</v>
      </c>
      <c r="Y70" s="9">
        <v>109</v>
      </c>
      <c r="Z70" s="9" t="str">
        <f>IFERROR(MID(VLOOKUP($B70,Seqs!$A:$B,2,0),AA70,1),"")</f>
        <v>V</v>
      </c>
      <c r="AA70" s="9">
        <v>116</v>
      </c>
      <c r="AB70" s="9" t="str">
        <f>IFERROR(MID(VLOOKUP($B70,Seqs!$A:$B,2,0),AC70,1),"")</f>
        <v>T</v>
      </c>
      <c r="AC70" s="9">
        <v>117</v>
      </c>
      <c r="AD70" s="9" t="str">
        <f>IFERROR(MID(VLOOKUP($B70,Seqs!$A:$B,2,0),AE70,1),"")</f>
        <v>G</v>
      </c>
      <c r="AE70" s="9">
        <v>142</v>
      </c>
      <c r="AF70" s="9" t="str">
        <f>IFERROR(MID(VLOOKUP($B70,Seqs!$A:$B,2,0),AG70,1),"")</f>
        <v>C</v>
      </c>
      <c r="AG70" s="9">
        <v>166</v>
      </c>
      <c r="AH70" s="9" t="str">
        <f>IFERROR(MID(VLOOKUP($B70,Seqs!$A:$B,2,0),AI70,1),"")</f>
        <v>F</v>
      </c>
      <c r="AI70" s="9">
        <v>168</v>
      </c>
      <c r="AJ70" s="9" t="str">
        <f>IFERROR(MID(VLOOKUP($B70,Seqs!$A:$B,2,0),AK70,1),"")</f>
        <v>P</v>
      </c>
      <c r="AK70" s="9">
        <v>173</v>
      </c>
      <c r="AL70" s="9" t="str">
        <f>IFERROR(MID(VLOOKUP($B70,Seqs!$A:$B,2,0),AM70,1),"")</f>
        <v>L</v>
      </c>
      <c r="AM70" s="9">
        <v>208</v>
      </c>
      <c r="AN70" s="9" t="str">
        <f>IFERROR(MID(VLOOKUP($B70,Seqs!$A:$B,2,0),AO70,1),"")</f>
        <v>E</v>
      </c>
      <c r="AO70" s="9">
        <v>219</v>
      </c>
      <c r="AP70" s="9" t="str">
        <f>IFERROR(MID(VLOOKUP($B70,Seqs!$A:$B,2,0),AQ70,1),"")</f>
        <v>C</v>
      </c>
      <c r="AQ70" s="9">
        <v>259</v>
      </c>
      <c r="AR70" s="9" t="str">
        <f>IFERROR(MID(VLOOKUP($B70,Seqs!$A:$B,2,0),AS70,1),"")</f>
        <v>P</v>
      </c>
      <c r="AS70" s="9">
        <v>266</v>
      </c>
      <c r="AT70" s="9" t="str">
        <f>IFERROR(MID(VLOOKUP($B70,Seqs!$A:$B,2,0),AU70,1),"")</f>
        <v>R</v>
      </c>
      <c r="AU70" s="9">
        <v>291</v>
      </c>
      <c r="AV70" s="9" t="str">
        <f>IFERROR(MID(VLOOKUP($B70,Seqs!$A:$B,2,0),AW70,1),"")</f>
        <v>I</v>
      </c>
      <c r="AW70" s="9">
        <v>292</v>
      </c>
      <c r="AX70" s="9" t="str">
        <f>IFERROR(MID(VLOOKUP($B70,Seqs!$A:$B,2,0),AY70,1),"")</f>
        <v>H</v>
      </c>
      <c r="AY70" s="9">
        <v>306</v>
      </c>
      <c r="AZ70" s="110" t="str">
        <f>VLOOKUP(B70,Classification!A:D,2,0)</f>
        <v>A</v>
      </c>
      <c r="BA70" s="98" t="str">
        <f>VLOOKUP(B70,Classification!A:D,4,0)</f>
        <v>Adenosine</v>
      </c>
      <c r="BB70" s="36" t="b">
        <f t="shared" ref="BB70" si="364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365">_xlfn.AGGREGATE(9,6,CH70:CS70)-_xlfn.AGGREGATE(9,6,BV70:CG70)+12</f>
        <v>263</v>
      </c>
      <c r="BD70" s="13" t="s">
        <v>23</v>
      </c>
      <c r="BE70" s="9" t="s">
        <v>1374</v>
      </c>
      <c r="BF70" s="119">
        <v>2</v>
      </c>
      <c r="BG70" s="51" t="s">
        <v>1</v>
      </c>
      <c r="BH70" s="51" t="s">
        <v>1</v>
      </c>
      <c r="BJ70" s="111" t="s">
        <v>1287</v>
      </c>
      <c r="BK70" s="112" t="s">
        <v>1287</v>
      </c>
      <c r="BL70" s="112" t="s">
        <v>1287</v>
      </c>
      <c r="BM70" s="112" t="s">
        <v>1287</v>
      </c>
      <c r="BN70" s="112" t="s">
        <v>1287</v>
      </c>
      <c r="BO70" s="112" t="s">
        <v>1287</v>
      </c>
      <c r="BP70" s="112" t="s">
        <v>1287</v>
      </c>
      <c r="BQ70" s="112" t="s">
        <v>1287</v>
      </c>
      <c r="BR70" s="112" t="s">
        <v>1287</v>
      </c>
      <c r="BS70" s="112" t="s">
        <v>1287</v>
      </c>
      <c r="BT70" s="112" t="s">
        <v>1287</v>
      </c>
      <c r="BU70" s="112" t="s">
        <v>1287</v>
      </c>
      <c r="BV70" s="111">
        <f t="shared" ref="BV70" si="366">E70</f>
        <v>1</v>
      </c>
      <c r="BW70" s="113">
        <f t="shared" ref="BW70" si="367">I70</f>
        <v>35</v>
      </c>
      <c r="BX70" s="114">
        <f t="shared" ref="BX70" si="368">M70</f>
        <v>39</v>
      </c>
      <c r="BY70" s="113">
        <f t="shared" ref="BY70" si="369">Q70</f>
        <v>70</v>
      </c>
      <c r="BZ70" s="114">
        <f t="shared" ref="BZ70" si="370">U70</f>
        <v>73</v>
      </c>
      <c r="CA70" s="113">
        <f t="shared" ref="CA70" si="371">Y70</f>
        <v>109</v>
      </c>
      <c r="CB70" s="114">
        <f t="shared" ref="CB70" si="372">AC70</f>
        <v>117</v>
      </c>
      <c r="CC70" s="113">
        <f t="shared" ref="CC70" si="373">AG70</f>
        <v>166</v>
      </c>
      <c r="CD70" s="114">
        <f t="shared" ref="CD70" si="374">AK70</f>
        <v>173</v>
      </c>
      <c r="CE70" s="113">
        <f t="shared" ref="CE70" si="375">AO70</f>
        <v>219</v>
      </c>
      <c r="CF70" s="114">
        <f t="shared" ref="CF70" si="376">AS70</f>
        <v>266</v>
      </c>
      <c r="CG70" s="113">
        <f t="shared" ref="CG70" si="377">AW70</f>
        <v>292</v>
      </c>
      <c r="CH70" s="111">
        <f t="shared" ref="CH70" si="378">G70</f>
        <v>34</v>
      </c>
      <c r="CI70" s="113">
        <f t="shared" ref="CI70" si="379">K70</f>
        <v>38</v>
      </c>
      <c r="CJ70" s="114">
        <f t="shared" ref="CJ70" si="380">O70</f>
        <v>69</v>
      </c>
      <c r="CK70" s="114">
        <f t="shared" ref="CK70" si="381">S70</f>
        <v>72</v>
      </c>
      <c r="CL70" s="114">
        <f t="shared" ref="CL70" si="382">W70</f>
        <v>108</v>
      </c>
      <c r="CM70" s="114">
        <f t="shared" ref="CM70" si="383">AA70</f>
        <v>116</v>
      </c>
      <c r="CN70" s="114">
        <f t="shared" ref="CN70" si="384">AE70</f>
        <v>142</v>
      </c>
      <c r="CO70" s="114">
        <f t="shared" ref="CO70" si="385">AI70</f>
        <v>168</v>
      </c>
      <c r="CP70" s="114">
        <f t="shared" ref="CP70" si="386">AM70</f>
        <v>208</v>
      </c>
      <c r="CQ70" s="114">
        <f t="shared" ref="CQ70" si="387">AQ70</f>
        <v>259</v>
      </c>
      <c r="CR70" s="114">
        <f t="shared" ref="CR70" si="388">AU70</f>
        <v>291</v>
      </c>
      <c r="CS70" s="114">
        <f t="shared" ref="CS70" si="389">AY70</f>
        <v>306</v>
      </c>
      <c r="CT70" s="109">
        <f t="shared" ref="CT70" si="390">M70-K70</f>
        <v>1</v>
      </c>
    </row>
    <row r="71" spans="1:1029" s="12" customFormat="1" x14ac:dyDescent="0.2">
      <c r="A71" s="9" t="str">
        <f t="shared" ref="A71" si="391">CONCATENATE(B71,"_",C71)</f>
        <v>aa2ar_human_6GT3</v>
      </c>
      <c r="B71" s="9" t="s">
        <v>139</v>
      </c>
      <c r="C71" s="9" t="s">
        <v>1589</v>
      </c>
      <c r="D71" s="9" t="str">
        <f>IFERROR(MID(VLOOKUP($B71,Seqs!$A:$B,2,0),E71,1),"")</f>
        <v>M</v>
      </c>
      <c r="E71" s="9">
        <v>1</v>
      </c>
      <c r="F71" s="9" t="str">
        <f>IFERROR(MID(VLOOKUP($B71,Seqs!$A:$B,2,0),G71,1),"")</f>
        <v>N</v>
      </c>
      <c r="G71" s="9">
        <v>34</v>
      </c>
      <c r="H71" s="9" t="str">
        <f>IFERROR(MID(VLOOKUP($B71,Seqs!$A:$B,2,0),I71,1),"")</f>
        <v>S</v>
      </c>
      <c r="I71" s="109">
        <v>35</v>
      </c>
      <c r="J71" s="9" t="str">
        <f>IFERROR(MID(VLOOKUP($B71,Seqs!$A:$B,2,0),K71,1),"")</f>
        <v>Q</v>
      </c>
      <c r="K71" s="109">
        <v>38</v>
      </c>
      <c r="L71" s="9" t="str">
        <f>IFERROR(MID(VLOOKUP($B71,Seqs!$A:$B,2,0),M71,1),"")</f>
        <v>N</v>
      </c>
      <c r="M71" s="9">
        <v>39</v>
      </c>
      <c r="N71" s="9" t="str">
        <f>IFERROR(MID(VLOOKUP($B71,Seqs!$A:$B,2,0),O71,1),"")</f>
        <v>G</v>
      </c>
      <c r="O71" s="9">
        <v>69</v>
      </c>
      <c r="P71" s="9" t="str">
        <f>IFERROR(MID(VLOOKUP($B71,Seqs!$A:$B,2,0),Q71,1),"")</f>
        <v>F</v>
      </c>
      <c r="Q71" s="9">
        <v>70</v>
      </c>
      <c r="R71" s="9" t="str">
        <f>IFERROR(MID(VLOOKUP($B71,Seqs!$A:$B,2,0),S71,1),"")</f>
        <v>A</v>
      </c>
      <c r="S71" s="9">
        <v>72</v>
      </c>
      <c r="T71" s="9" t="str">
        <f>IFERROR(MID(VLOOKUP($B71,Seqs!$A:$B,2,0),U71,1),"")</f>
        <v>A</v>
      </c>
      <c r="U71" s="9">
        <v>73</v>
      </c>
      <c r="V71" s="9" t="str">
        <f>IFERROR(MID(VLOOKUP($B71,Seqs!$A:$B,2,0),W71,1),"")</f>
        <v>I</v>
      </c>
      <c r="W71" s="9">
        <v>108</v>
      </c>
      <c r="X71" s="9" t="str">
        <f>IFERROR(MID(VLOOKUP($B71,Seqs!$A:$B,2,0),Y71,1),"")</f>
        <v>P</v>
      </c>
      <c r="Y71" s="9">
        <v>109</v>
      </c>
      <c r="Z71" s="9" t="str">
        <f>IFERROR(MID(VLOOKUP($B71,Seqs!$A:$B,2,0),AA71,1),"")</f>
        <v>V</v>
      </c>
      <c r="AA71" s="9">
        <v>116</v>
      </c>
      <c r="AB71" s="9" t="str">
        <f>IFERROR(MID(VLOOKUP($B71,Seqs!$A:$B,2,0),AC71,1),"")</f>
        <v>T</v>
      </c>
      <c r="AC71" s="9">
        <v>117</v>
      </c>
      <c r="AD71" s="9" t="str">
        <f>IFERROR(MID(VLOOKUP($B71,Seqs!$A:$B,2,0),AE71,1),"")</f>
        <v>G</v>
      </c>
      <c r="AE71" s="9">
        <v>142</v>
      </c>
      <c r="AF71" s="9" t="str">
        <f>IFERROR(MID(VLOOKUP($B71,Seqs!$A:$B,2,0),AG71,1),"")</f>
        <v>C</v>
      </c>
      <c r="AG71" s="9">
        <v>166</v>
      </c>
      <c r="AH71" s="9" t="str">
        <f>IFERROR(MID(VLOOKUP($B71,Seqs!$A:$B,2,0),AI71,1),"")</f>
        <v>F</v>
      </c>
      <c r="AI71" s="9">
        <v>168</v>
      </c>
      <c r="AJ71" s="9" t="str">
        <f>IFERROR(MID(VLOOKUP($B71,Seqs!$A:$B,2,0),AK71,1),"")</f>
        <v>P</v>
      </c>
      <c r="AK71" s="9">
        <v>173</v>
      </c>
      <c r="AL71" s="9" t="str">
        <f>IFERROR(MID(VLOOKUP($B71,Seqs!$A:$B,2,0),AM71,1),"")</f>
        <v>L</v>
      </c>
      <c r="AM71" s="9">
        <v>208</v>
      </c>
      <c r="AN71" s="9" t="str">
        <f>IFERROR(MID(VLOOKUP($B71,Seqs!$A:$B,2,0),AO71,1),"")</f>
        <v>E</v>
      </c>
      <c r="AO71" s="9">
        <v>219</v>
      </c>
      <c r="AP71" s="9" t="str">
        <f>IFERROR(MID(VLOOKUP($B71,Seqs!$A:$B,2,0),AQ71,1),"")</f>
        <v>C</v>
      </c>
      <c r="AQ71" s="9">
        <v>259</v>
      </c>
      <c r="AR71" s="9" t="str">
        <f>IFERROR(MID(VLOOKUP($B71,Seqs!$A:$B,2,0),AS71,1),"")</f>
        <v>P</v>
      </c>
      <c r="AS71" s="9">
        <v>266</v>
      </c>
      <c r="AT71" s="9" t="str">
        <f>IFERROR(MID(VLOOKUP($B71,Seqs!$A:$B,2,0),AU71,1),"")</f>
        <v>R</v>
      </c>
      <c r="AU71" s="9">
        <v>291</v>
      </c>
      <c r="AV71" s="9" t="str">
        <f>IFERROR(MID(VLOOKUP($B71,Seqs!$A:$B,2,0),AW71,1),"")</f>
        <v>I</v>
      </c>
      <c r="AW71" s="9">
        <v>292</v>
      </c>
      <c r="AX71" s="9" t="str">
        <f>IFERROR(MID(VLOOKUP($B71,Seqs!$A:$B,2,0),AY71,1),"")</f>
        <v>S</v>
      </c>
      <c r="AY71" s="9">
        <v>305</v>
      </c>
      <c r="AZ71" s="110" t="str">
        <f>VLOOKUP(B71,Classification!A:D,2,0)</f>
        <v>A</v>
      </c>
      <c r="BA71" s="98" t="str">
        <f>VLOOKUP(B71,Classification!A:D,4,0)</f>
        <v>Adenosine</v>
      </c>
      <c r="BB71" s="36" t="b">
        <f t="shared" ref="BB71" si="392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393">_xlfn.AGGREGATE(9,6,CH71:CS71)-_xlfn.AGGREGATE(9,6,BV71:CG71)+12</f>
        <v>262</v>
      </c>
      <c r="BD71" s="13" t="s">
        <v>23</v>
      </c>
      <c r="BE71" s="9" t="s">
        <v>1374</v>
      </c>
      <c r="BF71" s="119">
        <v>2</v>
      </c>
      <c r="BG71" s="51" t="s">
        <v>1</v>
      </c>
      <c r="BH71" s="51" t="s">
        <v>1</v>
      </c>
      <c r="BJ71" s="111" t="s">
        <v>1287</v>
      </c>
      <c r="BK71" s="112" t="s">
        <v>1287</v>
      </c>
      <c r="BL71" s="112" t="s">
        <v>1287</v>
      </c>
      <c r="BM71" s="112" t="s">
        <v>1287</v>
      </c>
      <c r="BN71" s="112" t="s">
        <v>1287</v>
      </c>
      <c r="BO71" s="112" t="s">
        <v>1287</v>
      </c>
      <c r="BP71" s="112" t="s">
        <v>1287</v>
      </c>
      <c r="BQ71" s="112" t="s">
        <v>1287</v>
      </c>
      <c r="BR71" s="112" t="s">
        <v>1287</v>
      </c>
      <c r="BS71" s="112" t="s">
        <v>1287</v>
      </c>
      <c r="BT71" s="112" t="s">
        <v>1287</v>
      </c>
      <c r="BU71" s="112" t="s">
        <v>1287</v>
      </c>
      <c r="BV71" s="111">
        <f t="shared" ref="BV71" si="394">E71</f>
        <v>1</v>
      </c>
      <c r="BW71" s="113">
        <f t="shared" ref="BW71" si="395">I71</f>
        <v>35</v>
      </c>
      <c r="BX71" s="114">
        <f t="shared" ref="BX71" si="396">M71</f>
        <v>39</v>
      </c>
      <c r="BY71" s="113">
        <f t="shared" ref="BY71" si="397">Q71</f>
        <v>70</v>
      </c>
      <c r="BZ71" s="114">
        <f t="shared" ref="BZ71" si="398">U71</f>
        <v>73</v>
      </c>
      <c r="CA71" s="113">
        <f t="shared" ref="CA71" si="399">Y71</f>
        <v>109</v>
      </c>
      <c r="CB71" s="114">
        <f t="shared" ref="CB71" si="400">AC71</f>
        <v>117</v>
      </c>
      <c r="CC71" s="113">
        <f t="shared" ref="CC71" si="401">AG71</f>
        <v>166</v>
      </c>
      <c r="CD71" s="114">
        <f t="shared" ref="CD71" si="402">AK71</f>
        <v>173</v>
      </c>
      <c r="CE71" s="113">
        <f t="shared" ref="CE71" si="403">AO71</f>
        <v>219</v>
      </c>
      <c r="CF71" s="114">
        <f t="shared" ref="CF71" si="404">AS71</f>
        <v>266</v>
      </c>
      <c r="CG71" s="113">
        <f t="shared" ref="CG71" si="405">AW71</f>
        <v>292</v>
      </c>
      <c r="CH71" s="111">
        <f t="shared" ref="CH71" si="406">G71</f>
        <v>34</v>
      </c>
      <c r="CI71" s="113">
        <f t="shared" ref="CI71" si="407">K71</f>
        <v>38</v>
      </c>
      <c r="CJ71" s="114">
        <f t="shared" ref="CJ71" si="408">O71</f>
        <v>69</v>
      </c>
      <c r="CK71" s="114">
        <f t="shared" ref="CK71" si="409">S71</f>
        <v>72</v>
      </c>
      <c r="CL71" s="114">
        <f t="shared" ref="CL71" si="410">W71</f>
        <v>108</v>
      </c>
      <c r="CM71" s="114">
        <f t="shared" ref="CM71" si="411">AA71</f>
        <v>116</v>
      </c>
      <c r="CN71" s="114">
        <f t="shared" ref="CN71" si="412">AE71</f>
        <v>142</v>
      </c>
      <c r="CO71" s="114">
        <f t="shared" ref="CO71" si="413">AI71</f>
        <v>168</v>
      </c>
      <c r="CP71" s="114">
        <f t="shared" ref="CP71" si="414">AM71</f>
        <v>208</v>
      </c>
      <c r="CQ71" s="114">
        <f t="shared" ref="CQ71" si="415">AQ71</f>
        <v>259</v>
      </c>
      <c r="CR71" s="114">
        <f t="shared" ref="CR71" si="416">AU71</f>
        <v>291</v>
      </c>
      <c r="CS71" s="114">
        <f t="shared" ref="CS71" si="417">AY71</f>
        <v>305</v>
      </c>
      <c r="CT71" s="109">
        <f t="shared" ref="CT71" si="418">M71-K71</f>
        <v>1</v>
      </c>
    </row>
    <row r="72" spans="1:1029" s="12" customFormat="1" x14ac:dyDescent="0.2">
      <c r="A72" s="9" t="str">
        <f t="shared" ref="A72" si="419">CONCATENATE(B72,"_",C72)</f>
        <v>aa2ar_human_6JZH</v>
      </c>
      <c r="B72" s="9" t="s">
        <v>139</v>
      </c>
      <c r="C72" s="9" t="s">
        <v>1603</v>
      </c>
      <c r="D72" s="9" t="str">
        <f>IFERROR(MID(VLOOKUP($B72,Seqs!$A:$B,2,0),E72,1),"")</f>
        <v>M</v>
      </c>
      <c r="E72" s="9">
        <v>1</v>
      </c>
      <c r="F72" s="9" t="str">
        <f>IFERROR(MID(VLOOKUP($B72,Seqs!$A:$B,2,0),G72,1),"")</f>
        <v>N</v>
      </c>
      <c r="G72" s="9">
        <v>34</v>
      </c>
      <c r="H72" s="9" t="str">
        <f>IFERROR(MID(VLOOKUP($B72,Seqs!$A:$B,2,0),I72,1),"")</f>
        <v>S</v>
      </c>
      <c r="I72" s="109">
        <v>35</v>
      </c>
      <c r="J72" s="9" t="str">
        <f>IFERROR(MID(VLOOKUP($B72,Seqs!$A:$B,2,0),K72,1),"")</f>
        <v>Q</v>
      </c>
      <c r="K72" s="109">
        <v>38</v>
      </c>
      <c r="L72" s="9" t="str">
        <f>IFERROR(MID(VLOOKUP($B72,Seqs!$A:$B,2,0),M72,1),"")</f>
        <v>N</v>
      </c>
      <c r="M72" s="9">
        <v>39</v>
      </c>
      <c r="N72" s="9" t="str">
        <f>IFERROR(MID(VLOOKUP($B72,Seqs!$A:$B,2,0),O72,1),"")</f>
        <v>G</v>
      </c>
      <c r="O72" s="9">
        <v>69</v>
      </c>
      <c r="P72" s="9" t="str">
        <f>IFERROR(MID(VLOOKUP($B72,Seqs!$A:$B,2,0),Q72,1),"")</f>
        <v>F</v>
      </c>
      <c r="Q72" s="9">
        <v>70</v>
      </c>
      <c r="R72" s="9" t="str">
        <f>IFERROR(MID(VLOOKUP($B72,Seqs!$A:$B,2,0),S72,1),"")</f>
        <v>A</v>
      </c>
      <c r="S72" s="9">
        <v>72</v>
      </c>
      <c r="T72" s="9" t="str">
        <f>IFERROR(MID(VLOOKUP($B72,Seqs!$A:$B,2,0),U72,1),"")</f>
        <v>A</v>
      </c>
      <c r="U72" s="9">
        <v>73</v>
      </c>
      <c r="V72" s="9" t="str">
        <f>IFERROR(MID(VLOOKUP($B72,Seqs!$A:$B,2,0),W72,1),"")</f>
        <v>I</v>
      </c>
      <c r="W72" s="9">
        <v>108</v>
      </c>
      <c r="X72" s="9" t="str">
        <f>IFERROR(MID(VLOOKUP($B72,Seqs!$A:$B,2,0),Y72,1),"")</f>
        <v>P</v>
      </c>
      <c r="Y72" s="9">
        <v>109</v>
      </c>
      <c r="Z72" s="9" t="str">
        <f>IFERROR(MID(VLOOKUP($B72,Seqs!$A:$B,2,0),AA72,1),"")</f>
        <v>V</v>
      </c>
      <c r="AA72" s="9">
        <v>116</v>
      </c>
      <c r="AB72" s="9" t="str">
        <f>IFERROR(MID(VLOOKUP($B72,Seqs!$A:$B,2,0),AC72,1),"")</f>
        <v>T</v>
      </c>
      <c r="AC72" s="9">
        <v>117</v>
      </c>
      <c r="AD72" s="9" t="str">
        <f>IFERROR(MID(VLOOKUP($B72,Seqs!$A:$B,2,0),AE72,1),"")</f>
        <v>G</v>
      </c>
      <c r="AE72" s="9">
        <v>142</v>
      </c>
      <c r="AF72" s="9" t="str">
        <f>IFERROR(MID(VLOOKUP($B72,Seqs!$A:$B,2,0),AG72,1),"")</f>
        <v>C</v>
      </c>
      <c r="AG72" s="9">
        <v>166</v>
      </c>
      <c r="AH72" s="9" t="str">
        <f>IFERROR(MID(VLOOKUP($B72,Seqs!$A:$B,2,0),AI72,1),"")</f>
        <v>F</v>
      </c>
      <c r="AI72" s="9">
        <v>168</v>
      </c>
      <c r="AJ72" s="9" t="str">
        <f>IFERROR(MID(VLOOKUP($B72,Seqs!$A:$B,2,0),AK72,1),"")</f>
        <v>P</v>
      </c>
      <c r="AK72" s="9">
        <v>173</v>
      </c>
      <c r="AL72" s="9" t="str">
        <f>IFERROR(MID(VLOOKUP($B72,Seqs!$A:$B,2,0),AM72,1),"")</f>
        <v>L</v>
      </c>
      <c r="AM72" s="9">
        <v>208</v>
      </c>
      <c r="AN72" s="9" t="str">
        <f>IFERROR(MID(VLOOKUP($B72,Seqs!$A:$B,2,0),AO72,1),"")</f>
        <v>E</v>
      </c>
      <c r="AO72" s="9">
        <v>219</v>
      </c>
      <c r="AP72" s="9" t="str">
        <f>IFERROR(MID(VLOOKUP($B72,Seqs!$A:$B,2,0),AQ72,1),"")</f>
        <v>C</v>
      </c>
      <c r="AQ72" s="9">
        <v>259</v>
      </c>
      <c r="AR72" s="9" t="str">
        <f>IFERROR(MID(VLOOKUP($B72,Seqs!$A:$B,2,0),AS72,1),"")</f>
        <v>P</v>
      </c>
      <c r="AS72" s="9">
        <v>266</v>
      </c>
      <c r="AT72" s="9" t="str">
        <f>IFERROR(MID(VLOOKUP($B72,Seqs!$A:$B,2,0),AU72,1),"")</f>
        <v>R</v>
      </c>
      <c r="AU72" s="9">
        <v>291</v>
      </c>
      <c r="AV72" s="9" t="str">
        <f>IFERROR(MID(VLOOKUP($B72,Seqs!$A:$B,2,0),AW72,1),"")</f>
        <v>I</v>
      </c>
      <c r="AW72" s="9">
        <v>292</v>
      </c>
      <c r="AX72" s="9" t="str">
        <f>IFERROR(MID(VLOOKUP($B72,Seqs!$A:$B,2,0),AY72,1),"")</f>
        <v>V</v>
      </c>
      <c r="AY72" s="9">
        <v>307</v>
      </c>
      <c r="AZ72" s="110" t="str">
        <f>VLOOKUP(B72,Classification!A:D,2,0)</f>
        <v>A</v>
      </c>
      <c r="BA72" s="98" t="str">
        <f>VLOOKUP(B72,Classification!A:D,4,0)</f>
        <v>Adenosine</v>
      </c>
      <c r="BB72" s="36" t="b">
        <f t="shared" ref="BB72" si="420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421">_xlfn.AGGREGATE(9,6,CH72:CS72)-_xlfn.AGGREGATE(9,6,BV72:CG72)+12</f>
        <v>264</v>
      </c>
      <c r="BD72" s="13" t="s">
        <v>23</v>
      </c>
      <c r="BE72" s="9" t="s">
        <v>1374</v>
      </c>
      <c r="BF72" s="119">
        <v>2.25</v>
      </c>
      <c r="BG72" s="51" t="s">
        <v>1</v>
      </c>
      <c r="BH72" s="51" t="s">
        <v>1</v>
      </c>
      <c r="BJ72" s="111" t="s">
        <v>1287</v>
      </c>
      <c r="BK72" s="112" t="s">
        <v>1287</v>
      </c>
      <c r="BL72" s="112" t="s">
        <v>1287</v>
      </c>
      <c r="BM72" s="112" t="s">
        <v>1287</v>
      </c>
      <c r="BN72" s="112" t="s">
        <v>1287</v>
      </c>
      <c r="BO72" s="112" t="s">
        <v>1287</v>
      </c>
      <c r="BP72" s="112" t="s">
        <v>1287</v>
      </c>
      <c r="BQ72" s="112" t="s">
        <v>1287</v>
      </c>
      <c r="BR72" s="112" t="s">
        <v>1287</v>
      </c>
      <c r="BS72" s="112" t="s">
        <v>1287</v>
      </c>
      <c r="BT72" s="112" t="s">
        <v>1287</v>
      </c>
      <c r="BU72" s="112" t="s">
        <v>1287</v>
      </c>
      <c r="BV72" s="111">
        <f t="shared" ref="BV72" si="422">E72</f>
        <v>1</v>
      </c>
      <c r="BW72" s="113">
        <f t="shared" ref="BW72" si="423">I72</f>
        <v>35</v>
      </c>
      <c r="BX72" s="114">
        <f t="shared" ref="BX72" si="424">M72</f>
        <v>39</v>
      </c>
      <c r="BY72" s="113">
        <f t="shared" ref="BY72" si="425">Q72</f>
        <v>70</v>
      </c>
      <c r="BZ72" s="114">
        <f t="shared" ref="BZ72" si="426">U72</f>
        <v>73</v>
      </c>
      <c r="CA72" s="113">
        <f t="shared" ref="CA72" si="427">Y72</f>
        <v>109</v>
      </c>
      <c r="CB72" s="114">
        <f t="shared" ref="CB72" si="428">AC72</f>
        <v>117</v>
      </c>
      <c r="CC72" s="113">
        <f t="shared" ref="CC72" si="429">AG72</f>
        <v>166</v>
      </c>
      <c r="CD72" s="114">
        <f t="shared" ref="CD72" si="430">AK72</f>
        <v>173</v>
      </c>
      <c r="CE72" s="113">
        <f t="shared" ref="CE72" si="431">AO72</f>
        <v>219</v>
      </c>
      <c r="CF72" s="114">
        <f t="shared" ref="CF72" si="432">AS72</f>
        <v>266</v>
      </c>
      <c r="CG72" s="113">
        <f t="shared" ref="CG72" si="433">AW72</f>
        <v>292</v>
      </c>
      <c r="CH72" s="111">
        <f t="shared" ref="CH72" si="434">G72</f>
        <v>34</v>
      </c>
      <c r="CI72" s="113">
        <f t="shared" ref="CI72" si="435">K72</f>
        <v>38</v>
      </c>
      <c r="CJ72" s="114">
        <f t="shared" ref="CJ72" si="436">O72</f>
        <v>69</v>
      </c>
      <c r="CK72" s="114">
        <f t="shared" ref="CK72" si="437">S72</f>
        <v>72</v>
      </c>
      <c r="CL72" s="114">
        <f t="shared" ref="CL72" si="438">W72</f>
        <v>108</v>
      </c>
      <c r="CM72" s="114">
        <f t="shared" ref="CM72" si="439">AA72</f>
        <v>116</v>
      </c>
      <c r="CN72" s="114">
        <f t="shared" ref="CN72" si="440">AE72</f>
        <v>142</v>
      </c>
      <c r="CO72" s="114">
        <f t="shared" ref="CO72" si="441">AI72</f>
        <v>168</v>
      </c>
      <c r="CP72" s="114">
        <f t="shared" ref="CP72" si="442">AM72</f>
        <v>208</v>
      </c>
      <c r="CQ72" s="114">
        <f t="shared" ref="CQ72" si="443">AQ72</f>
        <v>259</v>
      </c>
      <c r="CR72" s="114">
        <f t="shared" ref="CR72" si="444">AU72</f>
        <v>291</v>
      </c>
      <c r="CS72" s="114">
        <f t="shared" ref="CS72" si="445">AY72</f>
        <v>307</v>
      </c>
      <c r="CT72" s="109">
        <f t="shared" ref="CT72" si="446">M72-K72</f>
        <v>1</v>
      </c>
    </row>
    <row r="73" spans="1:1029" s="12" customFormat="1" x14ac:dyDescent="0.2">
      <c r="A73" s="9" t="str">
        <f t="shared" ref="A73" si="447">CONCATENATE(B73,"_",C73)</f>
        <v>aa2ar_human_6PS7</v>
      </c>
      <c r="B73" s="9" t="s">
        <v>139</v>
      </c>
      <c r="C73" s="9" t="s">
        <v>1615</v>
      </c>
      <c r="D73" s="9" t="str">
        <f>IFERROR(MID(VLOOKUP($B73,Seqs!$A:$B,2,0),E73,1),"")</f>
        <v>M</v>
      </c>
      <c r="E73" s="9">
        <v>1</v>
      </c>
      <c r="F73" s="9" t="str">
        <f>IFERROR(MID(VLOOKUP($B73,Seqs!$A:$B,2,0),G73,1),"")</f>
        <v>N</v>
      </c>
      <c r="G73" s="9">
        <v>34</v>
      </c>
      <c r="H73" s="9" t="str">
        <f>IFERROR(MID(VLOOKUP($B73,Seqs!$A:$B,2,0),I73,1),"")</f>
        <v>S</v>
      </c>
      <c r="I73" s="109">
        <v>35</v>
      </c>
      <c r="J73" s="9" t="str">
        <f>IFERROR(MID(VLOOKUP($B73,Seqs!$A:$B,2,0),K73,1),"")</f>
        <v>Q</v>
      </c>
      <c r="K73" s="109">
        <v>38</v>
      </c>
      <c r="L73" s="9" t="str">
        <f>IFERROR(MID(VLOOKUP($B73,Seqs!$A:$B,2,0),M73,1),"")</f>
        <v>N</v>
      </c>
      <c r="M73" s="9">
        <v>39</v>
      </c>
      <c r="N73" s="9" t="str">
        <f>IFERROR(MID(VLOOKUP($B73,Seqs!$A:$B,2,0),O73,1),"")</f>
        <v>G</v>
      </c>
      <c r="O73" s="9">
        <v>69</v>
      </c>
      <c r="P73" s="9" t="str">
        <f>IFERROR(MID(VLOOKUP($B73,Seqs!$A:$B,2,0),Q73,1),"")</f>
        <v>F</v>
      </c>
      <c r="Q73" s="9">
        <v>70</v>
      </c>
      <c r="R73" s="9" t="str">
        <f>IFERROR(MID(VLOOKUP($B73,Seqs!$A:$B,2,0),S73,1),"")</f>
        <v>A</v>
      </c>
      <c r="S73" s="9">
        <v>72</v>
      </c>
      <c r="T73" s="9" t="str">
        <f>IFERROR(MID(VLOOKUP($B73,Seqs!$A:$B,2,0),U73,1),"")</f>
        <v>A</v>
      </c>
      <c r="U73" s="9">
        <v>73</v>
      </c>
      <c r="V73" s="9" t="str">
        <f>IFERROR(MID(VLOOKUP($B73,Seqs!$A:$B,2,0),W73,1),"")</f>
        <v>I</v>
      </c>
      <c r="W73" s="9">
        <v>108</v>
      </c>
      <c r="X73" s="9" t="str">
        <f>IFERROR(MID(VLOOKUP($B73,Seqs!$A:$B,2,0),Y73,1),"")</f>
        <v>P</v>
      </c>
      <c r="Y73" s="9">
        <v>109</v>
      </c>
      <c r="Z73" s="9" t="str">
        <f>IFERROR(MID(VLOOKUP($B73,Seqs!$A:$B,2,0),AA73,1),"")</f>
        <v>V</v>
      </c>
      <c r="AA73" s="9">
        <v>116</v>
      </c>
      <c r="AB73" s="9" t="str">
        <f>IFERROR(MID(VLOOKUP($B73,Seqs!$A:$B,2,0),AC73,1),"")</f>
        <v>T</v>
      </c>
      <c r="AC73" s="9">
        <v>117</v>
      </c>
      <c r="AD73" s="9" t="str">
        <f>IFERROR(MID(VLOOKUP($B73,Seqs!$A:$B,2,0),AE73,1),"")</f>
        <v>G</v>
      </c>
      <c r="AE73" s="9">
        <v>142</v>
      </c>
      <c r="AF73" s="9" t="str">
        <f>IFERROR(MID(VLOOKUP($B73,Seqs!$A:$B,2,0),AG73,1),"")</f>
        <v>C</v>
      </c>
      <c r="AG73" s="9">
        <v>166</v>
      </c>
      <c r="AH73" s="9" t="str">
        <f>IFERROR(MID(VLOOKUP($B73,Seqs!$A:$B,2,0),AI73,1),"")</f>
        <v>F</v>
      </c>
      <c r="AI73" s="9">
        <v>168</v>
      </c>
      <c r="AJ73" s="9" t="str">
        <f>IFERROR(MID(VLOOKUP($B73,Seqs!$A:$B,2,0),AK73,1),"")</f>
        <v>P</v>
      </c>
      <c r="AK73" s="9">
        <v>173</v>
      </c>
      <c r="AL73" s="9" t="str">
        <f>IFERROR(MID(VLOOKUP($B73,Seqs!$A:$B,2,0),AM73,1),"")</f>
        <v>L</v>
      </c>
      <c r="AM73" s="9">
        <v>208</v>
      </c>
      <c r="AN73" s="9" t="str">
        <f>IFERROR(MID(VLOOKUP($B73,Seqs!$A:$B,2,0),AO73,1),"")</f>
        <v>E</v>
      </c>
      <c r="AO73" s="9">
        <v>219</v>
      </c>
      <c r="AP73" s="9" t="str">
        <f>IFERROR(MID(VLOOKUP($B73,Seqs!$A:$B,2,0),AQ73,1),"")</f>
        <v>C</v>
      </c>
      <c r="AQ73" s="9">
        <v>259</v>
      </c>
      <c r="AR73" s="9" t="str">
        <f>IFERROR(MID(VLOOKUP($B73,Seqs!$A:$B,2,0),AS73,1),"")</f>
        <v>P</v>
      </c>
      <c r="AS73" s="9">
        <v>266</v>
      </c>
      <c r="AT73" s="9" t="str">
        <f>IFERROR(MID(VLOOKUP($B73,Seqs!$A:$B,2,0),AU73,1),"")</f>
        <v>R</v>
      </c>
      <c r="AU73" s="9">
        <v>291</v>
      </c>
      <c r="AV73" s="9" t="str">
        <f>IFERROR(MID(VLOOKUP($B73,Seqs!$A:$B,2,0),AW73,1),"")</f>
        <v>I</v>
      </c>
      <c r="AW73" s="9">
        <v>292</v>
      </c>
      <c r="AX73" s="9" t="str">
        <f>IFERROR(MID(VLOOKUP($B73,Seqs!$A:$B,2,0),AY73,1),"")</f>
        <v>V</v>
      </c>
      <c r="AY73" s="9">
        <v>307</v>
      </c>
      <c r="AZ73" s="110" t="str">
        <f>VLOOKUP(B73,Classification!A:D,2,0)</f>
        <v>A</v>
      </c>
      <c r="BA73" s="98" t="str">
        <f>VLOOKUP(B73,Classification!A:D,4,0)</f>
        <v>Adenosine</v>
      </c>
      <c r="BB73" s="36" t="b">
        <f t="shared" ref="BB73" si="448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449">_xlfn.AGGREGATE(9,6,CH73:CS73)-_xlfn.AGGREGATE(9,6,BV73:CG73)+12</f>
        <v>264</v>
      </c>
      <c r="BD73" s="13" t="s">
        <v>23</v>
      </c>
      <c r="BE73" s="9" t="s">
        <v>1374</v>
      </c>
      <c r="BF73" s="119">
        <v>1.85</v>
      </c>
      <c r="BG73" s="51" t="s">
        <v>1</v>
      </c>
      <c r="BH73" s="51" t="s">
        <v>1</v>
      </c>
      <c r="BJ73" s="111" t="s">
        <v>1287</v>
      </c>
      <c r="BK73" s="112" t="s">
        <v>1287</v>
      </c>
      <c r="BL73" s="112" t="s">
        <v>1287</v>
      </c>
      <c r="BM73" s="112" t="s">
        <v>1287</v>
      </c>
      <c r="BN73" s="112" t="s">
        <v>1287</v>
      </c>
      <c r="BO73" s="112" t="s">
        <v>1287</v>
      </c>
      <c r="BP73" s="112" t="s">
        <v>1287</v>
      </c>
      <c r="BQ73" s="112" t="s">
        <v>1287</v>
      </c>
      <c r="BR73" s="112" t="s">
        <v>1287</v>
      </c>
      <c r="BS73" s="112" t="s">
        <v>1287</v>
      </c>
      <c r="BT73" s="112" t="s">
        <v>1287</v>
      </c>
      <c r="BU73" s="112" t="s">
        <v>1287</v>
      </c>
      <c r="BV73" s="111">
        <f t="shared" ref="BV73" si="450">E73</f>
        <v>1</v>
      </c>
      <c r="BW73" s="113">
        <f t="shared" ref="BW73" si="451">I73</f>
        <v>35</v>
      </c>
      <c r="BX73" s="114">
        <f t="shared" ref="BX73" si="452">M73</f>
        <v>39</v>
      </c>
      <c r="BY73" s="113">
        <f t="shared" ref="BY73" si="453">Q73</f>
        <v>70</v>
      </c>
      <c r="BZ73" s="114">
        <f t="shared" ref="BZ73" si="454">U73</f>
        <v>73</v>
      </c>
      <c r="CA73" s="113">
        <f t="shared" ref="CA73" si="455">Y73</f>
        <v>109</v>
      </c>
      <c r="CB73" s="114">
        <f t="shared" ref="CB73" si="456">AC73</f>
        <v>117</v>
      </c>
      <c r="CC73" s="113">
        <f t="shared" ref="CC73" si="457">AG73</f>
        <v>166</v>
      </c>
      <c r="CD73" s="114">
        <f t="shared" ref="CD73" si="458">AK73</f>
        <v>173</v>
      </c>
      <c r="CE73" s="113">
        <f t="shared" ref="CE73" si="459">AO73</f>
        <v>219</v>
      </c>
      <c r="CF73" s="114">
        <f t="shared" ref="CF73" si="460">AS73</f>
        <v>266</v>
      </c>
      <c r="CG73" s="113">
        <f t="shared" ref="CG73" si="461">AW73</f>
        <v>292</v>
      </c>
      <c r="CH73" s="111">
        <f t="shared" ref="CH73" si="462">G73</f>
        <v>34</v>
      </c>
      <c r="CI73" s="113">
        <f t="shared" ref="CI73" si="463">K73</f>
        <v>38</v>
      </c>
      <c r="CJ73" s="114">
        <f t="shared" ref="CJ73" si="464">O73</f>
        <v>69</v>
      </c>
      <c r="CK73" s="114">
        <f t="shared" ref="CK73" si="465">S73</f>
        <v>72</v>
      </c>
      <c r="CL73" s="114">
        <f t="shared" ref="CL73" si="466">W73</f>
        <v>108</v>
      </c>
      <c r="CM73" s="114">
        <f t="shared" ref="CM73" si="467">AA73</f>
        <v>116</v>
      </c>
      <c r="CN73" s="114">
        <f t="shared" ref="CN73" si="468">AE73</f>
        <v>142</v>
      </c>
      <c r="CO73" s="114">
        <f t="shared" ref="CO73" si="469">AI73</f>
        <v>168</v>
      </c>
      <c r="CP73" s="114">
        <f t="shared" ref="CP73" si="470">AM73</f>
        <v>208</v>
      </c>
      <c r="CQ73" s="114">
        <f t="shared" ref="CQ73" si="471">AQ73</f>
        <v>259</v>
      </c>
      <c r="CR73" s="114">
        <f t="shared" ref="CR73" si="472">AU73</f>
        <v>291</v>
      </c>
      <c r="CS73" s="114">
        <f t="shared" ref="CS73" si="473">AY73</f>
        <v>307</v>
      </c>
      <c r="CT73" s="109">
        <f t="shared" ref="CT73" si="474">M73-K73</f>
        <v>1</v>
      </c>
    </row>
    <row r="74" spans="1:1029" x14ac:dyDescent="0.2">
      <c r="A74" s="3" t="str">
        <f t="shared" si="0"/>
        <v>acm1_human__wt</v>
      </c>
      <c r="B74" s="3" t="s">
        <v>146</v>
      </c>
      <c r="C74" s="3" t="s">
        <v>100</v>
      </c>
      <c r="D74" s="3" t="str">
        <f>IFERROR(MID(VLOOKUP($B74,Seqs!$A:$B,2,0),E74,1),"")</f>
        <v>P</v>
      </c>
      <c r="E74" s="3">
        <v>22</v>
      </c>
      <c r="F74" s="3" t="str">
        <f>IFERROR(MID(VLOOKUP($B74,Seqs!$A:$B,2,0),G74,1),"")</f>
        <v>N</v>
      </c>
      <c r="G74" s="3">
        <v>53</v>
      </c>
      <c r="H74" s="3" t="str">
        <f>IFERROR(MID(VLOOKUP($B74,Seqs!$A:$B,2,0),I74,1),"")</f>
        <v>T</v>
      </c>
      <c r="I74" s="23">
        <v>54</v>
      </c>
      <c r="J74" s="3" t="str">
        <f>IFERROR(MID(VLOOKUP($B74,Seqs!$A:$B,2,0),K74,1),"")</f>
        <v>K</v>
      </c>
      <c r="K74" s="23">
        <v>57</v>
      </c>
      <c r="L74" s="3" t="str">
        <f>IFERROR(MID(VLOOKUP($B74,Seqs!$A:$B,2,0),M74,1),"")</f>
        <v>T</v>
      </c>
      <c r="M74" s="3">
        <v>58</v>
      </c>
      <c r="N74" s="3" t="str">
        <f>IFERROR(MID(VLOOKUP($B74,Seqs!$A:$B,2,0),O74,1),"")</f>
        <v>G</v>
      </c>
      <c r="O74" s="3">
        <v>89</v>
      </c>
      <c r="P74" s="3" t="str">
        <f>IFERROR(MID(VLOOKUP($B74,Seqs!$A:$B,2,0),Q74,1),"")</f>
        <v>H</v>
      </c>
      <c r="Q74" s="3">
        <v>90</v>
      </c>
      <c r="R74" s="3" t="str">
        <f>IFERROR(MID(VLOOKUP($B74,Seqs!$A:$B,2,0),S74,1),"")</f>
        <v>L</v>
      </c>
      <c r="S74" s="3">
        <v>93</v>
      </c>
      <c r="T74" s="3" t="str">
        <f>IFERROR(MID(VLOOKUP($B74,Seqs!$A:$B,2,0),U74,1),"")</f>
        <v>G</v>
      </c>
      <c r="U74" s="3">
        <v>94</v>
      </c>
      <c r="V74" s="3" t="str">
        <f>IFERROR(MID(VLOOKUP($B74,Seqs!$A:$B,2,0),W74,1),"")</f>
        <v>R</v>
      </c>
      <c r="W74" s="3">
        <v>129</v>
      </c>
      <c r="X74" s="3" t="str">
        <f>IFERROR(MID(VLOOKUP($B74,Seqs!$A:$B,2,0),Y74,1),"")</f>
        <v>P</v>
      </c>
      <c r="Y74" s="3">
        <v>130</v>
      </c>
      <c r="Z74" s="3" t="str">
        <f>IFERROR(MID(VLOOKUP($B74,Seqs!$A:$B,2,0),AA74,1),"")</f>
        <v>R</v>
      </c>
      <c r="AA74" s="3">
        <v>137</v>
      </c>
      <c r="AB74" s="3" t="str">
        <f>IFERROR(MID(VLOOKUP($B74,Seqs!$A:$B,2,0),AC74,1),"")</f>
        <v>T</v>
      </c>
      <c r="AC74" s="3">
        <v>138</v>
      </c>
      <c r="AD74" s="3" t="str">
        <f>IFERROR(MID(VLOOKUP($B74,Seqs!$A:$B,2,0),AE74,1),"")</f>
        <v>G</v>
      </c>
      <c r="AE74" s="3">
        <v>169</v>
      </c>
      <c r="AF74" s="3" t="str">
        <f>IFERROR(MID(VLOOKUP($B74,Seqs!$A:$B,2,0),AG74,1),"")</f>
        <v>C</v>
      </c>
      <c r="AG74" s="3">
        <v>178</v>
      </c>
      <c r="AH74" s="3" t="str">
        <f>IFERROR(MID(VLOOKUP($B74,Seqs!$A:$B,2,0),AI74,1),"")</f>
        <v>I</v>
      </c>
      <c r="AI74" s="3">
        <v>180</v>
      </c>
      <c r="AJ74" s="3" t="str">
        <f>IFERROR(MID(VLOOKUP($B74,Seqs!$A:$B,2,0),AK74,1),"")</f>
        <v>Q</v>
      </c>
      <c r="AK74" s="3">
        <v>185</v>
      </c>
      <c r="AL74" s="3" t="str">
        <f>IFERROR(MID(VLOOKUP($B74,Seqs!$A:$B,2,0),AM74,1),"")</f>
        <v>L</v>
      </c>
      <c r="AM74" s="3">
        <v>225</v>
      </c>
      <c r="AN74" s="3" t="str">
        <f>IFERROR(MID(VLOOKUP($B74,Seqs!$A:$B,2,0),AO74,1),"")</f>
        <v>T</v>
      </c>
      <c r="AO74" s="3">
        <v>354</v>
      </c>
      <c r="AP74" s="3" t="str">
        <f>IFERROR(MID(VLOOKUP($B74,Seqs!$A:$B,2,0),AQ74,1),"")</f>
        <v>C</v>
      </c>
      <c r="AQ74" s="3">
        <v>391</v>
      </c>
      <c r="AR74" s="3" t="str">
        <f>IFERROR(MID(VLOOKUP($B74,Seqs!$A:$B,2,0),AS74,1),"")</f>
        <v>P</v>
      </c>
      <c r="AS74" s="3">
        <v>396</v>
      </c>
      <c r="AT74" s="3" t="str">
        <f>IFERROR(MID(VLOOKUP($B74,Seqs!$A:$B,2,0),AU74,1),"")</f>
        <v>C</v>
      </c>
      <c r="AU74" s="3">
        <v>421</v>
      </c>
      <c r="AV74" s="3" t="str">
        <f>IFERROR(MID(VLOOKUP($B74,Seqs!$A:$B,2,0),AW74,1),"")</f>
        <v>N</v>
      </c>
      <c r="AW74" s="3">
        <v>422</v>
      </c>
      <c r="AX74" s="3" t="str">
        <f>IFERROR(MID(VLOOKUP($B74,Seqs!$A:$B,2,0),AY74,1),"")</f>
        <v>L</v>
      </c>
      <c r="AY74" s="3">
        <v>434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1"/>
        <v>1</v>
      </c>
      <c r="BC74" s="23">
        <f t="shared" si="225"/>
        <v>269</v>
      </c>
      <c r="BD74" s="56" t="s">
        <v>23</v>
      </c>
      <c r="BE74" s="3" t="s">
        <v>23</v>
      </c>
      <c r="BF74" s="118" t="s">
        <v>23</v>
      </c>
      <c r="BG74" s="49" t="s">
        <v>1372</v>
      </c>
      <c r="BH74" s="49" t="s">
        <v>1377</v>
      </c>
      <c r="BI74" s="1"/>
      <c r="BJ74" s="70" t="s">
        <v>1287</v>
      </c>
      <c r="BK74" s="57" t="s">
        <v>1287</v>
      </c>
      <c r="BL74" s="57" t="s">
        <v>1287</v>
      </c>
      <c r="BM74" s="57" t="s">
        <v>1287</v>
      </c>
      <c r="BN74" s="57" t="s">
        <v>1287</v>
      </c>
      <c r="BO74" s="57" t="s">
        <v>1287</v>
      </c>
      <c r="BP74" s="57" t="s">
        <v>1287</v>
      </c>
      <c r="BQ74" s="57" t="s">
        <v>1287</v>
      </c>
      <c r="BR74" s="57" t="s">
        <v>1287</v>
      </c>
      <c r="BS74" s="57" t="s">
        <v>1287</v>
      </c>
      <c r="BT74" s="57" t="s">
        <v>1287</v>
      </c>
      <c r="BU74" s="57" t="s">
        <v>1287</v>
      </c>
      <c r="BV74" s="70">
        <f t="shared" si="226"/>
        <v>22</v>
      </c>
      <c r="BW74" s="71">
        <f t="shared" si="227"/>
        <v>54</v>
      </c>
      <c r="BX74" s="72">
        <f t="shared" si="228"/>
        <v>58</v>
      </c>
      <c r="BY74" s="71">
        <f t="shared" si="229"/>
        <v>90</v>
      </c>
      <c r="BZ74" s="72">
        <f t="shared" si="230"/>
        <v>94</v>
      </c>
      <c r="CA74" s="71">
        <f t="shared" si="231"/>
        <v>130</v>
      </c>
      <c r="CB74" s="72">
        <f t="shared" si="232"/>
        <v>138</v>
      </c>
      <c r="CC74" s="71">
        <f t="shared" si="233"/>
        <v>178</v>
      </c>
      <c r="CD74" s="72">
        <f t="shared" si="234"/>
        <v>185</v>
      </c>
      <c r="CE74" s="71">
        <f t="shared" si="235"/>
        <v>354</v>
      </c>
      <c r="CF74" s="72">
        <f t="shared" si="236"/>
        <v>396</v>
      </c>
      <c r="CG74" s="71">
        <f t="shared" si="237"/>
        <v>422</v>
      </c>
      <c r="CH74" s="70">
        <f t="shared" si="238"/>
        <v>53</v>
      </c>
      <c r="CI74" s="71">
        <f t="shared" si="239"/>
        <v>57</v>
      </c>
      <c r="CJ74" s="72">
        <f t="shared" si="240"/>
        <v>89</v>
      </c>
      <c r="CK74" s="72">
        <f t="shared" si="241"/>
        <v>93</v>
      </c>
      <c r="CL74" s="72">
        <f t="shared" si="242"/>
        <v>129</v>
      </c>
      <c r="CM74" s="72">
        <f t="shared" si="243"/>
        <v>137</v>
      </c>
      <c r="CN74" s="72">
        <f t="shared" si="244"/>
        <v>169</v>
      </c>
      <c r="CO74" s="72">
        <f t="shared" si="245"/>
        <v>180</v>
      </c>
      <c r="CP74" s="72">
        <f t="shared" si="246"/>
        <v>225</v>
      </c>
      <c r="CQ74" s="72">
        <f t="shared" si="247"/>
        <v>391</v>
      </c>
      <c r="CR74" s="72">
        <f t="shared" si="248"/>
        <v>421</v>
      </c>
      <c r="CS74" s="72">
        <f t="shared" si="249"/>
        <v>434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si="0"/>
        <v>acm1_human_5CXV</v>
      </c>
      <c r="B75" s="3" t="s">
        <v>146</v>
      </c>
      <c r="C75" s="3" t="s">
        <v>62</v>
      </c>
      <c r="D75" s="3" t="str">
        <f>IFERROR(MID(VLOOKUP($B75,Seqs!$A:$B,2,0),E75,1),"")</f>
        <v>P</v>
      </c>
      <c r="E75" s="3">
        <v>22</v>
      </c>
      <c r="F75" s="3" t="str">
        <f>IFERROR(MID(VLOOKUP($B75,Seqs!$A:$B,2,0),G75,1),"")</f>
        <v>N</v>
      </c>
      <c r="G75" s="3">
        <v>53</v>
      </c>
      <c r="H75" s="3" t="str">
        <f>IFERROR(MID(VLOOKUP($B75,Seqs!$A:$B,2,0),I75,1),"")</f>
        <v>T</v>
      </c>
      <c r="I75" s="23">
        <v>54</v>
      </c>
      <c r="J75" s="3" t="str">
        <f>IFERROR(MID(VLOOKUP($B75,Seqs!$A:$B,2,0),K75,1),"")</f>
        <v>K</v>
      </c>
      <c r="K75" s="23">
        <v>57</v>
      </c>
      <c r="L75" s="3" t="str">
        <f>IFERROR(MID(VLOOKUP($B75,Seqs!$A:$B,2,0),M75,1),"")</f>
        <v>T</v>
      </c>
      <c r="M75" s="3">
        <v>58</v>
      </c>
      <c r="N75" s="3" t="str">
        <f>IFERROR(MID(VLOOKUP($B75,Seqs!$A:$B,2,0),O75,1),"")</f>
        <v>G</v>
      </c>
      <c r="O75" s="3">
        <v>89</v>
      </c>
      <c r="P75" s="3" t="str">
        <f>IFERROR(MID(VLOOKUP($B75,Seqs!$A:$B,2,0),Q75,1),"")</f>
        <v>H</v>
      </c>
      <c r="Q75" s="3">
        <v>90</v>
      </c>
      <c r="R75" s="3" t="str">
        <f>IFERROR(MID(VLOOKUP($B75,Seqs!$A:$B,2,0),S75,1),"")</f>
        <v>L</v>
      </c>
      <c r="S75" s="3">
        <v>93</v>
      </c>
      <c r="T75" s="3" t="str">
        <f>IFERROR(MID(VLOOKUP($B75,Seqs!$A:$B,2,0),U75,1),"")</f>
        <v>G</v>
      </c>
      <c r="U75" s="3">
        <v>94</v>
      </c>
      <c r="V75" s="3" t="str">
        <f>IFERROR(MID(VLOOKUP($B75,Seqs!$A:$B,2,0),W75,1),"")</f>
        <v>R</v>
      </c>
      <c r="W75" s="3">
        <v>129</v>
      </c>
      <c r="X75" s="3" t="str">
        <f>IFERROR(MID(VLOOKUP($B75,Seqs!$A:$B,2,0),Y75,1),"")</f>
        <v>P</v>
      </c>
      <c r="Y75" s="3">
        <v>130</v>
      </c>
      <c r="Z75" s="3" t="str">
        <f>IFERROR(MID(VLOOKUP($B75,Seqs!$A:$B,2,0),AA75,1),"")</f>
        <v>R</v>
      </c>
      <c r="AA75" s="3">
        <v>137</v>
      </c>
      <c r="AB75" s="3" t="str">
        <f>IFERROR(MID(VLOOKUP($B75,Seqs!$A:$B,2,0),AC75,1),"")</f>
        <v>T</v>
      </c>
      <c r="AC75" s="9">
        <v>138</v>
      </c>
      <c r="AD75" s="3" t="str">
        <f>IFERROR(MID(VLOOKUP($B75,Seqs!$A:$B,2,0),AE75,1),"")</f>
        <v>G</v>
      </c>
      <c r="AE75" s="3">
        <v>169</v>
      </c>
      <c r="AF75" s="3" t="str">
        <f>IFERROR(MID(VLOOKUP($B75,Seqs!$A:$B,2,0),AG75,1),"")</f>
        <v>C</v>
      </c>
      <c r="AG75" s="3">
        <v>178</v>
      </c>
      <c r="AH75" s="3" t="str">
        <f>IFERROR(MID(VLOOKUP($B75,Seqs!$A:$B,2,0),AI75,1),"")</f>
        <v>I</v>
      </c>
      <c r="AI75" s="3">
        <v>180</v>
      </c>
      <c r="AJ75" s="3" t="str">
        <f>IFERROR(MID(VLOOKUP($B75,Seqs!$A:$B,2,0),AK75,1),"")</f>
        <v>Q</v>
      </c>
      <c r="AK75" s="3">
        <v>185</v>
      </c>
      <c r="AL75" s="3" t="str">
        <f>IFERROR(MID(VLOOKUP($B75,Seqs!$A:$B,2,0),AM75,1),"")</f>
        <v>R</v>
      </c>
      <c r="AM75" s="3">
        <v>213</v>
      </c>
      <c r="AN75" s="3" t="str">
        <f>IFERROR(MID(VLOOKUP($B75,Seqs!$A:$B,2,0),AO75,1),"")</f>
        <v>L</v>
      </c>
      <c r="AO75" s="3">
        <v>357</v>
      </c>
      <c r="AP75" s="3" t="str">
        <f>IFERROR(MID(VLOOKUP($B75,Seqs!$A:$B,2,0),AQ75,1),"")</f>
        <v>C</v>
      </c>
      <c r="AQ75" s="3">
        <v>391</v>
      </c>
      <c r="AR75" s="3" t="str">
        <f>IFERROR(MID(VLOOKUP($B75,Seqs!$A:$B,2,0),AS75,1),"")</f>
        <v>P</v>
      </c>
      <c r="AS75" s="3">
        <v>396</v>
      </c>
      <c r="AT75" s="3" t="str">
        <f>IFERROR(MID(VLOOKUP($B75,Seqs!$A:$B,2,0),AU75,1),"")</f>
        <v>C</v>
      </c>
      <c r="AU75" s="3">
        <v>421</v>
      </c>
      <c r="AV75" s="3" t="str">
        <f>IFERROR(MID(VLOOKUP($B75,Seqs!$A:$B,2,0),AW75,1),"")</f>
        <v>N</v>
      </c>
      <c r="AW75" s="3">
        <v>422</v>
      </c>
      <c r="AX75" s="3" t="str">
        <f>IFERROR(MID(VLOOKUP($B75,Seqs!$A:$B,2,0),AY75,1),"")</f>
        <v>L</v>
      </c>
      <c r="AY75" s="3">
        <v>434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1"/>
        <v>1</v>
      </c>
      <c r="BC75" s="23">
        <f t="shared" si="225"/>
        <v>254</v>
      </c>
      <c r="BD75" s="16" t="s">
        <v>1376</v>
      </c>
      <c r="BE75" s="3" t="s">
        <v>1374</v>
      </c>
      <c r="BF75" s="118">
        <v>2.7</v>
      </c>
      <c r="BG75" s="49" t="s">
        <v>1377</v>
      </c>
      <c r="BH75" s="49" t="s">
        <v>1377</v>
      </c>
      <c r="BI75" s="1"/>
      <c r="BJ75" s="70" t="s">
        <v>1287</v>
      </c>
      <c r="BK75" s="57" t="s">
        <v>1287</v>
      </c>
      <c r="BL75" s="57" t="s">
        <v>1287</v>
      </c>
      <c r="BM75" s="57" t="s">
        <v>1287</v>
      </c>
      <c r="BN75" s="57" t="s">
        <v>1287</v>
      </c>
      <c r="BO75" s="57" t="s">
        <v>1287</v>
      </c>
      <c r="BP75" s="57" t="s">
        <v>1287</v>
      </c>
      <c r="BQ75" s="57" t="s">
        <v>1287</v>
      </c>
      <c r="BR75" s="57" t="s">
        <v>1287</v>
      </c>
      <c r="BS75" s="57" t="s">
        <v>1287</v>
      </c>
      <c r="BT75" s="57" t="s">
        <v>1287</v>
      </c>
      <c r="BU75" s="57" t="s">
        <v>1287</v>
      </c>
      <c r="BV75" s="70">
        <f t="shared" si="226"/>
        <v>22</v>
      </c>
      <c r="BW75" s="71">
        <f t="shared" si="227"/>
        <v>54</v>
      </c>
      <c r="BX75" s="72">
        <f t="shared" si="228"/>
        <v>58</v>
      </c>
      <c r="BY75" s="71">
        <f t="shared" si="229"/>
        <v>90</v>
      </c>
      <c r="BZ75" s="72">
        <f t="shared" si="230"/>
        <v>94</v>
      </c>
      <c r="CA75" s="71">
        <f t="shared" si="231"/>
        <v>130</v>
      </c>
      <c r="CB75" s="72">
        <f t="shared" si="232"/>
        <v>138</v>
      </c>
      <c r="CC75" s="71">
        <f t="shared" si="233"/>
        <v>178</v>
      </c>
      <c r="CD75" s="72">
        <f t="shared" si="234"/>
        <v>185</v>
      </c>
      <c r="CE75" s="71">
        <f t="shared" si="235"/>
        <v>357</v>
      </c>
      <c r="CF75" s="72">
        <f t="shared" si="236"/>
        <v>396</v>
      </c>
      <c r="CG75" s="71">
        <f t="shared" si="237"/>
        <v>422</v>
      </c>
      <c r="CH75" s="70">
        <f t="shared" si="238"/>
        <v>53</v>
      </c>
      <c r="CI75" s="71">
        <f t="shared" si="239"/>
        <v>57</v>
      </c>
      <c r="CJ75" s="72">
        <f t="shared" si="240"/>
        <v>89</v>
      </c>
      <c r="CK75" s="72">
        <f t="shared" si="241"/>
        <v>93</v>
      </c>
      <c r="CL75" s="72">
        <f t="shared" si="242"/>
        <v>129</v>
      </c>
      <c r="CM75" s="72">
        <f t="shared" si="243"/>
        <v>137</v>
      </c>
      <c r="CN75" s="72">
        <f t="shared" si="244"/>
        <v>169</v>
      </c>
      <c r="CO75" s="72">
        <f t="shared" si="245"/>
        <v>180</v>
      </c>
      <c r="CP75" s="72">
        <f t="shared" si="246"/>
        <v>213</v>
      </c>
      <c r="CQ75" s="72">
        <f t="shared" si="247"/>
        <v>391</v>
      </c>
      <c r="CR75" s="72">
        <f t="shared" si="248"/>
        <v>421</v>
      </c>
      <c r="CS75" s="72">
        <f t="shared" si="249"/>
        <v>434</v>
      </c>
      <c r="CT75" s="23">
        <f t="shared" si="250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s="12" customFormat="1" x14ac:dyDescent="0.2">
      <c r="A76" s="9" t="str">
        <f t="shared" ref="A76" si="475">CONCATENATE(B76,"_",C76)</f>
        <v>acm1_human_6OIJ</v>
      </c>
      <c r="B76" s="9" t="s">
        <v>146</v>
      </c>
      <c r="C76" s="9" t="s">
        <v>1577</v>
      </c>
      <c r="D76" s="9" t="str">
        <f>IFERROR(MID(VLOOKUP($B76,Seqs!$A:$B,2,0),E76,1),"")</f>
        <v>W</v>
      </c>
      <c r="E76" s="9">
        <v>23</v>
      </c>
      <c r="F76" s="9" t="str">
        <f>IFERROR(MID(VLOOKUP($B76,Seqs!$A:$B,2,0),G76,1),"")</f>
        <v>N</v>
      </c>
      <c r="G76" s="9">
        <v>53</v>
      </c>
      <c r="H76" s="9" t="str">
        <f>IFERROR(MID(VLOOKUP($B76,Seqs!$A:$B,2,0),I76,1),"")</f>
        <v>T</v>
      </c>
      <c r="I76" s="109">
        <v>54</v>
      </c>
      <c r="J76" s="9" t="str">
        <f>IFERROR(MID(VLOOKUP($B76,Seqs!$A:$B,2,0),K76,1),"")</f>
        <v>K</v>
      </c>
      <c r="K76" s="109">
        <v>57</v>
      </c>
      <c r="L76" s="9" t="str">
        <f>IFERROR(MID(VLOOKUP($B76,Seqs!$A:$B,2,0),M76,1),"")</f>
        <v>N</v>
      </c>
      <c r="M76" s="9">
        <v>60</v>
      </c>
      <c r="N76" s="9" t="str">
        <f>IFERROR(MID(VLOOKUP($B76,Seqs!$A:$B,2,0),O76,1),"")</f>
        <v>G</v>
      </c>
      <c r="O76" s="9">
        <v>89</v>
      </c>
      <c r="P76" s="9" t="str">
        <f>IFERROR(MID(VLOOKUP($B76,Seqs!$A:$B,2,0),Q76,1),"")</f>
        <v>H</v>
      </c>
      <c r="Q76" s="9">
        <v>90</v>
      </c>
      <c r="R76" s="9" t="str">
        <f>IFERROR(MID(VLOOKUP($B76,Seqs!$A:$B,2,0),S76,1),"")</f>
        <v>L</v>
      </c>
      <c r="S76" s="9">
        <v>93</v>
      </c>
      <c r="T76" s="9" t="str">
        <f>IFERROR(MID(VLOOKUP($B76,Seqs!$A:$B,2,0),U76,1),"")</f>
        <v>G</v>
      </c>
      <c r="U76" s="9">
        <v>94</v>
      </c>
      <c r="V76" s="9" t="str">
        <f>IFERROR(MID(VLOOKUP($B76,Seqs!$A:$B,2,0),W76,1),"")</f>
        <v>R</v>
      </c>
      <c r="W76" s="9">
        <v>129</v>
      </c>
      <c r="X76" s="9" t="str">
        <f>IFERROR(MID(VLOOKUP($B76,Seqs!$A:$B,2,0),Y76,1),"")</f>
        <v>P</v>
      </c>
      <c r="Y76" s="9">
        <v>130</v>
      </c>
      <c r="Z76" s="9" t="str">
        <f>IFERROR(MID(VLOOKUP($B76,Seqs!$A:$B,2,0),AA76,1),"")</f>
        <v>R</v>
      </c>
      <c r="AA76" s="9">
        <v>137</v>
      </c>
      <c r="AB76" s="9" t="str">
        <f>IFERROR(MID(VLOOKUP($B76,Seqs!$A:$B,2,0),AC76,1),"")</f>
        <v>T</v>
      </c>
      <c r="AC76" s="9">
        <v>138</v>
      </c>
      <c r="AD76" s="9" t="str">
        <f>IFERROR(MID(VLOOKUP($B76,Seqs!$A:$B,2,0),AE76,1),"")</f>
        <v>G</v>
      </c>
      <c r="AE76" s="9">
        <v>169</v>
      </c>
      <c r="AF76" s="9" t="str">
        <f>IFERROR(MID(VLOOKUP($B76,Seqs!$A:$B,2,0),AG76,1),"")</f>
        <v>C</v>
      </c>
      <c r="AG76" s="9">
        <v>178</v>
      </c>
      <c r="AH76" s="9" t="str">
        <f>IFERROR(MID(VLOOKUP($B76,Seqs!$A:$B,2,0),AI76,1),"")</f>
        <v>I</v>
      </c>
      <c r="AI76" s="9">
        <v>180</v>
      </c>
      <c r="AJ76" s="9" t="str">
        <f>IFERROR(MID(VLOOKUP($B76,Seqs!$A:$B,2,0),AK76,1),"")</f>
        <v>Q</v>
      </c>
      <c r="AK76" s="9">
        <v>185</v>
      </c>
      <c r="AL76" s="9" t="str">
        <f>IFERROR(MID(VLOOKUP($B76,Seqs!$A:$B,2,0),AM76,1),"")</f>
        <v>L</v>
      </c>
      <c r="AM76" s="9">
        <v>225</v>
      </c>
      <c r="AN76" s="9" t="str">
        <f>IFERROR(MID(VLOOKUP($B76,Seqs!$A:$B,2,0),AO76,1),"")</f>
        <v>K</v>
      </c>
      <c r="AO76" s="9">
        <v>362</v>
      </c>
      <c r="AP76" s="9" t="str">
        <f>IFERROR(MID(VLOOKUP($B76,Seqs!$A:$B,2,0),AQ76,1),"")</f>
        <v>C</v>
      </c>
      <c r="AQ76" s="9">
        <v>391</v>
      </c>
      <c r="AR76" s="9" t="str">
        <f>IFERROR(MID(VLOOKUP($B76,Seqs!$A:$B,2,0),AS76,1),"")</f>
        <v>E</v>
      </c>
      <c r="AS76" s="9">
        <v>397</v>
      </c>
      <c r="AT76" s="9" t="str">
        <f>IFERROR(MID(VLOOKUP($B76,Seqs!$A:$B,2,0),AU76,1),"")</f>
        <v>C</v>
      </c>
      <c r="AU76" s="9">
        <v>421</v>
      </c>
      <c r="AV76" s="9" t="str">
        <f>IFERROR(MID(VLOOKUP($B76,Seqs!$A:$B,2,0),AW76,1),"")</f>
        <v>N</v>
      </c>
      <c r="AW76" s="9">
        <v>422</v>
      </c>
      <c r="AX76" s="9" t="str">
        <f>IFERROR(MID(VLOOKUP($B76,Seqs!$A:$B,2,0),AY76,1),"")</f>
        <v>L</v>
      </c>
      <c r="AY76" s="9">
        <v>433</v>
      </c>
      <c r="AZ76" s="110" t="str">
        <f>VLOOKUP(B76,Classification!A:D,2,0)</f>
        <v>A</v>
      </c>
      <c r="BA76" s="98" t="str">
        <f>VLOOKUP(B76,Classification!A:D,4,0)</f>
        <v>Acetylcholine(muscarinic)</v>
      </c>
      <c r="BB76" s="36" t="b">
        <f t="shared" ref="BB76" si="47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109">
        <f t="shared" ref="BC76" si="477">_xlfn.AGGREGATE(9,6,CH76:CS76)-_xlfn.AGGREGATE(9,6,BV76:CG76)+12</f>
        <v>256</v>
      </c>
      <c r="BD76" s="126" t="s">
        <v>1375</v>
      </c>
      <c r="BE76" s="9" t="s">
        <v>1291</v>
      </c>
      <c r="BF76" s="119">
        <v>3.3</v>
      </c>
      <c r="BG76" s="51" t="s">
        <v>1422</v>
      </c>
      <c r="BH76" s="51" t="s">
        <v>1422</v>
      </c>
      <c r="BJ76" s="111" t="s">
        <v>1287</v>
      </c>
      <c r="BK76" s="112" t="s">
        <v>1287</v>
      </c>
      <c r="BL76" s="112" t="s">
        <v>1287</v>
      </c>
      <c r="BM76" s="112" t="s">
        <v>1287</v>
      </c>
      <c r="BN76" s="112" t="s">
        <v>1287</v>
      </c>
      <c r="BO76" s="112" t="s">
        <v>1287</v>
      </c>
      <c r="BP76" s="112" t="s">
        <v>1287</v>
      </c>
      <c r="BQ76" s="112" t="s">
        <v>1287</v>
      </c>
      <c r="BR76" s="112" t="s">
        <v>1287</v>
      </c>
      <c r="BS76" s="112" t="s">
        <v>1287</v>
      </c>
      <c r="BT76" s="112" t="s">
        <v>1287</v>
      </c>
      <c r="BU76" s="112" t="s">
        <v>1287</v>
      </c>
      <c r="BV76" s="111">
        <f t="shared" ref="BV76" si="478">E76</f>
        <v>23</v>
      </c>
      <c r="BW76" s="113">
        <f t="shared" ref="BW76" si="479">I76</f>
        <v>54</v>
      </c>
      <c r="BX76" s="114">
        <f t="shared" ref="BX76" si="480">M76</f>
        <v>60</v>
      </c>
      <c r="BY76" s="113">
        <f t="shared" ref="BY76" si="481">Q76</f>
        <v>90</v>
      </c>
      <c r="BZ76" s="114">
        <f t="shared" ref="BZ76" si="482">U76</f>
        <v>94</v>
      </c>
      <c r="CA76" s="113">
        <f t="shared" ref="CA76" si="483">Y76</f>
        <v>130</v>
      </c>
      <c r="CB76" s="114">
        <f t="shared" ref="CB76" si="484">AC76</f>
        <v>138</v>
      </c>
      <c r="CC76" s="113">
        <f t="shared" ref="CC76" si="485">AG76</f>
        <v>178</v>
      </c>
      <c r="CD76" s="114">
        <f t="shared" ref="CD76" si="486">AK76</f>
        <v>185</v>
      </c>
      <c r="CE76" s="113">
        <f t="shared" ref="CE76" si="487">AO76</f>
        <v>362</v>
      </c>
      <c r="CF76" s="114">
        <f t="shared" ref="CF76" si="488">AS76</f>
        <v>397</v>
      </c>
      <c r="CG76" s="113">
        <f t="shared" ref="CG76" si="489">AW76</f>
        <v>422</v>
      </c>
      <c r="CH76" s="111">
        <f t="shared" ref="CH76" si="490">G76</f>
        <v>53</v>
      </c>
      <c r="CI76" s="113">
        <f t="shared" ref="CI76" si="491">K76</f>
        <v>57</v>
      </c>
      <c r="CJ76" s="114">
        <f t="shared" ref="CJ76" si="492">O76</f>
        <v>89</v>
      </c>
      <c r="CK76" s="114">
        <f t="shared" ref="CK76" si="493">S76</f>
        <v>93</v>
      </c>
      <c r="CL76" s="114">
        <f t="shared" ref="CL76" si="494">W76</f>
        <v>129</v>
      </c>
      <c r="CM76" s="114">
        <f t="shared" ref="CM76" si="495">AA76</f>
        <v>137</v>
      </c>
      <c r="CN76" s="114">
        <f t="shared" ref="CN76" si="496">AE76</f>
        <v>169</v>
      </c>
      <c r="CO76" s="114">
        <f t="shared" ref="CO76" si="497">AI76</f>
        <v>180</v>
      </c>
      <c r="CP76" s="114">
        <f t="shared" ref="CP76" si="498">AM76</f>
        <v>225</v>
      </c>
      <c r="CQ76" s="114">
        <f t="shared" ref="CQ76" si="499">AQ76</f>
        <v>391</v>
      </c>
      <c r="CR76" s="114">
        <f t="shared" ref="CR76" si="500">AU76</f>
        <v>421</v>
      </c>
      <c r="CS76" s="114">
        <f t="shared" ref="CS76" si="501">AY76</f>
        <v>433</v>
      </c>
      <c r="CT76" s="109">
        <f t="shared" ref="CT76" si="502">M76-K76</f>
        <v>3</v>
      </c>
    </row>
    <row r="77" spans="1:1029" x14ac:dyDescent="0.2">
      <c r="A77" s="3" t="str">
        <f t="shared" si="0"/>
        <v>acm2_human__wt</v>
      </c>
      <c r="B77" s="3" t="s">
        <v>147</v>
      </c>
      <c r="C77" s="3" t="s">
        <v>100</v>
      </c>
      <c r="D77" s="3" t="str">
        <f>IFERROR(MID(VLOOKUP($B77,Seqs!$A:$B,2,0),E77,1),"")</f>
        <v>K</v>
      </c>
      <c r="E77" s="3">
        <v>19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105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9">
        <v>136</v>
      </c>
      <c r="AD77" s="3" t="str">
        <f>IFERROR(MID(VLOOKUP($B77,Seqs!$A:$B,2,0),AE77,1),"")</f>
        <v>G</v>
      </c>
      <c r="AE77" s="3">
        <v>167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E</v>
      </c>
      <c r="AM77" s="3">
        <v>223</v>
      </c>
      <c r="AN77" s="3" t="str">
        <f>IFERROR(MID(VLOOKUP($B77,Seqs!$A:$B,2,0),AO77,1),"")</f>
        <v>K</v>
      </c>
      <c r="AO77" s="3">
        <v>376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3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1"/>
        <v>1</v>
      </c>
      <c r="BC77" s="23">
        <f t="shared" si="225"/>
        <v>270</v>
      </c>
      <c r="BD77" s="56" t="s">
        <v>23</v>
      </c>
      <c r="BE77" s="3" t="s">
        <v>23</v>
      </c>
      <c r="BF77" s="118" t="s">
        <v>23</v>
      </c>
      <c r="BG77" s="49" t="s">
        <v>1372</v>
      </c>
      <c r="BH77" s="49" t="s">
        <v>1377</v>
      </c>
      <c r="BI77" s="1"/>
      <c r="BJ77" s="70" t="s">
        <v>1287</v>
      </c>
      <c r="BK77" s="57" t="s">
        <v>1287</v>
      </c>
      <c r="BL77" s="57" t="s">
        <v>1287</v>
      </c>
      <c r="BM77" s="57" t="s">
        <v>1287</v>
      </c>
      <c r="BN77" s="57" t="s">
        <v>1287</v>
      </c>
      <c r="BO77" s="57" t="s">
        <v>1287</v>
      </c>
      <c r="BP77" s="57" t="s">
        <v>1287</v>
      </c>
      <c r="BQ77" s="57" t="s">
        <v>1287</v>
      </c>
      <c r="BR77" s="57" t="s">
        <v>1287</v>
      </c>
      <c r="BS77" s="57" t="s">
        <v>1287</v>
      </c>
      <c r="BT77" s="57" t="s">
        <v>1287</v>
      </c>
      <c r="BU77" s="57" t="s">
        <v>1287</v>
      </c>
      <c r="BV77" s="70">
        <f t="shared" si="226"/>
        <v>19</v>
      </c>
      <c r="BW77" s="71">
        <f t="shared" si="227"/>
        <v>52</v>
      </c>
      <c r="BX77" s="72">
        <f t="shared" si="228"/>
        <v>56</v>
      </c>
      <c r="BY77" s="71">
        <f t="shared" si="229"/>
        <v>88</v>
      </c>
      <c r="BZ77" s="72">
        <f t="shared" si="230"/>
        <v>92</v>
      </c>
      <c r="CA77" s="71">
        <f t="shared" si="231"/>
        <v>128</v>
      </c>
      <c r="CB77" s="72">
        <f t="shared" si="232"/>
        <v>136</v>
      </c>
      <c r="CC77" s="71">
        <f t="shared" si="233"/>
        <v>176</v>
      </c>
      <c r="CD77" s="72">
        <f t="shared" si="234"/>
        <v>183</v>
      </c>
      <c r="CE77" s="71">
        <f t="shared" si="235"/>
        <v>376</v>
      </c>
      <c r="CF77" s="72">
        <f t="shared" si="236"/>
        <v>418</v>
      </c>
      <c r="CG77" s="71">
        <f t="shared" si="237"/>
        <v>444</v>
      </c>
      <c r="CH77" s="70">
        <f t="shared" si="238"/>
        <v>51</v>
      </c>
      <c r="CI77" s="71">
        <f t="shared" si="239"/>
        <v>55</v>
      </c>
      <c r="CJ77" s="72">
        <f t="shared" si="240"/>
        <v>87</v>
      </c>
      <c r="CK77" s="72">
        <f t="shared" si="241"/>
        <v>91</v>
      </c>
      <c r="CL77" s="72">
        <f t="shared" si="242"/>
        <v>127</v>
      </c>
      <c r="CM77" s="72">
        <f t="shared" si="243"/>
        <v>135</v>
      </c>
      <c r="CN77" s="72">
        <f t="shared" si="244"/>
        <v>167</v>
      </c>
      <c r="CO77" s="72">
        <f t="shared" si="245"/>
        <v>178</v>
      </c>
      <c r="CP77" s="72">
        <f t="shared" si="246"/>
        <v>223</v>
      </c>
      <c r="CQ77" s="72">
        <f t="shared" si="247"/>
        <v>413</v>
      </c>
      <c r="CR77" s="72">
        <f t="shared" si="248"/>
        <v>443</v>
      </c>
      <c r="CS77" s="72">
        <f t="shared" si="249"/>
        <v>456</v>
      </c>
      <c r="CT77" s="23">
        <f t="shared" si="250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:A124" si="503">CONCATENATE(B78,"_",C78)</f>
        <v>acm2_human_3UON</v>
      </c>
      <c r="B78" s="3" t="s">
        <v>147</v>
      </c>
      <c r="C78" s="3" t="s">
        <v>79</v>
      </c>
      <c r="D78" s="3" t="str">
        <f>IFERROR(MID(VLOOKUP($B78,Seqs!$A:$B,2,0),E78,1),"")</f>
        <v>V</v>
      </c>
      <c r="E78" s="3">
        <v>23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I</v>
      </c>
      <c r="O78" s="3">
        <v>86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9">
        <v>136</v>
      </c>
      <c r="AD78" s="3" t="str">
        <f>IFERROR(MID(VLOOKUP($B78,Seqs!$A:$B,2,0),AE78,1),"")</f>
        <v>G</v>
      </c>
      <c r="AE78" s="3">
        <v>167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S</v>
      </c>
      <c r="AM78" s="3">
        <v>213</v>
      </c>
      <c r="AN78" s="3" t="str">
        <f>IFERROR(MID(VLOOKUP($B78,Seqs!$A:$B,2,0),AO78,1),"")</f>
        <v>K</v>
      </c>
      <c r="AO78" s="3">
        <v>384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3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:BB124" si="504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si="225"/>
        <v>247</v>
      </c>
      <c r="BD78" s="16" t="s">
        <v>23</v>
      </c>
      <c r="BE78" s="3" t="s">
        <v>1374</v>
      </c>
      <c r="BF78" s="118">
        <v>3</v>
      </c>
      <c r="BG78" s="49" t="s">
        <v>1377</v>
      </c>
      <c r="BH78" s="49" t="s">
        <v>1377</v>
      </c>
      <c r="BI78" s="1"/>
      <c r="BJ78" s="70" t="s">
        <v>1287</v>
      </c>
      <c r="BK78" s="57" t="s">
        <v>1287</v>
      </c>
      <c r="BL78" s="57" t="s">
        <v>1287</v>
      </c>
      <c r="BM78" s="57" t="s">
        <v>1287</v>
      </c>
      <c r="BN78" s="57" t="s">
        <v>1287</v>
      </c>
      <c r="BO78" s="57" t="s">
        <v>1287</v>
      </c>
      <c r="BP78" s="57" t="s">
        <v>1287</v>
      </c>
      <c r="BQ78" s="57" t="s">
        <v>1287</v>
      </c>
      <c r="BR78" s="57" t="s">
        <v>1287</v>
      </c>
      <c r="BS78" s="57" t="s">
        <v>1287</v>
      </c>
      <c r="BT78" s="57" t="s">
        <v>1287</v>
      </c>
      <c r="BU78" s="57" t="s">
        <v>1287</v>
      </c>
      <c r="BV78" s="70">
        <f t="shared" si="226"/>
        <v>23</v>
      </c>
      <c r="BW78" s="71">
        <f t="shared" si="227"/>
        <v>52</v>
      </c>
      <c r="BX78" s="72">
        <f t="shared" si="228"/>
        <v>56</v>
      </c>
      <c r="BY78" s="71">
        <f t="shared" si="229"/>
        <v>88</v>
      </c>
      <c r="BZ78" s="72">
        <f t="shared" si="230"/>
        <v>92</v>
      </c>
      <c r="CA78" s="71">
        <f t="shared" si="231"/>
        <v>128</v>
      </c>
      <c r="CB78" s="72">
        <f t="shared" si="232"/>
        <v>136</v>
      </c>
      <c r="CC78" s="71">
        <f t="shared" si="233"/>
        <v>176</v>
      </c>
      <c r="CD78" s="72">
        <f t="shared" si="234"/>
        <v>183</v>
      </c>
      <c r="CE78" s="71">
        <f t="shared" si="235"/>
        <v>384</v>
      </c>
      <c r="CF78" s="72">
        <f t="shared" si="236"/>
        <v>418</v>
      </c>
      <c r="CG78" s="71">
        <f t="shared" si="237"/>
        <v>444</v>
      </c>
      <c r="CH78" s="70">
        <f t="shared" si="238"/>
        <v>51</v>
      </c>
      <c r="CI78" s="71">
        <f t="shared" si="239"/>
        <v>55</v>
      </c>
      <c r="CJ78" s="72">
        <f t="shared" si="240"/>
        <v>86</v>
      </c>
      <c r="CK78" s="72">
        <f t="shared" si="241"/>
        <v>91</v>
      </c>
      <c r="CL78" s="72">
        <f t="shared" si="242"/>
        <v>127</v>
      </c>
      <c r="CM78" s="72">
        <f t="shared" si="243"/>
        <v>135</v>
      </c>
      <c r="CN78" s="72">
        <f t="shared" si="244"/>
        <v>167</v>
      </c>
      <c r="CO78" s="72">
        <f t="shared" si="245"/>
        <v>178</v>
      </c>
      <c r="CP78" s="72">
        <f t="shared" si="246"/>
        <v>213</v>
      </c>
      <c r="CQ78" s="72">
        <f t="shared" si="247"/>
        <v>413</v>
      </c>
      <c r="CR78" s="72">
        <f t="shared" si="248"/>
        <v>443</v>
      </c>
      <c r="CS78" s="72">
        <f t="shared" si="249"/>
        <v>456</v>
      </c>
      <c r="CT78" s="23">
        <f t="shared" si="250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503"/>
        <v>acm2_human_4MQS</v>
      </c>
      <c r="B79" s="3" t="s">
        <v>147</v>
      </c>
      <c r="C79" s="3" t="s">
        <v>68</v>
      </c>
      <c r="D79" s="3" t="str">
        <f>IFERROR(MID(VLOOKUP($B79,Seqs!$A:$B,2,0),E79,1),"")</f>
        <v>K</v>
      </c>
      <c r="E79" s="3">
        <v>19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9">
        <v>136</v>
      </c>
      <c r="AD79" s="3" t="str">
        <f>IFERROR(MID(VLOOKUP($B79,Seqs!$A:$B,2,0),AE79,1),"")</f>
        <v>G</v>
      </c>
      <c r="AE79" s="3">
        <v>167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S</v>
      </c>
      <c r="AO79" s="3">
        <v>380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3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504"/>
        <v>1</v>
      </c>
      <c r="BC79" s="23">
        <f t="shared" si="225"/>
        <v>257</v>
      </c>
      <c r="BD79" s="4" t="s">
        <v>23</v>
      </c>
      <c r="BE79" s="3" t="s">
        <v>1291</v>
      </c>
      <c r="BF79" s="118">
        <v>3.5</v>
      </c>
      <c r="BG79" s="49" t="s">
        <v>1377</v>
      </c>
      <c r="BH79" s="49" t="s">
        <v>1377</v>
      </c>
      <c r="BI79" s="1"/>
      <c r="BJ79" s="70" t="s">
        <v>1287</v>
      </c>
      <c r="BK79" s="57" t="s">
        <v>1287</v>
      </c>
      <c r="BL79" s="57" t="s">
        <v>1287</v>
      </c>
      <c r="BM79" s="57" t="s">
        <v>1287</v>
      </c>
      <c r="BN79" s="57" t="s">
        <v>1287</v>
      </c>
      <c r="BO79" s="57" t="s">
        <v>1287</v>
      </c>
      <c r="BP79" s="57" t="s">
        <v>1287</v>
      </c>
      <c r="BQ79" s="57" t="s">
        <v>1287</v>
      </c>
      <c r="BR79" s="57" t="s">
        <v>1287</v>
      </c>
      <c r="BS79" s="57" t="s">
        <v>1287</v>
      </c>
      <c r="BT79" s="57" t="s">
        <v>1287</v>
      </c>
      <c r="BU79" s="57" t="s">
        <v>1287</v>
      </c>
      <c r="BV79" s="70">
        <f t="shared" si="226"/>
        <v>19</v>
      </c>
      <c r="BW79" s="71">
        <f t="shared" si="227"/>
        <v>52</v>
      </c>
      <c r="BX79" s="72">
        <f t="shared" si="228"/>
        <v>56</v>
      </c>
      <c r="BY79" s="71">
        <f t="shared" si="229"/>
        <v>88</v>
      </c>
      <c r="BZ79" s="72">
        <f t="shared" si="230"/>
        <v>92</v>
      </c>
      <c r="CA79" s="71">
        <f t="shared" si="231"/>
        <v>128</v>
      </c>
      <c r="CB79" s="72">
        <f t="shared" si="232"/>
        <v>136</v>
      </c>
      <c r="CC79" s="71">
        <f t="shared" si="233"/>
        <v>176</v>
      </c>
      <c r="CD79" s="72">
        <f t="shared" si="234"/>
        <v>183</v>
      </c>
      <c r="CE79" s="71">
        <f t="shared" si="235"/>
        <v>380</v>
      </c>
      <c r="CF79" s="72">
        <f t="shared" si="236"/>
        <v>418</v>
      </c>
      <c r="CG79" s="71">
        <f t="shared" si="237"/>
        <v>444</v>
      </c>
      <c r="CH79" s="70">
        <f t="shared" si="238"/>
        <v>51</v>
      </c>
      <c r="CI79" s="71">
        <f t="shared" si="239"/>
        <v>55</v>
      </c>
      <c r="CJ79" s="72">
        <f t="shared" si="240"/>
        <v>87</v>
      </c>
      <c r="CK79" s="72">
        <f t="shared" si="241"/>
        <v>91</v>
      </c>
      <c r="CL79" s="72">
        <f t="shared" si="242"/>
        <v>127</v>
      </c>
      <c r="CM79" s="72">
        <f t="shared" si="243"/>
        <v>135</v>
      </c>
      <c r="CN79" s="72">
        <f t="shared" si="244"/>
        <v>167</v>
      </c>
      <c r="CO79" s="72">
        <f t="shared" si="245"/>
        <v>178</v>
      </c>
      <c r="CP79" s="72">
        <f t="shared" si="246"/>
        <v>214</v>
      </c>
      <c r="CQ79" s="72">
        <f t="shared" si="247"/>
        <v>413</v>
      </c>
      <c r="CR79" s="72">
        <f t="shared" si="248"/>
        <v>443</v>
      </c>
      <c r="CS79" s="72">
        <f t="shared" si="249"/>
        <v>456</v>
      </c>
      <c r="CT79" s="23">
        <f t="shared" si="250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503"/>
        <v>acm2_human_4MQT</v>
      </c>
      <c r="B80" s="3" t="s">
        <v>147</v>
      </c>
      <c r="C80" s="3" t="s">
        <v>1046</v>
      </c>
      <c r="D80" s="3" t="str">
        <f>IFERROR(MID(VLOOKUP($B80,Seqs!$A:$B,2,0),E80,1),"")</f>
        <v>K</v>
      </c>
      <c r="E80" s="3">
        <v>19</v>
      </c>
      <c r="F80" s="3" t="str">
        <f>IFERROR(MID(VLOOKUP($B80,Seqs!$A:$B,2,0),G80,1),"")</f>
        <v>N</v>
      </c>
      <c r="G80" s="3">
        <v>51</v>
      </c>
      <c r="H80" s="3" t="str">
        <f>IFERROR(MID(VLOOKUP($B80,Seqs!$A:$B,2,0),I80,1),"")</f>
        <v>R</v>
      </c>
      <c r="I80" s="23">
        <v>52</v>
      </c>
      <c r="J80" s="3" t="str">
        <f>IFERROR(MID(VLOOKUP($B80,Seqs!$A:$B,2,0),K80,1),"")</f>
        <v>Q</v>
      </c>
      <c r="K80" s="23">
        <v>55</v>
      </c>
      <c r="L80" s="3" t="str">
        <f>IFERROR(MID(VLOOKUP($B80,Seqs!$A:$B,2,0),M80,1),"")</f>
        <v>T</v>
      </c>
      <c r="M80" s="3">
        <v>56</v>
      </c>
      <c r="N80" s="3" t="str">
        <f>IFERROR(MID(VLOOKUP($B80,Seqs!$A:$B,2,0),O80,1),"")</f>
        <v>G</v>
      </c>
      <c r="O80" s="3">
        <v>87</v>
      </c>
      <c r="P80" s="3" t="str">
        <f>IFERROR(MID(VLOOKUP($B80,Seqs!$A:$B,2,0),Q80,1),"")</f>
        <v>Y</v>
      </c>
      <c r="Q80" s="3">
        <v>88</v>
      </c>
      <c r="R80" s="3" t="str">
        <f>IFERROR(MID(VLOOKUP($B80,Seqs!$A:$B,2,0),S80,1),"")</f>
        <v>L</v>
      </c>
      <c r="S80" s="3">
        <v>91</v>
      </c>
      <c r="T80" s="3" t="str">
        <f>IFERROR(MID(VLOOKUP($B80,Seqs!$A:$B,2,0),U80,1),"")</f>
        <v>G</v>
      </c>
      <c r="U80" s="3">
        <v>92</v>
      </c>
      <c r="V80" s="3" t="str">
        <f>IFERROR(MID(VLOOKUP($B80,Seqs!$A:$B,2,0),W80,1),"")</f>
        <v>K</v>
      </c>
      <c r="W80" s="3">
        <v>127</v>
      </c>
      <c r="X80" s="3" t="str">
        <f>IFERROR(MID(VLOOKUP($B80,Seqs!$A:$B,2,0),Y80,1),"")</f>
        <v>P</v>
      </c>
      <c r="Y80" s="3">
        <v>128</v>
      </c>
      <c r="Z80" s="3" t="str">
        <f>IFERROR(MID(VLOOKUP($B80,Seqs!$A:$B,2,0),AA80,1),"")</f>
        <v>R</v>
      </c>
      <c r="AA80" s="3">
        <v>135</v>
      </c>
      <c r="AB80" s="3" t="str">
        <f>IFERROR(MID(VLOOKUP($B80,Seqs!$A:$B,2,0),AC80,1),"")</f>
        <v>T</v>
      </c>
      <c r="AC80" s="9">
        <v>136</v>
      </c>
      <c r="AD80" s="3" t="str">
        <f>IFERROR(MID(VLOOKUP($B80,Seqs!$A:$B,2,0),AE80,1),"")</f>
        <v>G</v>
      </c>
      <c r="AE80" s="3">
        <v>167</v>
      </c>
      <c r="AF80" s="3" t="str">
        <f>IFERROR(MID(VLOOKUP($B80,Seqs!$A:$B,2,0),AG80,1),"")</f>
        <v>C</v>
      </c>
      <c r="AG80" s="3">
        <v>176</v>
      </c>
      <c r="AH80" s="3" t="str">
        <f>IFERROR(MID(VLOOKUP($B80,Seqs!$A:$B,2,0),AI80,1),"")</f>
        <v>I</v>
      </c>
      <c r="AI80" s="3">
        <v>178</v>
      </c>
      <c r="AJ80" s="3" t="str">
        <f>IFERROR(MID(VLOOKUP($B80,Seqs!$A:$B,2,0),AK80,1),"")</f>
        <v>N</v>
      </c>
      <c r="AK80" s="3">
        <v>183</v>
      </c>
      <c r="AL80" s="3" t="str">
        <f>IFERROR(MID(VLOOKUP($B80,Seqs!$A:$B,2,0),AM80,1),"")</f>
        <v>S</v>
      </c>
      <c r="AM80" s="3">
        <v>215</v>
      </c>
      <c r="AN80" s="3" t="str">
        <f>IFERROR(MID(VLOOKUP($B80,Seqs!$A:$B,2,0),AO80,1),"")</f>
        <v>P</v>
      </c>
      <c r="AO80" s="3">
        <v>379</v>
      </c>
      <c r="AP80" s="3" t="str">
        <f>IFERROR(MID(VLOOKUP($B80,Seqs!$A:$B,2,0),AQ80,1),"")</f>
        <v>C</v>
      </c>
      <c r="AQ80" s="3">
        <v>413</v>
      </c>
      <c r="AR80" s="3" t="str">
        <f>IFERROR(MID(VLOOKUP($B80,Seqs!$A:$B,2,0),AS80,1),"")</f>
        <v>P</v>
      </c>
      <c r="AS80" s="3">
        <v>418</v>
      </c>
      <c r="AT80" s="3" t="str">
        <f>IFERROR(MID(VLOOKUP($B80,Seqs!$A:$B,2,0),AU80,1),"")</f>
        <v>C</v>
      </c>
      <c r="AU80" s="3">
        <v>443</v>
      </c>
      <c r="AV80" s="3" t="str">
        <f>IFERROR(MID(VLOOKUP($B80,Seqs!$A:$B,2,0),AW80,1),"")</f>
        <v>N</v>
      </c>
      <c r="AW80" s="3">
        <v>444</v>
      </c>
      <c r="AX80" s="3" t="str">
        <f>IFERROR(MID(VLOOKUP($B80,Seqs!$A:$B,2,0),AY80,1),"")</f>
        <v>C</v>
      </c>
      <c r="AY80" s="3">
        <v>457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504"/>
        <v>1</v>
      </c>
      <c r="BC80" s="23">
        <f t="shared" si="225"/>
        <v>260</v>
      </c>
      <c r="BD80" s="4" t="s">
        <v>1375</v>
      </c>
      <c r="BE80" s="3" t="s">
        <v>1291</v>
      </c>
      <c r="BF80" s="118">
        <v>3.7</v>
      </c>
      <c r="BG80" s="49" t="s">
        <v>1377</v>
      </c>
      <c r="BH80" s="49" t="s">
        <v>1377</v>
      </c>
      <c r="BI80" s="1"/>
      <c r="BJ80" s="70" t="s">
        <v>1287</v>
      </c>
      <c r="BK80" s="57" t="s">
        <v>1287</v>
      </c>
      <c r="BL80" s="57" t="s">
        <v>1287</v>
      </c>
      <c r="BM80" s="57" t="s">
        <v>1287</v>
      </c>
      <c r="BN80" s="57" t="s">
        <v>1287</v>
      </c>
      <c r="BO80" s="57" t="s">
        <v>1287</v>
      </c>
      <c r="BP80" s="57" t="s">
        <v>1287</v>
      </c>
      <c r="BQ80" s="57" t="s">
        <v>1287</v>
      </c>
      <c r="BR80" s="57" t="s">
        <v>1287</v>
      </c>
      <c r="BS80" s="57" t="s">
        <v>1287</v>
      </c>
      <c r="BT80" s="57" t="s">
        <v>1287</v>
      </c>
      <c r="BU80" s="57" t="s">
        <v>1287</v>
      </c>
      <c r="BV80" s="70">
        <f t="shared" si="226"/>
        <v>19</v>
      </c>
      <c r="BW80" s="71">
        <f t="shared" si="227"/>
        <v>52</v>
      </c>
      <c r="BX80" s="72">
        <f t="shared" si="228"/>
        <v>56</v>
      </c>
      <c r="BY80" s="71">
        <f t="shared" si="229"/>
        <v>88</v>
      </c>
      <c r="BZ80" s="72">
        <f t="shared" si="230"/>
        <v>92</v>
      </c>
      <c r="CA80" s="71">
        <f t="shared" si="231"/>
        <v>128</v>
      </c>
      <c r="CB80" s="72">
        <f t="shared" si="232"/>
        <v>136</v>
      </c>
      <c r="CC80" s="71">
        <f t="shared" si="233"/>
        <v>176</v>
      </c>
      <c r="CD80" s="72">
        <f t="shared" si="234"/>
        <v>183</v>
      </c>
      <c r="CE80" s="71">
        <f t="shared" si="235"/>
        <v>379</v>
      </c>
      <c r="CF80" s="72">
        <f t="shared" si="236"/>
        <v>418</v>
      </c>
      <c r="CG80" s="71">
        <f t="shared" si="237"/>
        <v>444</v>
      </c>
      <c r="CH80" s="70">
        <f t="shared" si="238"/>
        <v>51</v>
      </c>
      <c r="CI80" s="71">
        <f t="shared" si="239"/>
        <v>55</v>
      </c>
      <c r="CJ80" s="72">
        <f t="shared" si="240"/>
        <v>87</v>
      </c>
      <c r="CK80" s="72">
        <f t="shared" si="241"/>
        <v>91</v>
      </c>
      <c r="CL80" s="72">
        <f t="shared" si="242"/>
        <v>127</v>
      </c>
      <c r="CM80" s="72">
        <f t="shared" si="243"/>
        <v>135</v>
      </c>
      <c r="CN80" s="72">
        <f t="shared" si="244"/>
        <v>167</v>
      </c>
      <c r="CO80" s="72">
        <f t="shared" si="245"/>
        <v>178</v>
      </c>
      <c r="CP80" s="72">
        <f t="shared" si="246"/>
        <v>215</v>
      </c>
      <c r="CQ80" s="72">
        <f t="shared" si="247"/>
        <v>413</v>
      </c>
      <c r="CR80" s="72">
        <f t="shared" si="248"/>
        <v>443</v>
      </c>
      <c r="CS80" s="72">
        <f t="shared" si="249"/>
        <v>457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ref="A81" si="505">CONCATENATE(B81,"_",C81)</f>
        <v>acm2_human_5ZKC</v>
      </c>
      <c r="B81" s="3" t="s">
        <v>147</v>
      </c>
      <c r="C81" s="3" t="s">
        <v>1530</v>
      </c>
      <c r="D81" s="3" t="str">
        <f>IFERROR(MID(VLOOKUP($B81,Seqs!$A:$B,2,0),E81,1),"")</f>
        <v>P</v>
      </c>
      <c r="E81" s="3">
        <v>17</v>
      </c>
      <c r="F81" s="3" t="str">
        <f>IFERROR(MID(VLOOKUP($B81,Seqs!$A:$B,2,0),G81,1),"")</f>
        <v>N</v>
      </c>
      <c r="G81" s="3">
        <v>51</v>
      </c>
      <c r="H81" s="3" t="str">
        <f>IFERROR(MID(VLOOKUP($B81,Seqs!$A:$B,2,0),I81,1),"")</f>
        <v>R</v>
      </c>
      <c r="I81" s="23">
        <v>52</v>
      </c>
      <c r="J81" s="3" t="str">
        <f>IFERROR(MID(VLOOKUP($B81,Seqs!$A:$B,2,0),K81,1),"")</f>
        <v>Q</v>
      </c>
      <c r="K81" s="23">
        <v>55</v>
      </c>
      <c r="L81" s="3" t="str">
        <f>IFERROR(MID(VLOOKUP($B81,Seqs!$A:$B,2,0),M81,1),"")</f>
        <v>T</v>
      </c>
      <c r="M81" s="3">
        <v>56</v>
      </c>
      <c r="N81" s="3" t="str">
        <f>IFERROR(MID(VLOOKUP($B81,Seqs!$A:$B,2,0),O81,1),"")</f>
        <v>G</v>
      </c>
      <c r="O81" s="3">
        <v>87</v>
      </c>
      <c r="P81" s="3" t="str">
        <f>IFERROR(MID(VLOOKUP($B81,Seqs!$A:$B,2,0),Q81,1),"")</f>
        <v>Y</v>
      </c>
      <c r="Q81" s="3">
        <v>88</v>
      </c>
      <c r="R81" s="3" t="str">
        <f>IFERROR(MID(VLOOKUP($B81,Seqs!$A:$B,2,0),S81,1),"")</f>
        <v>L</v>
      </c>
      <c r="S81" s="3">
        <v>91</v>
      </c>
      <c r="T81" s="3" t="str">
        <f>IFERROR(MID(VLOOKUP($B81,Seqs!$A:$B,2,0),U81,1),"")</f>
        <v>G</v>
      </c>
      <c r="U81" s="3">
        <v>92</v>
      </c>
      <c r="V81" s="3" t="str">
        <f>IFERROR(MID(VLOOKUP($B81,Seqs!$A:$B,2,0),W81,1),"")</f>
        <v>K</v>
      </c>
      <c r="W81" s="3">
        <v>127</v>
      </c>
      <c r="X81" s="3" t="str">
        <f>IFERROR(MID(VLOOKUP($B81,Seqs!$A:$B,2,0),Y81,1),"")</f>
        <v>P</v>
      </c>
      <c r="Y81" s="3">
        <v>128</v>
      </c>
      <c r="Z81" s="3" t="str">
        <f>IFERROR(MID(VLOOKUP($B81,Seqs!$A:$B,2,0),AA81,1),"")</f>
        <v>R</v>
      </c>
      <c r="AA81" s="3">
        <v>135</v>
      </c>
      <c r="AB81" s="3" t="str">
        <f>IFERROR(MID(VLOOKUP($B81,Seqs!$A:$B,2,0),AC81,1),"")</f>
        <v>T</v>
      </c>
      <c r="AC81" s="3">
        <v>136</v>
      </c>
      <c r="AD81" s="3" t="str">
        <f>IFERROR(MID(VLOOKUP($B81,Seqs!$A:$B,2,0),AE81,1),"")</f>
        <v>V</v>
      </c>
      <c r="AE81" s="3">
        <v>166</v>
      </c>
      <c r="AF81" s="3" t="str">
        <f>IFERROR(MID(VLOOKUP($B81,Seqs!$A:$B,2,0),AG81,1),"")</f>
        <v>C</v>
      </c>
      <c r="AG81" s="3">
        <v>176</v>
      </c>
      <c r="AH81" s="3" t="str">
        <f>IFERROR(MID(VLOOKUP($B81,Seqs!$A:$B,2,0),AI81,1),"")</f>
        <v>I</v>
      </c>
      <c r="AI81" s="3">
        <v>178</v>
      </c>
      <c r="AJ81" s="3" t="str">
        <f>IFERROR(MID(VLOOKUP($B81,Seqs!$A:$B,2,0),AK81,1),"")</f>
        <v>N</v>
      </c>
      <c r="AK81" s="3">
        <v>183</v>
      </c>
      <c r="AL81" s="3" t="str">
        <f>IFERROR(MID(VLOOKUP($B81,Seqs!$A:$B,2,0),AM81,1),"")</f>
        <v>K</v>
      </c>
      <c r="AM81" s="3">
        <v>214</v>
      </c>
      <c r="AN81" s="3" t="str">
        <f>IFERROR(MID(VLOOKUP($B81,Seqs!$A:$B,2,0),AO81,1),"")</f>
        <v>R</v>
      </c>
      <c r="AO81" s="3">
        <v>381</v>
      </c>
      <c r="AP81" s="3" t="str">
        <f>IFERROR(MID(VLOOKUP($B81,Seqs!$A:$B,2,0),AQ81,1),"")</f>
        <v>C</v>
      </c>
      <c r="AQ81" s="3">
        <v>413</v>
      </c>
      <c r="AR81" s="3" t="str">
        <f>IFERROR(MID(VLOOKUP($B81,Seqs!$A:$B,2,0),AS81,1),"")</f>
        <v>P</v>
      </c>
      <c r="AS81" s="3">
        <v>418</v>
      </c>
      <c r="AT81" s="3" t="str">
        <f>IFERROR(MID(VLOOKUP($B81,Seqs!$A:$B,2,0),AU81,1),"")</f>
        <v>C</v>
      </c>
      <c r="AU81" s="105">
        <v>443</v>
      </c>
      <c r="AV81" s="3" t="str">
        <f>IFERROR(MID(VLOOKUP($B81,Seqs!$A:$B,2,0),AW81,1),"")</f>
        <v>N</v>
      </c>
      <c r="AW81" s="3">
        <v>444</v>
      </c>
      <c r="AX81" s="3" t="str">
        <f>IFERROR(MID(VLOOKUP($B81,Seqs!$A:$B,2,0),AY81,1),"")</f>
        <v>M</v>
      </c>
      <c r="AY81" s="3">
        <v>456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ref="BB81" si="506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" si="507">_xlfn.AGGREGATE(9,6,CH81:CS81)-_xlfn.AGGREGATE(9,6,BV81:CG81)+12</f>
        <v>257</v>
      </c>
      <c r="BD81" s="4" t="s">
        <v>1376</v>
      </c>
      <c r="BE81" s="3" t="s">
        <v>1374</v>
      </c>
      <c r="BF81" s="118">
        <v>2.2999999999999998</v>
      </c>
      <c r="BG81" s="49" t="s">
        <v>1</v>
      </c>
      <c r="BH81" s="49" t="s">
        <v>1</v>
      </c>
      <c r="BI81" s="1"/>
      <c r="BJ81" s="70" t="s">
        <v>1287</v>
      </c>
      <c r="BK81" s="57" t="s">
        <v>1287</v>
      </c>
      <c r="BL81" s="57" t="s">
        <v>1287</v>
      </c>
      <c r="BM81" s="57" t="s">
        <v>1287</v>
      </c>
      <c r="BN81" s="57" t="s">
        <v>1287</v>
      </c>
      <c r="BO81" s="57" t="s">
        <v>1287</v>
      </c>
      <c r="BP81" s="57" t="s">
        <v>1287</v>
      </c>
      <c r="BQ81" s="57" t="s">
        <v>1287</v>
      </c>
      <c r="BR81" s="57" t="s">
        <v>1287</v>
      </c>
      <c r="BS81" s="57" t="s">
        <v>1287</v>
      </c>
      <c r="BT81" s="57" t="s">
        <v>1287</v>
      </c>
      <c r="BU81" s="57" t="s">
        <v>1287</v>
      </c>
      <c r="BV81" s="70">
        <f t="shared" ref="BV81" si="508">E81</f>
        <v>17</v>
      </c>
      <c r="BW81" s="71">
        <f t="shared" ref="BW81" si="509">I81</f>
        <v>52</v>
      </c>
      <c r="BX81" s="72">
        <f t="shared" ref="BX81" si="510">M81</f>
        <v>56</v>
      </c>
      <c r="BY81" s="71">
        <f t="shared" ref="BY81" si="511">Q81</f>
        <v>88</v>
      </c>
      <c r="BZ81" s="72">
        <f t="shared" ref="BZ81" si="512">U81</f>
        <v>92</v>
      </c>
      <c r="CA81" s="71">
        <f t="shared" ref="CA81" si="513">Y81</f>
        <v>128</v>
      </c>
      <c r="CB81" s="72">
        <f t="shared" ref="CB81" si="514">AC81</f>
        <v>136</v>
      </c>
      <c r="CC81" s="71">
        <f t="shared" ref="CC81" si="515">AG81</f>
        <v>176</v>
      </c>
      <c r="CD81" s="72">
        <f t="shared" ref="CD81" si="516">AK81</f>
        <v>183</v>
      </c>
      <c r="CE81" s="71">
        <f t="shared" ref="CE81" si="517">AO81</f>
        <v>381</v>
      </c>
      <c r="CF81" s="72">
        <f t="shared" ref="CF81" si="518">AS81</f>
        <v>418</v>
      </c>
      <c r="CG81" s="71">
        <f t="shared" ref="CG81" si="519">AW81</f>
        <v>444</v>
      </c>
      <c r="CH81" s="70">
        <f t="shared" ref="CH81" si="520">G81</f>
        <v>51</v>
      </c>
      <c r="CI81" s="71">
        <f t="shared" ref="CI81" si="521">K81</f>
        <v>55</v>
      </c>
      <c r="CJ81" s="72">
        <f t="shared" ref="CJ81" si="522">O81</f>
        <v>87</v>
      </c>
      <c r="CK81" s="72">
        <f t="shared" ref="CK81" si="523">S81</f>
        <v>91</v>
      </c>
      <c r="CL81" s="72">
        <f t="shared" ref="CL81" si="524">W81</f>
        <v>127</v>
      </c>
      <c r="CM81" s="72">
        <f t="shared" ref="CM81" si="525">AA81</f>
        <v>135</v>
      </c>
      <c r="CN81" s="72">
        <f t="shared" ref="CN81" si="526">AE81</f>
        <v>166</v>
      </c>
      <c r="CO81" s="72">
        <f t="shared" ref="CO81" si="527">AI81</f>
        <v>178</v>
      </c>
      <c r="CP81" s="72">
        <f t="shared" ref="CP81" si="528">AM81</f>
        <v>214</v>
      </c>
      <c r="CQ81" s="72">
        <f t="shared" ref="CQ81" si="529">AQ81</f>
        <v>413</v>
      </c>
      <c r="CR81" s="72">
        <f t="shared" ref="CR81" si="530">AU81</f>
        <v>443</v>
      </c>
      <c r="CS81" s="72">
        <f t="shared" ref="CS81" si="531">AY81</f>
        <v>456</v>
      </c>
      <c r="CT81" s="23">
        <f t="shared" ref="CT81" si="532">M81-K81</f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ref="A82" si="533">CONCATENATE(B82,"_",C82)</f>
        <v>acm2_human_5ZKB</v>
      </c>
      <c r="B82" s="3" t="s">
        <v>147</v>
      </c>
      <c r="C82" s="3" t="s">
        <v>1531</v>
      </c>
      <c r="D82" s="3" t="str">
        <f>IFERROR(MID(VLOOKUP($B82,Seqs!$A:$B,2,0),E82,1),"")</f>
        <v>Y</v>
      </c>
      <c r="E82" s="3">
        <v>18</v>
      </c>
      <c r="F82" s="3" t="str">
        <f>IFERROR(MID(VLOOKUP($B82,Seqs!$A:$B,2,0),G82,1),"")</f>
        <v>N</v>
      </c>
      <c r="G82" s="3">
        <v>51</v>
      </c>
      <c r="H82" s="3" t="str">
        <f>IFERROR(MID(VLOOKUP($B82,Seqs!$A:$B,2,0),I82,1),"")</f>
        <v>R</v>
      </c>
      <c r="I82" s="23">
        <v>52</v>
      </c>
      <c r="J82" s="3" t="str">
        <f>IFERROR(MID(VLOOKUP($B82,Seqs!$A:$B,2,0),K82,1),"")</f>
        <v>Q</v>
      </c>
      <c r="K82" s="23">
        <v>55</v>
      </c>
      <c r="L82" s="3" t="str">
        <f>IFERROR(MID(VLOOKUP($B82,Seqs!$A:$B,2,0),M82,1),"")</f>
        <v>T</v>
      </c>
      <c r="M82" s="3">
        <v>56</v>
      </c>
      <c r="N82" s="3" t="str">
        <f>IFERROR(MID(VLOOKUP($B82,Seqs!$A:$B,2,0),O82,1),"")</f>
        <v>G</v>
      </c>
      <c r="O82" s="3">
        <v>87</v>
      </c>
      <c r="P82" s="3" t="str">
        <f>IFERROR(MID(VLOOKUP($B82,Seqs!$A:$B,2,0),Q82,1),"")</f>
        <v>Y</v>
      </c>
      <c r="Q82" s="3">
        <v>88</v>
      </c>
      <c r="R82" s="3" t="str">
        <f>IFERROR(MID(VLOOKUP($B82,Seqs!$A:$B,2,0),S82,1),"")</f>
        <v>L</v>
      </c>
      <c r="S82" s="3">
        <v>91</v>
      </c>
      <c r="T82" s="3" t="str">
        <f>IFERROR(MID(VLOOKUP($B82,Seqs!$A:$B,2,0),U82,1),"")</f>
        <v>G</v>
      </c>
      <c r="U82" s="3">
        <v>92</v>
      </c>
      <c r="V82" s="3" t="str">
        <f>IFERROR(MID(VLOOKUP($B82,Seqs!$A:$B,2,0),W82,1),"")</f>
        <v>K</v>
      </c>
      <c r="W82" s="3">
        <v>127</v>
      </c>
      <c r="X82" s="3" t="str">
        <f>IFERROR(MID(VLOOKUP($B82,Seqs!$A:$B,2,0),Y82,1),"")</f>
        <v>P</v>
      </c>
      <c r="Y82" s="3">
        <v>128</v>
      </c>
      <c r="Z82" s="3" t="str">
        <f>IFERROR(MID(VLOOKUP($B82,Seqs!$A:$B,2,0),AA82,1),"")</f>
        <v>R</v>
      </c>
      <c r="AA82" s="3">
        <v>135</v>
      </c>
      <c r="AB82" s="3" t="str">
        <f>IFERROR(MID(VLOOKUP($B82,Seqs!$A:$B,2,0),AC82,1),"")</f>
        <v>T</v>
      </c>
      <c r="AC82" s="3">
        <v>136</v>
      </c>
      <c r="AD82" s="3" t="str">
        <f>IFERROR(MID(VLOOKUP($B82,Seqs!$A:$B,2,0),AE82,1),"")</f>
        <v>V</v>
      </c>
      <c r="AE82" s="3">
        <v>166</v>
      </c>
      <c r="AF82" s="3" t="str">
        <f>IFERROR(MID(VLOOKUP($B82,Seqs!$A:$B,2,0),AG82,1),"")</f>
        <v>C</v>
      </c>
      <c r="AG82" s="3">
        <v>176</v>
      </c>
      <c r="AH82" s="3" t="str">
        <f>IFERROR(MID(VLOOKUP($B82,Seqs!$A:$B,2,0),AI82,1),"")</f>
        <v>I</v>
      </c>
      <c r="AI82" s="3">
        <v>178</v>
      </c>
      <c r="AJ82" s="3" t="str">
        <f>IFERROR(MID(VLOOKUP($B82,Seqs!$A:$B,2,0),AK82,1),"")</f>
        <v>N</v>
      </c>
      <c r="AK82" s="3">
        <v>183</v>
      </c>
      <c r="AL82" s="3" t="str">
        <f>IFERROR(MID(VLOOKUP($B82,Seqs!$A:$B,2,0),AM82,1),"")</f>
        <v>K</v>
      </c>
      <c r="AM82" s="3">
        <v>214</v>
      </c>
      <c r="AN82" s="3" t="str">
        <f>IFERROR(MID(VLOOKUP($B82,Seqs!$A:$B,2,0),AO82,1),"")</f>
        <v>S</v>
      </c>
      <c r="AO82" s="3">
        <v>380</v>
      </c>
      <c r="AP82" s="3" t="str">
        <f>IFERROR(MID(VLOOKUP($B82,Seqs!$A:$B,2,0),AQ82,1),"")</f>
        <v>C</v>
      </c>
      <c r="AQ82" s="3">
        <v>413</v>
      </c>
      <c r="AR82" s="3" t="str">
        <f>IFERROR(MID(VLOOKUP($B82,Seqs!$A:$B,2,0),AS82,1),"")</f>
        <v>P</v>
      </c>
      <c r="AS82" s="3">
        <v>418</v>
      </c>
      <c r="AT82" s="3" t="str">
        <f>IFERROR(MID(VLOOKUP($B82,Seqs!$A:$B,2,0),AU82,1),"")</f>
        <v>C</v>
      </c>
      <c r="AU82" s="105">
        <v>443</v>
      </c>
      <c r="AV82" s="3" t="str">
        <f>IFERROR(MID(VLOOKUP($B82,Seqs!$A:$B,2,0),AW82,1),"")</f>
        <v>N</v>
      </c>
      <c r="AW82" s="3">
        <v>444</v>
      </c>
      <c r="AX82" s="3" t="str">
        <f>IFERROR(MID(VLOOKUP($B82,Seqs!$A:$B,2,0),AY82,1),"")</f>
        <v>M</v>
      </c>
      <c r="AY82" s="3">
        <v>456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ref="BB82" si="534">AND(E82&lt;G82,OR(G82&lt;I82,I82="-"),OR(I82&lt;K82,I82="-"),OR(K82&lt;M82,K82="-"),M82&lt;O82,OR(O82&lt;Q82,Q82="-"),OR(Q82&lt;S82,Q82="-"),OR(S82&lt;U82,S82="-"),U82&lt;W82,OR(W82&lt;Y82,Y82="-"),OR(Y82&lt;AA82,Y82="-"),OR(AA82&lt;AC82,AA82="-"),AC82&lt;AE82,OR(AE82&lt;AG82,AG82="-"),OR(AG82&lt;AI82,AG82="-"),OR(AI82&lt;AK82,AI82="-"),AK82&lt;AM82,AM82&lt;AO82,AO82&lt;AQ82,AQ82&lt;AS82,AS82&lt;AU82,OR(AU82&lt;AW82,AW82="-"),OR(AW82&lt;AY82,AW82="-"))</f>
        <v>1</v>
      </c>
      <c r="BC82" s="23">
        <f t="shared" ref="BC82" si="535">_xlfn.AGGREGATE(9,6,CH82:CS82)-_xlfn.AGGREGATE(9,6,BV82:CG82)+12</f>
        <v>257</v>
      </c>
      <c r="BD82" s="4" t="s">
        <v>23</v>
      </c>
      <c r="BE82" s="3" t="s">
        <v>1374</v>
      </c>
      <c r="BF82" s="118">
        <v>2.95</v>
      </c>
      <c r="BG82" s="49" t="s">
        <v>1</v>
      </c>
      <c r="BH82" s="49" t="s">
        <v>1</v>
      </c>
      <c r="BI82" s="1"/>
      <c r="BJ82" s="70" t="s">
        <v>1287</v>
      </c>
      <c r="BK82" s="57" t="s">
        <v>1287</v>
      </c>
      <c r="BL82" s="57" t="s">
        <v>1287</v>
      </c>
      <c r="BM82" s="57" t="s">
        <v>1287</v>
      </c>
      <c r="BN82" s="57" t="s">
        <v>1287</v>
      </c>
      <c r="BO82" s="57" t="s">
        <v>1287</v>
      </c>
      <c r="BP82" s="57" t="s">
        <v>1287</v>
      </c>
      <c r="BQ82" s="57" t="s">
        <v>1287</v>
      </c>
      <c r="BR82" s="57" t="s">
        <v>1287</v>
      </c>
      <c r="BS82" s="57" t="s">
        <v>1287</v>
      </c>
      <c r="BT82" s="57" t="s">
        <v>1287</v>
      </c>
      <c r="BU82" s="57" t="s">
        <v>1287</v>
      </c>
      <c r="BV82" s="70">
        <f t="shared" ref="BV82" si="536">E82</f>
        <v>18</v>
      </c>
      <c r="BW82" s="71">
        <f t="shared" ref="BW82" si="537">I82</f>
        <v>52</v>
      </c>
      <c r="BX82" s="72">
        <f t="shared" ref="BX82" si="538">M82</f>
        <v>56</v>
      </c>
      <c r="BY82" s="71">
        <f t="shared" ref="BY82" si="539">Q82</f>
        <v>88</v>
      </c>
      <c r="BZ82" s="72">
        <f t="shared" ref="BZ82" si="540">U82</f>
        <v>92</v>
      </c>
      <c r="CA82" s="71">
        <f t="shared" ref="CA82" si="541">Y82</f>
        <v>128</v>
      </c>
      <c r="CB82" s="72">
        <f t="shared" ref="CB82" si="542">AC82</f>
        <v>136</v>
      </c>
      <c r="CC82" s="71">
        <f t="shared" ref="CC82" si="543">AG82</f>
        <v>176</v>
      </c>
      <c r="CD82" s="72">
        <f t="shared" ref="CD82" si="544">AK82</f>
        <v>183</v>
      </c>
      <c r="CE82" s="71">
        <f t="shared" ref="CE82" si="545">AO82</f>
        <v>380</v>
      </c>
      <c r="CF82" s="72">
        <f t="shared" ref="CF82" si="546">AS82</f>
        <v>418</v>
      </c>
      <c r="CG82" s="71">
        <f t="shared" ref="CG82" si="547">AW82</f>
        <v>444</v>
      </c>
      <c r="CH82" s="70">
        <f t="shared" ref="CH82" si="548">G82</f>
        <v>51</v>
      </c>
      <c r="CI82" s="71">
        <f t="shared" ref="CI82" si="549">K82</f>
        <v>55</v>
      </c>
      <c r="CJ82" s="72">
        <f t="shared" ref="CJ82" si="550">O82</f>
        <v>87</v>
      </c>
      <c r="CK82" s="72">
        <f t="shared" ref="CK82" si="551">S82</f>
        <v>91</v>
      </c>
      <c r="CL82" s="72">
        <f t="shared" ref="CL82" si="552">W82</f>
        <v>127</v>
      </c>
      <c r="CM82" s="72">
        <f t="shared" ref="CM82" si="553">AA82</f>
        <v>135</v>
      </c>
      <c r="CN82" s="72">
        <f t="shared" ref="CN82" si="554">AE82</f>
        <v>166</v>
      </c>
      <c r="CO82" s="72">
        <f t="shared" ref="CO82" si="555">AI82</f>
        <v>178</v>
      </c>
      <c r="CP82" s="72">
        <f t="shared" ref="CP82" si="556">AM82</f>
        <v>214</v>
      </c>
      <c r="CQ82" s="72">
        <f t="shared" ref="CQ82" si="557">AQ82</f>
        <v>413</v>
      </c>
      <c r="CR82" s="72">
        <f t="shared" ref="CR82" si="558">AU82</f>
        <v>443</v>
      </c>
      <c r="CS82" s="72">
        <f t="shared" ref="CS82" si="559">AY82</f>
        <v>456</v>
      </c>
      <c r="CT82" s="23">
        <f t="shared" ref="CT82" si="560">M82-K82</f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ref="A83" si="561">CONCATENATE(B83,"_",C83)</f>
        <v>acm2_human_5ZK8</v>
      </c>
      <c r="B83" s="3" t="s">
        <v>147</v>
      </c>
      <c r="C83" s="3" t="s">
        <v>1532</v>
      </c>
      <c r="D83" s="3" t="str">
        <f>IFERROR(MID(VLOOKUP($B83,Seqs!$A:$B,2,0),E83,1),"")</f>
        <v>Y</v>
      </c>
      <c r="E83" s="3">
        <v>18</v>
      </c>
      <c r="F83" s="3" t="str">
        <f>IFERROR(MID(VLOOKUP($B83,Seqs!$A:$B,2,0),G83,1),"")</f>
        <v>N</v>
      </c>
      <c r="G83" s="3">
        <v>51</v>
      </c>
      <c r="H83" s="3" t="str">
        <f>IFERROR(MID(VLOOKUP($B83,Seqs!$A:$B,2,0),I83,1),"")</f>
        <v>R</v>
      </c>
      <c r="I83" s="23">
        <v>52</v>
      </c>
      <c r="J83" s="3" t="str">
        <f>IFERROR(MID(VLOOKUP($B83,Seqs!$A:$B,2,0),K83,1),"")</f>
        <v>Q</v>
      </c>
      <c r="K83" s="23">
        <v>55</v>
      </c>
      <c r="L83" s="3" t="str">
        <f>IFERROR(MID(VLOOKUP($B83,Seqs!$A:$B,2,0),M83,1),"")</f>
        <v>T</v>
      </c>
      <c r="M83" s="3">
        <v>56</v>
      </c>
      <c r="N83" s="3" t="str">
        <f>IFERROR(MID(VLOOKUP($B83,Seqs!$A:$B,2,0),O83,1),"")</f>
        <v>G</v>
      </c>
      <c r="O83" s="3">
        <v>87</v>
      </c>
      <c r="P83" s="3" t="str">
        <f>IFERROR(MID(VLOOKUP($B83,Seqs!$A:$B,2,0),Q83,1),"")</f>
        <v>Y</v>
      </c>
      <c r="Q83" s="3">
        <v>88</v>
      </c>
      <c r="R83" s="3" t="str">
        <f>IFERROR(MID(VLOOKUP($B83,Seqs!$A:$B,2,0),S83,1),"")</f>
        <v>L</v>
      </c>
      <c r="S83" s="3">
        <v>91</v>
      </c>
      <c r="T83" s="3" t="str">
        <f>IFERROR(MID(VLOOKUP($B83,Seqs!$A:$B,2,0),U83,1),"")</f>
        <v>G</v>
      </c>
      <c r="U83" s="3">
        <v>92</v>
      </c>
      <c r="V83" s="3" t="str">
        <f>IFERROR(MID(VLOOKUP($B83,Seqs!$A:$B,2,0),W83,1),"")</f>
        <v>K</v>
      </c>
      <c r="W83" s="3">
        <v>127</v>
      </c>
      <c r="X83" s="3" t="str">
        <f>IFERROR(MID(VLOOKUP($B83,Seqs!$A:$B,2,0),Y83,1),"")</f>
        <v>P</v>
      </c>
      <c r="Y83" s="3">
        <v>128</v>
      </c>
      <c r="Z83" s="3" t="str">
        <f>IFERROR(MID(VLOOKUP($B83,Seqs!$A:$B,2,0),AA83,1),"")</f>
        <v>R</v>
      </c>
      <c r="AA83" s="3">
        <v>135</v>
      </c>
      <c r="AB83" s="3" t="str">
        <f>IFERROR(MID(VLOOKUP($B83,Seqs!$A:$B,2,0),AC83,1),"")</f>
        <v>T</v>
      </c>
      <c r="AC83" s="3">
        <v>136</v>
      </c>
      <c r="AD83" s="3" t="str">
        <f>IFERROR(MID(VLOOKUP($B83,Seqs!$A:$B,2,0),AE83,1),"")</f>
        <v>G</v>
      </c>
      <c r="AE83" s="3">
        <v>167</v>
      </c>
      <c r="AF83" s="3" t="str">
        <f>IFERROR(MID(VLOOKUP($B83,Seqs!$A:$B,2,0),AG83,1),"")</f>
        <v>C</v>
      </c>
      <c r="AG83" s="3">
        <v>176</v>
      </c>
      <c r="AH83" s="3" t="str">
        <f>IFERROR(MID(VLOOKUP($B83,Seqs!$A:$B,2,0),AI83,1),"")</f>
        <v>I</v>
      </c>
      <c r="AI83" s="3">
        <v>178</v>
      </c>
      <c r="AJ83" s="3" t="str">
        <f>IFERROR(MID(VLOOKUP($B83,Seqs!$A:$B,2,0),AK83,1),"")</f>
        <v>N</v>
      </c>
      <c r="AK83" s="3">
        <v>183</v>
      </c>
      <c r="AL83" s="3" t="str">
        <f>IFERROR(MID(VLOOKUP($B83,Seqs!$A:$B,2,0),AM83,1),"")</f>
        <v>K</v>
      </c>
      <c r="AM83" s="3">
        <v>214</v>
      </c>
      <c r="AN83" s="3" t="str">
        <f>IFERROR(MID(VLOOKUP($B83,Seqs!$A:$B,2,0),AO83,1),"")</f>
        <v>K</v>
      </c>
      <c r="AO83" s="3">
        <v>383</v>
      </c>
      <c r="AP83" s="3" t="str">
        <f>IFERROR(MID(VLOOKUP($B83,Seqs!$A:$B,2,0),AQ83,1),"")</f>
        <v>C</v>
      </c>
      <c r="AQ83" s="3">
        <v>413</v>
      </c>
      <c r="AR83" s="3" t="str">
        <f>IFERROR(MID(VLOOKUP($B83,Seqs!$A:$B,2,0),AS83,1),"")</f>
        <v>P</v>
      </c>
      <c r="AS83" s="3">
        <v>418</v>
      </c>
      <c r="AT83" s="3" t="str">
        <f>IFERROR(MID(VLOOKUP($B83,Seqs!$A:$B,2,0),AU83,1),"")</f>
        <v>C</v>
      </c>
      <c r="AU83" s="105">
        <v>443</v>
      </c>
      <c r="AV83" s="3" t="str">
        <f>IFERROR(MID(VLOOKUP($B83,Seqs!$A:$B,2,0),AW83,1),"")</f>
        <v>N</v>
      </c>
      <c r="AW83" s="3">
        <v>444</v>
      </c>
      <c r="AX83" s="3" t="str">
        <f>IFERROR(MID(VLOOKUP($B83,Seqs!$A:$B,2,0),AY83,1),"")</f>
        <v>M</v>
      </c>
      <c r="AY83" s="3">
        <v>456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ref="BB83" si="562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563">_xlfn.AGGREGATE(9,6,CH83:CS83)-_xlfn.AGGREGATE(9,6,BV83:CG83)+12</f>
        <v>255</v>
      </c>
      <c r="BD83" s="4" t="s">
        <v>23</v>
      </c>
      <c r="BE83" s="3" t="s">
        <v>1374</v>
      </c>
      <c r="BF83" s="118">
        <v>3</v>
      </c>
      <c r="BG83" s="49" t="s">
        <v>1</v>
      </c>
      <c r="BH83" s="49" t="s">
        <v>1</v>
      </c>
      <c r="BI83" s="1"/>
      <c r="BJ83" s="70" t="s">
        <v>1287</v>
      </c>
      <c r="BK83" s="57" t="s">
        <v>1287</v>
      </c>
      <c r="BL83" s="57" t="s">
        <v>1287</v>
      </c>
      <c r="BM83" s="57" t="s">
        <v>1287</v>
      </c>
      <c r="BN83" s="57" t="s">
        <v>1287</v>
      </c>
      <c r="BO83" s="57" t="s">
        <v>1287</v>
      </c>
      <c r="BP83" s="57" t="s">
        <v>1287</v>
      </c>
      <c r="BQ83" s="57" t="s">
        <v>1287</v>
      </c>
      <c r="BR83" s="57" t="s">
        <v>1287</v>
      </c>
      <c r="BS83" s="57" t="s">
        <v>1287</v>
      </c>
      <c r="BT83" s="57" t="s">
        <v>1287</v>
      </c>
      <c r="BU83" s="57" t="s">
        <v>1287</v>
      </c>
      <c r="BV83" s="70">
        <f t="shared" ref="BV83" si="564">E83</f>
        <v>18</v>
      </c>
      <c r="BW83" s="71">
        <f t="shared" ref="BW83" si="565">I83</f>
        <v>52</v>
      </c>
      <c r="BX83" s="72">
        <f t="shared" ref="BX83" si="566">M83</f>
        <v>56</v>
      </c>
      <c r="BY83" s="71">
        <f t="shared" ref="BY83" si="567">Q83</f>
        <v>88</v>
      </c>
      <c r="BZ83" s="72">
        <f t="shared" ref="BZ83" si="568">U83</f>
        <v>92</v>
      </c>
      <c r="CA83" s="71">
        <f t="shared" ref="CA83" si="569">Y83</f>
        <v>128</v>
      </c>
      <c r="CB83" s="72">
        <f t="shared" ref="CB83" si="570">AC83</f>
        <v>136</v>
      </c>
      <c r="CC83" s="71">
        <f t="shared" ref="CC83" si="571">AG83</f>
        <v>176</v>
      </c>
      <c r="CD83" s="72">
        <f t="shared" ref="CD83" si="572">AK83</f>
        <v>183</v>
      </c>
      <c r="CE83" s="71">
        <f t="shared" ref="CE83" si="573">AO83</f>
        <v>383</v>
      </c>
      <c r="CF83" s="72">
        <f t="shared" ref="CF83" si="574">AS83</f>
        <v>418</v>
      </c>
      <c r="CG83" s="71">
        <f t="shared" ref="CG83" si="575">AW83</f>
        <v>444</v>
      </c>
      <c r="CH83" s="70">
        <f t="shared" ref="CH83" si="576">G83</f>
        <v>51</v>
      </c>
      <c r="CI83" s="71">
        <f t="shared" ref="CI83" si="577">K83</f>
        <v>55</v>
      </c>
      <c r="CJ83" s="72">
        <f t="shared" ref="CJ83" si="578">O83</f>
        <v>87</v>
      </c>
      <c r="CK83" s="72">
        <f t="shared" ref="CK83" si="579">S83</f>
        <v>91</v>
      </c>
      <c r="CL83" s="72">
        <f t="shared" ref="CL83" si="580">W83</f>
        <v>127</v>
      </c>
      <c r="CM83" s="72">
        <f t="shared" ref="CM83" si="581">AA83</f>
        <v>135</v>
      </c>
      <c r="CN83" s="72">
        <f t="shared" ref="CN83" si="582">AE83</f>
        <v>167</v>
      </c>
      <c r="CO83" s="72">
        <f t="shared" ref="CO83" si="583">AI83</f>
        <v>178</v>
      </c>
      <c r="CP83" s="72">
        <f t="shared" ref="CP83" si="584">AM83</f>
        <v>214</v>
      </c>
      <c r="CQ83" s="72">
        <f t="shared" ref="CQ83" si="585">AQ83</f>
        <v>413</v>
      </c>
      <c r="CR83" s="72">
        <f t="shared" ref="CR83" si="586">AU83</f>
        <v>443</v>
      </c>
      <c r="CS83" s="72">
        <f t="shared" ref="CS83" si="587">AY83</f>
        <v>456</v>
      </c>
      <c r="CT83" s="23">
        <f t="shared" ref="CT83" si="588">M83-K83</f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ref="A84" si="589">CONCATENATE(B84,"_",C84)</f>
        <v>acm2_human_5ZK3</v>
      </c>
      <c r="B84" s="3" t="s">
        <v>147</v>
      </c>
      <c r="C84" s="3" t="s">
        <v>1533</v>
      </c>
      <c r="D84" s="3" t="str">
        <f>IFERROR(MID(VLOOKUP($B84,Seqs!$A:$B,2,0),E84,1),"")</f>
        <v>Y</v>
      </c>
      <c r="E84" s="3">
        <v>18</v>
      </c>
      <c r="F84" s="3" t="str">
        <f>IFERROR(MID(VLOOKUP($B84,Seqs!$A:$B,2,0),G84,1),"")</f>
        <v>N</v>
      </c>
      <c r="G84" s="3">
        <v>51</v>
      </c>
      <c r="H84" s="3" t="str">
        <f>IFERROR(MID(VLOOKUP($B84,Seqs!$A:$B,2,0),I84,1),"")</f>
        <v>R</v>
      </c>
      <c r="I84" s="23">
        <v>52</v>
      </c>
      <c r="J84" s="3" t="str">
        <f>IFERROR(MID(VLOOKUP($B84,Seqs!$A:$B,2,0),K84,1),"")</f>
        <v>Q</v>
      </c>
      <c r="K84" s="23">
        <v>55</v>
      </c>
      <c r="L84" s="3" t="str">
        <f>IFERROR(MID(VLOOKUP($B84,Seqs!$A:$B,2,0),M84,1),"")</f>
        <v>T</v>
      </c>
      <c r="M84" s="3">
        <v>56</v>
      </c>
      <c r="N84" s="3" t="str">
        <f>IFERROR(MID(VLOOKUP($B84,Seqs!$A:$B,2,0),O84,1),"")</f>
        <v>G</v>
      </c>
      <c r="O84" s="3">
        <v>87</v>
      </c>
      <c r="P84" s="3" t="str">
        <f>IFERROR(MID(VLOOKUP($B84,Seqs!$A:$B,2,0),Q84,1),"")</f>
        <v>Y</v>
      </c>
      <c r="Q84" s="3">
        <v>88</v>
      </c>
      <c r="R84" s="3" t="str">
        <f>IFERROR(MID(VLOOKUP($B84,Seqs!$A:$B,2,0),S84,1),"")</f>
        <v>L</v>
      </c>
      <c r="S84" s="3">
        <v>91</v>
      </c>
      <c r="T84" s="3" t="str">
        <f>IFERROR(MID(VLOOKUP($B84,Seqs!$A:$B,2,0),U84,1),"")</f>
        <v>G</v>
      </c>
      <c r="U84" s="3">
        <v>92</v>
      </c>
      <c r="V84" s="3" t="str">
        <f>IFERROR(MID(VLOOKUP($B84,Seqs!$A:$B,2,0),W84,1),"")</f>
        <v>K</v>
      </c>
      <c r="W84" s="3">
        <v>127</v>
      </c>
      <c r="X84" s="3" t="str">
        <f>IFERROR(MID(VLOOKUP($B84,Seqs!$A:$B,2,0),Y84,1),"")</f>
        <v>P</v>
      </c>
      <c r="Y84" s="3">
        <v>128</v>
      </c>
      <c r="Z84" s="3" t="str">
        <f>IFERROR(MID(VLOOKUP($B84,Seqs!$A:$B,2,0),AA84,1),"")</f>
        <v>R</v>
      </c>
      <c r="AA84" s="3">
        <v>135</v>
      </c>
      <c r="AB84" s="3" t="str">
        <f>IFERROR(MID(VLOOKUP($B84,Seqs!$A:$B,2,0),AC84,1),"")</f>
        <v>T</v>
      </c>
      <c r="AC84" s="3">
        <v>136</v>
      </c>
      <c r="AD84" s="3" t="str">
        <f>IFERROR(MID(VLOOKUP($B84,Seqs!$A:$B,2,0),AE84,1),"")</f>
        <v>G</v>
      </c>
      <c r="AE84" s="3">
        <v>167</v>
      </c>
      <c r="AF84" s="3" t="str">
        <f>IFERROR(MID(VLOOKUP($B84,Seqs!$A:$B,2,0),AG84,1),"")</f>
        <v>C</v>
      </c>
      <c r="AG84" s="3">
        <v>176</v>
      </c>
      <c r="AH84" s="3" t="str">
        <f>IFERROR(MID(VLOOKUP($B84,Seqs!$A:$B,2,0),AI84,1),"")</f>
        <v>I</v>
      </c>
      <c r="AI84" s="3">
        <v>178</v>
      </c>
      <c r="AJ84" s="3" t="str">
        <f>IFERROR(MID(VLOOKUP($B84,Seqs!$A:$B,2,0),AK84,1),"")</f>
        <v>N</v>
      </c>
      <c r="AK84" s="3">
        <v>183</v>
      </c>
      <c r="AL84" s="3" t="str">
        <f>IFERROR(MID(VLOOKUP($B84,Seqs!$A:$B,2,0),AM84,1),"")</f>
        <v>K</v>
      </c>
      <c r="AM84" s="3">
        <v>214</v>
      </c>
      <c r="AN84" s="3" t="str">
        <f>IFERROR(MID(VLOOKUP($B84,Seqs!$A:$B,2,0),AO84,1),"")</f>
        <v>E</v>
      </c>
      <c r="AO84" s="3">
        <v>382</v>
      </c>
      <c r="AP84" s="3" t="str">
        <f>IFERROR(MID(VLOOKUP($B84,Seqs!$A:$B,2,0),AQ84,1),"")</f>
        <v>C</v>
      </c>
      <c r="AQ84" s="3">
        <v>413</v>
      </c>
      <c r="AR84" s="3" t="str">
        <f>IFERROR(MID(VLOOKUP($B84,Seqs!$A:$B,2,0),AS84,1),"")</f>
        <v>P</v>
      </c>
      <c r="AS84" s="3">
        <v>418</v>
      </c>
      <c r="AT84" s="3" t="str">
        <f>IFERROR(MID(VLOOKUP($B84,Seqs!$A:$B,2,0),AU84,1),"")</f>
        <v>C</v>
      </c>
      <c r="AU84" s="105">
        <v>443</v>
      </c>
      <c r="AV84" s="3" t="str">
        <f>IFERROR(MID(VLOOKUP($B84,Seqs!$A:$B,2,0),AW84,1),"")</f>
        <v>N</v>
      </c>
      <c r="AW84" s="3">
        <v>444</v>
      </c>
      <c r="AX84" s="3" t="str">
        <f>IFERROR(MID(VLOOKUP($B84,Seqs!$A:$B,2,0),AY84,1),"")</f>
        <v>M</v>
      </c>
      <c r="AY84" s="3">
        <v>456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ref="BB84" si="590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591">_xlfn.AGGREGATE(9,6,CH84:CS84)-_xlfn.AGGREGATE(9,6,BV84:CG84)+12</f>
        <v>256</v>
      </c>
      <c r="BD84" s="4" t="s">
        <v>23</v>
      </c>
      <c r="BE84" s="3" t="s">
        <v>1374</v>
      </c>
      <c r="BF84" s="118">
        <v>2.6</v>
      </c>
      <c r="BG84" s="49" t="s">
        <v>1</v>
      </c>
      <c r="BH84" s="49" t="s">
        <v>1</v>
      </c>
      <c r="BI84" s="1"/>
      <c r="BJ84" s="70" t="s">
        <v>1287</v>
      </c>
      <c r="BK84" s="57" t="s">
        <v>1287</v>
      </c>
      <c r="BL84" s="57" t="s">
        <v>1287</v>
      </c>
      <c r="BM84" s="57" t="s">
        <v>1287</v>
      </c>
      <c r="BN84" s="57" t="s">
        <v>1287</v>
      </c>
      <c r="BO84" s="57" t="s">
        <v>1287</v>
      </c>
      <c r="BP84" s="57" t="s">
        <v>1287</v>
      </c>
      <c r="BQ84" s="57" t="s">
        <v>1287</v>
      </c>
      <c r="BR84" s="57" t="s">
        <v>1287</v>
      </c>
      <c r="BS84" s="57" t="s">
        <v>1287</v>
      </c>
      <c r="BT84" s="57" t="s">
        <v>1287</v>
      </c>
      <c r="BU84" s="57" t="s">
        <v>1287</v>
      </c>
      <c r="BV84" s="70">
        <f t="shared" ref="BV84" si="592">E84</f>
        <v>18</v>
      </c>
      <c r="BW84" s="71">
        <f t="shared" ref="BW84" si="593">I84</f>
        <v>52</v>
      </c>
      <c r="BX84" s="72">
        <f t="shared" ref="BX84" si="594">M84</f>
        <v>56</v>
      </c>
      <c r="BY84" s="71">
        <f t="shared" ref="BY84" si="595">Q84</f>
        <v>88</v>
      </c>
      <c r="BZ84" s="72">
        <f t="shared" ref="BZ84" si="596">U84</f>
        <v>92</v>
      </c>
      <c r="CA84" s="71">
        <f t="shared" ref="CA84" si="597">Y84</f>
        <v>128</v>
      </c>
      <c r="CB84" s="72">
        <f t="shared" ref="CB84" si="598">AC84</f>
        <v>136</v>
      </c>
      <c r="CC84" s="71">
        <f t="shared" ref="CC84" si="599">AG84</f>
        <v>176</v>
      </c>
      <c r="CD84" s="72">
        <f t="shared" ref="CD84" si="600">AK84</f>
        <v>183</v>
      </c>
      <c r="CE84" s="71">
        <f t="shared" ref="CE84" si="601">AO84</f>
        <v>382</v>
      </c>
      <c r="CF84" s="72">
        <f t="shared" ref="CF84" si="602">AS84</f>
        <v>418</v>
      </c>
      <c r="CG84" s="71">
        <f t="shared" ref="CG84" si="603">AW84</f>
        <v>444</v>
      </c>
      <c r="CH84" s="70">
        <f t="shared" ref="CH84" si="604">G84</f>
        <v>51</v>
      </c>
      <c r="CI84" s="71">
        <f t="shared" ref="CI84" si="605">K84</f>
        <v>55</v>
      </c>
      <c r="CJ84" s="72">
        <f t="shared" ref="CJ84" si="606">O84</f>
        <v>87</v>
      </c>
      <c r="CK84" s="72">
        <f t="shared" ref="CK84" si="607">S84</f>
        <v>91</v>
      </c>
      <c r="CL84" s="72">
        <f t="shared" ref="CL84" si="608">W84</f>
        <v>127</v>
      </c>
      <c r="CM84" s="72">
        <f t="shared" ref="CM84" si="609">AA84</f>
        <v>135</v>
      </c>
      <c r="CN84" s="72">
        <f t="shared" ref="CN84" si="610">AE84</f>
        <v>167</v>
      </c>
      <c r="CO84" s="72">
        <f t="shared" ref="CO84" si="611">AI84</f>
        <v>178</v>
      </c>
      <c r="CP84" s="72">
        <f t="shared" ref="CP84" si="612">AM84</f>
        <v>214</v>
      </c>
      <c r="CQ84" s="72">
        <f t="shared" ref="CQ84" si="613">AQ84</f>
        <v>413</v>
      </c>
      <c r="CR84" s="72">
        <f t="shared" ref="CR84" si="614">AU84</f>
        <v>443</v>
      </c>
      <c r="CS84" s="72">
        <f t="shared" ref="CS84" si="615">AY84</f>
        <v>456</v>
      </c>
      <c r="CT84" s="23">
        <f t="shared" ref="CT84" si="616">M84-K84</f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ref="A85" si="617">CONCATENATE(B85,"_",C85)</f>
        <v>acm2_human_5YC8</v>
      </c>
      <c r="B85" s="3" t="s">
        <v>147</v>
      </c>
      <c r="C85" s="3" t="s">
        <v>1534</v>
      </c>
      <c r="D85" s="3" t="str">
        <f>IFERROR(MID(VLOOKUP($B85,Seqs!$A:$B,2,0),E85,1),"")</f>
        <v>Y</v>
      </c>
      <c r="E85" s="3">
        <v>18</v>
      </c>
      <c r="F85" s="3" t="str">
        <f>IFERROR(MID(VLOOKUP($B85,Seqs!$A:$B,2,0),G85,1),"")</f>
        <v>N</v>
      </c>
      <c r="G85" s="3">
        <v>51</v>
      </c>
      <c r="H85" s="3" t="str">
        <f>IFERROR(MID(VLOOKUP($B85,Seqs!$A:$B,2,0),I85,1),"")</f>
        <v>R</v>
      </c>
      <c r="I85" s="23">
        <v>52</v>
      </c>
      <c r="J85" s="3" t="str">
        <f>IFERROR(MID(VLOOKUP($B85,Seqs!$A:$B,2,0),K85,1),"")</f>
        <v>Q</v>
      </c>
      <c r="K85" s="23">
        <v>55</v>
      </c>
      <c r="L85" s="3" t="str">
        <f>IFERROR(MID(VLOOKUP($B85,Seqs!$A:$B,2,0),M85,1),"")</f>
        <v>T</v>
      </c>
      <c r="M85" s="3">
        <v>56</v>
      </c>
      <c r="N85" s="3" t="str">
        <f>IFERROR(MID(VLOOKUP($B85,Seqs!$A:$B,2,0),O85,1),"")</f>
        <v>G</v>
      </c>
      <c r="O85" s="3">
        <v>87</v>
      </c>
      <c r="P85" s="3" t="str">
        <f>IFERROR(MID(VLOOKUP($B85,Seqs!$A:$B,2,0),Q85,1),"")</f>
        <v>Y</v>
      </c>
      <c r="Q85" s="3">
        <v>88</v>
      </c>
      <c r="R85" s="3" t="str">
        <f>IFERROR(MID(VLOOKUP($B85,Seqs!$A:$B,2,0),S85,1),"")</f>
        <v>L</v>
      </c>
      <c r="S85" s="3">
        <v>91</v>
      </c>
      <c r="T85" s="3" t="str">
        <f>IFERROR(MID(VLOOKUP($B85,Seqs!$A:$B,2,0),U85,1),"")</f>
        <v>G</v>
      </c>
      <c r="U85" s="3">
        <v>92</v>
      </c>
      <c r="V85" s="3" t="str">
        <f>IFERROR(MID(VLOOKUP($B85,Seqs!$A:$B,2,0),W85,1),"")</f>
        <v>K</v>
      </c>
      <c r="W85" s="3">
        <v>127</v>
      </c>
      <c r="X85" s="3" t="str">
        <f>IFERROR(MID(VLOOKUP($B85,Seqs!$A:$B,2,0),Y85,1),"")</f>
        <v>P</v>
      </c>
      <c r="Y85" s="3">
        <v>128</v>
      </c>
      <c r="Z85" s="3" t="str">
        <f>IFERROR(MID(VLOOKUP($B85,Seqs!$A:$B,2,0),AA85,1),"")</f>
        <v>R</v>
      </c>
      <c r="AA85" s="3">
        <v>135</v>
      </c>
      <c r="AB85" s="3" t="str">
        <f>IFERROR(MID(VLOOKUP($B85,Seqs!$A:$B,2,0),AC85,1),"")</f>
        <v>T</v>
      </c>
      <c r="AC85" s="3">
        <v>136</v>
      </c>
      <c r="AD85" s="3" t="str">
        <f>IFERROR(MID(VLOOKUP($B85,Seqs!$A:$B,2,0),AE85,1),"")</f>
        <v>G</v>
      </c>
      <c r="AE85" s="3">
        <v>167</v>
      </c>
      <c r="AF85" s="3" t="str">
        <f>IFERROR(MID(VLOOKUP($B85,Seqs!$A:$B,2,0),AG85,1),"")</f>
        <v>C</v>
      </c>
      <c r="AG85" s="3">
        <v>176</v>
      </c>
      <c r="AH85" s="3" t="str">
        <f>IFERROR(MID(VLOOKUP($B85,Seqs!$A:$B,2,0),AI85,1),"")</f>
        <v>I</v>
      </c>
      <c r="AI85" s="3">
        <v>178</v>
      </c>
      <c r="AJ85" s="3" t="str">
        <f>IFERROR(MID(VLOOKUP($B85,Seqs!$A:$B,2,0),AK85,1),"")</f>
        <v>N</v>
      </c>
      <c r="AK85" s="3">
        <v>183</v>
      </c>
      <c r="AL85" s="3" t="str">
        <f>IFERROR(MID(VLOOKUP($B85,Seqs!$A:$B,2,0),AM85,1),"")</f>
        <v>K</v>
      </c>
      <c r="AM85" s="3">
        <v>214</v>
      </c>
      <c r="AN85" s="3" t="str">
        <f>IFERROR(MID(VLOOKUP($B85,Seqs!$A:$B,2,0),AO85,1),"")</f>
        <v>R</v>
      </c>
      <c r="AO85" s="3">
        <v>381</v>
      </c>
      <c r="AP85" s="3" t="str">
        <f>IFERROR(MID(VLOOKUP($B85,Seqs!$A:$B,2,0),AQ85,1),"")</f>
        <v>C</v>
      </c>
      <c r="AQ85" s="3">
        <v>413</v>
      </c>
      <c r="AR85" s="3" t="str">
        <f>IFERROR(MID(VLOOKUP($B85,Seqs!$A:$B,2,0),AS85,1),"")</f>
        <v>P</v>
      </c>
      <c r="AS85" s="3">
        <v>418</v>
      </c>
      <c r="AT85" s="3" t="str">
        <f>IFERROR(MID(VLOOKUP($B85,Seqs!$A:$B,2,0),AU85,1),"")</f>
        <v>C</v>
      </c>
      <c r="AU85" s="105">
        <v>443</v>
      </c>
      <c r="AV85" s="3" t="str">
        <f>IFERROR(MID(VLOOKUP($B85,Seqs!$A:$B,2,0),AW85,1),"")</f>
        <v>N</v>
      </c>
      <c r="AW85" s="3">
        <v>444</v>
      </c>
      <c r="AX85" s="3" t="str">
        <f>IFERROR(MID(VLOOKUP($B85,Seqs!$A:$B,2,0),AY85,1),"")</f>
        <v>M</v>
      </c>
      <c r="AY85" s="3">
        <v>456</v>
      </c>
      <c r="AZ85" s="77" t="str">
        <f>VLOOKUP(B85,Classification!A:D,2,0)</f>
        <v>A</v>
      </c>
      <c r="BA85" s="94" t="str">
        <f>VLOOKUP(B85,Classification!A:D,4,0)</f>
        <v>Acetylcholine(muscarinic)</v>
      </c>
      <c r="BB85" s="27" t="b">
        <f t="shared" ref="BB85" si="618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23">
        <f t="shared" ref="BC85" si="619">_xlfn.AGGREGATE(9,6,CH85:CS85)-_xlfn.AGGREGATE(9,6,BV85:CG85)+12</f>
        <v>257</v>
      </c>
      <c r="BD85" s="4" t="s">
        <v>23</v>
      </c>
      <c r="BE85" s="3" t="s">
        <v>1374</v>
      </c>
      <c r="BF85" s="118">
        <v>2.5</v>
      </c>
      <c r="BG85" s="49" t="s">
        <v>1</v>
      </c>
      <c r="BH85" s="49" t="s">
        <v>1</v>
      </c>
      <c r="BI85" s="1"/>
      <c r="BJ85" s="70" t="s">
        <v>1287</v>
      </c>
      <c r="BK85" s="57" t="s">
        <v>1287</v>
      </c>
      <c r="BL85" s="57" t="s">
        <v>1287</v>
      </c>
      <c r="BM85" s="57" t="s">
        <v>1287</v>
      </c>
      <c r="BN85" s="57" t="s">
        <v>1287</v>
      </c>
      <c r="BO85" s="57" t="s">
        <v>1287</v>
      </c>
      <c r="BP85" s="57" t="s">
        <v>1287</v>
      </c>
      <c r="BQ85" s="57" t="s">
        <v>1287</v>
      </c>
      <c r="BR85" s="57" t="s">
        <v>1287</v>
      </c>
      <c r="BS85" s="57" t="s">
        <v>1287</v>
      </c>
      <c r="BT85" s="57" t="s">
        <v>1287</v>
      </c>
      <c r="BU85" s="57" t="s">
        <v>1287</v>
      </c>
      <c r="BV85" s="70">
        <f t="shared" ref="BV85" si="620">E85</f>
        <v>18</v>
      </c>
      <c r="BW85" s="71">
        <f t="shared" ref="BW85" si="621">I85</f>
        <v>52</v>
      </c>
      <c r="BX85" s="72">
        <f t="shared" ref="BX85" si="622">M85</f>
        <v>56</v>
      </c>
      <c r="BY85" s="71">
        <f t="shared" ref="BY85" si="623">Q85</f>
        <v>88</v>
      </c>
      <c r="BZ85" s="72">
        <f t="shared" ref="BZ85" si="624">U85</f>
        <v>92</v>
      </c>
      <c r="CA85" s="71">
        <f t="shared" ref="CA85" si="625">Y85</f>
        <v>128</v>
      </c>
      <c r="CB85" s="72">
        <f t="shared" ref="CB85" si="626">AC85</f>
        <v>136</v>
      </c>
      <c r="CC85" s="71">
        <f t="shared" ref="CC85" si="627">AG85</f>
        <v>176</v>
      </c>
      <c r="CD85" s="72">
        <f t="shared" ref="CD85" si="628">AK85</f>
        <v>183</v>
      </c>
      <c r="CE85" s="71">
        <f t="shared" ref="CE85" si="629">AO85</f>
        <v>381</v>
      </c>
      <c r="CF85" s="72">
        <f t="shared" ref="CF85" si="630">AS85</f>
        <v>418</v>
      </c>
      <c r="CG85" s="71">
        <f t="shared" ref="CG85" si="631">AW85</f>
        <v>444</v>
      </c>
      <c r="CH85" s="70">
        <f t="shared" ref="CH85" si="632">G85</f>
        <v>51</v>
      </c>
      <c r="CI85" s="71">
        <f t="shared" ref="CI85" si="633">K85</f>
        <v>55</v>
      </c>
      <c r="CJ85" s="72">
        <f t="shared" ref="CJ85" si="634">O85</f>
        <v>87</v>
      </c>
      <c r="CK85" s="72">
        <f t="shared" ref="CK85" si="635">S85</f>
        <v>91</v>
      </c>
      <c r="CL85" s="72">
        <f t="shared" ref="CL85" si="636">W85</f>
        <v>127</v>
      </c>
      <c r="CM85" s="72">
        <f t="shared" ref="CM85" si="637">AA85</f>
        <v>135</v>
      </c>
      <c r="CN85" s="72">
        <f t="shared" ref="CN85" si="638">AE85</f>
        <v>167</v>
      </c>
      <c r="CO85" s="72">
        <f t="shared" ref="CO85" si="639">AI85</f>
        <v>178</v>
      </c>
      <c r="CP85" s="72">
        <f t="shared" ref="CP85" si="640">AM85</f>
        <v>214</v>
      </c>
      <c r="CQ85" s="72">
        <f t="shared" ref="CQ85" si="641">AQ85</f>
        <v>413</v>
      </c>
      <c r="CR85" s="72">
        <f t="shared" ref="CR85" si="642">AU85</f>
        <v>443</v>
      </c>
      <c r="CS85" s="72">
        <f t="shared" ref="CS85" si="643">AY85</f>
        <v>456</v>
      </c>
      <c r="CT85" s="23">
        <f t="shared" ref="CT85" si="644">M85-K85</f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s="12" customFormat="1" x14ac:dyDescent="0.2">
      <c r="A86" s="9" t="str">
        <f t="shared" ref="A86" si="645">CONCATENATE(B86,"_",C86)</f>
        <v>acm2_human_6OIK</v>
      </c>
      <c r="B86" s="9" t="s">
        <v>147</v>
      </c>
      <c r="C86" s="9" t="s">
        <v>1578</v>
      </c>
      <c r="D86" s="9" t="str">
        <f>IFERROR(MID(VLOOKUP($B86,Seqs!$A:$B,2,0),E86,1),"")</f>
        <v>T</v>
      </c>
      <c r="E86" s="9">
        <v>20</v>
      </c>
      <c r="F86" s="9" t="str">
        <f>IFERROR(MID(VLOOKUP($B86,Seqs!$A:$B,2,0),G86,1),"")</f>
        <v>V</v>
      </c>
      <c r="G86" s="9">
        <v>50</v>
      </c>
      <c r="H86" s="9" t="str">
        <f>IFERROR(MID(VLOOKUP($B86,Seqs!$A:$B,2,0),I86,1),"")</f>
        <v>R</v>
      </c>
      <c r="I86" s="109">
        <v>52</v>
      </c>
      <c r="J86" s="9" t="str">
        <f>IFERROR(MID(VLOOKUP($B86,Seqs!$A:$B,2,0),K86,1),"")</f>
        <v>Q</v>
      </c>
      <c r="K86" s="109">
        <v>55</v>
      </c>
      <c r="L86" s="9" t="str">
        <f>IFERROR(MID(VLOOKUP($B86,Seqs!$A:$B,2,0),M86,1),"")</f>
        <v>T</v>
      </c>
      <c r="M86" s="9">
        <v>56</v>
      </c>
      <c r="N86" s="9" t="str">
        <f>IFERROR(MID(VLOOKUP($B86,Seqs!$A:$B,2,0),O86,1),"")</f>
        <v>G</v>
      </c>
      <c r="O86" s="9">
        <v>87</v>
      </c>
      <c r="P86" s="9" t="str">
        <f>IFERROR(MID(VLOOKUP($B86,Seqs!$A:$B,2,0),Q86,1),"")</f>
        <v>Y</v>
      </c>
      <c r="Q86" s="9">
        <v>88</v>
      </c>
      <c r="R86" s="9" t="str">
        <f>IFERROR(MID(VLOOKUP($B86,Seqs!$A:$B,2,0),S86,1),"")</f>
        <v>L</v>
      </c>
      <c r="S86" s="9">
        <v>91</v>
      </c>
      <c r="T86" s="9" t="str">
        <f>IFERROR(MID(VLOOKUP($B86,Seqs!$A:$B,2,0),U86,1),"")</f>
        <v>G</v>
      </c>
      <c r="U86" s="9">
        <v>92</v>
      </c>
      <c r="V86" s="9" t="str">
        <f>IFERROR(MID(VLOOKUP($B86,Seqs!$A:$B,2,0),W86,1),"")</f>
        <v>K</v>
      </c>
      <c r="W86" s="9">
        <v>127</v>
      </c>
      <c r="X86" s="9" t="str">
        <f>IFERROR(MID(VLOOKUP($B86,Seqs!$A:$B,2,0),Y86,1),"")</f>
        <v>P</v>
      </c>
      <c r="Y86" s="9">
        <v>128</v>
      </c>
      <c r="Z86" s="9" t="str">
        <f>IFERROR(MID(VLOOKUP($B86,Seqs!$A:$B,2,0),AA86,1),"")</f>
        <v>R</v>
      </c>
      <c r="AA86" s="9">
        <v>135</v>
      </c>
      <c r="AB86" s="9" t="str">
        <f>IFERROR(MID(VLOOKUP($B86,Seqs!$A:$B,2,0),AC86,1),"")</f>
        <v>T</v>
      </c>
      <c r="AC86" s="9">
        <v>136</v>
      </c>
      <c r="AD86" s="9" t="str">
        <f>IFERROR(MID(VLOOKUP($B86,Seqs!$A:$B,2,0),AE86,1),"")</f>
        <v>G</v>
      </c>
      <c r="AE86" s="9">
        <v>167</v>
      </c>
      <c r="AF86" s="9" t="str">
        <f>IFERROR(MID(VLOOKUP($B86,Seqs!$A:$B,2,0),AG86,1),"")</f>
        <v>C</v>
      </c>
      <c r="AG86" s="9">
        <v>176</v>
      </c>
      <c r="AH86" s="9" t="str">
        <f>IFERROR(MID(VLOOKUP($B86,Seqs!$A:$B,2,0),AI86,1),"")</f>
        <v>I</v>
      </c>
      <c r="AI86" s="9">
        <v>178</v>
      </c>
      <c r="AJ86" s="9" t="str">
        <f>IFERROR(MID(VLOOKUP($B86,Seqs!$A:$B,2,0),AK86,1),"")</f>
        <v>A</v>
      </c>
      <c r="AK86" s="9">
        <v>184</v>
      </c>
      <c r="AL86" s="9" t="str">
        <f>IFERROR(MID(VLOOKUP($B86,Seqs!$A:$B,2,0),AM86,1),"")</f>
        <v>S</v>
      </c>
      <c r="AM86" s="9">
        <v>213</v>
      </c>
      <c r="AN86" s="9" t="str">
        <f>IFERROR(MID(VLOOKUP($B86,Seqs!$A:$B,2,0),AO86,1),"")</f>
        <v>E</v>
      </c>
      <c r="AO86" s="9">
        <v>382</v>
      </c>
      <c r="AP86" s="9" t="str">
        <f>IFERROR(MID(VLOOKUP($B86,Seqs!$A:$B,2,0),AQ86,1),"")</f>
        <v>C</v>
      </c>
      <c r="AQ86" s="9">
        <v>413</v>
      </c>
      <c r="AR86" s="9" t="str">
        <f>IFERROR(MID(VLOOKUP($B86,Seqs!$A:$B,2,0),AS86,1),"")</f>
        <v>N</v>
      </c>
      <c r="AS86" s="9">
        <v>419</v>
      </c>
      <c r="AT86" s="9" t="str">
        <f>IFERROR(MID(VLOOKUP($B86,Seqs!$A:$B,2,0),AU86,1),"")</f>
        <v>C</v>
      </c>
      <c r="AU86" s="9">
        <v>443</v>
      </c>
      <c r="AV86" s="9" t="str">
        <f>IFERROR(MID(VLOOKUP($B86,Seqs!$A:$B,2,0),AW86,1),"")</f>
        <v>N</v>
      </c>
      <c r="AW86" s="9">
        <v>444</v>
      </c>
      <c r="AX86" s="9" t="str">
        <f>IFERROR(MID(VLOOKUP($B86,Seqs!$A:$B,2,0),AY86,1),"")</f>
        <v>L</v>
      </c>
      <c r="AY86" s="9">
        <v>454</v>
      </c>
      <c r="AZ86" s="110" t="str">
        <f>VLOOKUP(B86,Classification!A:D,2,0)</f>
        <v>A</v>
      </c>
      <c r="BA86" s="98" t="str">
        <f>VLOOKUP(B86,Classification!A:D,4,0)</f>
        <v>Acetylcholine(muscarinic)</v>
      </c>
      <c r="BB86" s="36" t="b">
        <f t="shared" ref="BB86" si="646">AND(E86&lt;G86,OR(G86&lt;I86,I86="-"),OR(I86&lt;K86,I86="-"),OR(K86&lt;M86,K86="-"),M86&lt;O86,OR(O86&lt;Q86,Q86="-"),OR(Q86&lt;S86,Q86="-"),OR(S86&lt;U86,S86="-"),U86&lt;W86,OR(W86&lt;Y86,Y86="-"),OR(Y86&lt;AA86,Y86="-"),OR(AA86&lt;AC86,AA86="-"),AC86&lt;AE86,OR(AE86&lt;AG86,AG86="-"),OR(AG86&lt;AI86,AG86="-"),OR(AI86&lt;AK86,AI86="-"),AK86&lt;AM86,AM86&lt;AO86,AO86&lt;AQ86,AQ86&lt;AS86,AS86&lt;AU86,OR(AU86&lt;AW86,AW86="-"),OR(AW86&lt;AY86,AW86="-"))</f>
        <v>1</v>
      </c>
      <c r="BC86" s="109">
        <f t="shared" ref="BC86" si="647">_xlfn.AGGREGATE(9,6,CH86:CS86)-_xlfn.AGGREGATE(9,6,BV86:CG86)+12</f>
        <v>248</v>
      </c>
      <c r="BD86" s="11" t="s">
        <v>23</v>
      </c>
      <c r="BE86" s="9" t="s">
        <v>1291</v>
      </c>
      <c r="BF86" s="119">
        <v>3.6</v>
      </c>
      <c r="BG86" s="51" t="s">
        <v>1422</v>
      </c>
      <c r="BH86" s="51" t="s">
        <v>1422</v>
      </c>
      <c r="BJ86" s="111" t="s">
        <v>1287</v>
      </c>
      <c r="BK86" s="112" t="s">
        <v>1287</v>
      </c>
      <c r="BL86" s="112" t="s">
        <v>1287</v>
      </c>
      <c r="BM86" s="112" t="s">
        <v>1287</v>
      </c>
      <c r="BN86" s="112" t="s">
        <v>1287</v>
      </c>
      <c r="BO86" s="112" t="s">
        <v>1287</v>
      </c>
      <c r="BP86" s="112" t="s">
        <v>1287</v>
      </c>
      <c r="BQ86" s="112" t="s">
        <v>1287</v>
      </c>
      <c r="BR86" s="112" t="s">
        <v>1287</v>
      </c>
      <c r="BS86" s="112" t="s">
        <v>1287</v>
      </c>
      <c r="BT86" s="112" t="s">
        <v>1287</v>
      </c>
      <c r="BU86" s="112" t="s">
        <v>1287</v>
      </c>
      <c r="BV86" s="111">
        <f t="shared" ref="BV86" si="648">E86</f>
        <v>20</v>
      </c>
      <c r="BW86" s="113">
        <f t="shared" ref="BW86" si="649">I86</f>
        <v>52</v>
      </c>
      <c r="BX86" s="114">
        <f t="shared" ref="BX86" si="650">M86</f>
        <v>56</v>
      </c>
      <c r="BY86" s="113">
        <f t="shared" ref="BY86" si="651">Q86</f>
        <v>88</v>
      </c>
      <c r="BZ86" s="114">
        <f t="shared" ref="BZ86" si="652">U86</f>
        <v>92</v>
      </c>
      <c r="CA86" s="113">
        <f t="shared" ref="CA86" si="653">Y86</f>
        <v>128</v>
      </c>
      <c r="CB86" s="114">
        <f t="shared" ref="CB86" si="654">AC86</f>
        <v>136</v>
      </c>
      <c r="CC86" s="113">
        <f t="shared" ref="CC86" si="655">AG86</f>
        <v>176</v>
      </c>
      <c r="CD86" s="114">
        <f t="shared" ref="CD86" si="656">AK86</f>
        <v>184</v>
      </c>
      <c r="CE86" s="113">
        <f t="shared" ref="CE86" si="657">AO86</f>
        <v>382</v>
      </c>
      <c r="CF86" s="114">
        <f t="shared" ref="CF86" si="658">AS86</f>
        <v>419</v>
      </c>
      <c r="CG86" s="113">
        <f t="shared" ref="CG86" si="659">AW86</f>
        <v>444</v>
      </c>
      <c r="CH86" s="111">
        <f t="shared" ref="CH86" si="660">G86</f>
        <v>50</v>
      </c>
      <c r="CI86" s="113">
        <f t="shared" ref="CI86" si="661">K86</f>
        <v>55</v>
      </c>
      <c r="CJ86" s="114">
        <f t="shared" ref="CJ86" si="662">O86</f>
        <v>87</v>
      </c>
      <c r="CK86" s="114">
        <f t="shared" ref="CK86" si="663">S86</f>
        <v>91</v>
      </c>
      <c r="CL86" s="114">
        <f t="shared" ref="CL86" si="664">W86</f>
        <v>127</v>
      </c>
      <c r="CM86" s="114">
        <f t="shared" ref="CM86" si="665">AA86</f>
        <v>135</v>
      </c>
      <c r="CN86" s="114">
        <f t="shared" ref="CN86" si="666">AE86</f>
        <v>167</v>
      </c>
      <c r="CO86" s="114">
        <f t="shared" ref="CO86" si="667">AI86</f>
        <v>178</v>
      </c>
      <c r="CP86" s="114">
        <f t="shared" ref="CP86" si="668">AM86</f>
        <v>213</v>
      </c>
      <c r="CQ86" s="114">
        <f t="shared" ref="CQ86" si="669">AQ86</f>
        <v>413</v>
      </c>
      <c r="CR86" s="114">
        <f t="shared" ref="CR86" si="670">AU86</f>
        <v>443</v>
      </c>
      <c r="CS86" s="114">
        <f t="shared" ref="CS86" si="671">AY86</f>
        <v>454</v>
      </c>
      <c r="CT86" s="109">
        <f t="shared" ref="CT86" si="672">M86-K86</f>
        <v>1</v>
      </c>
    </row>
    <row r="87" spans="1:1029" x14ac:dyDescent="0.2">
      <c r="A87" s="3" t="str">
        <f t="shared" si="503"/>
        <v>acm3_rat__wt</v>
      </c>
      <c r="B87" s="3" t="s">
        <v>909</v>
      </c>
      <c r="C87" s="3" t="s">
        <v>100</v>
      </c>
      <c r="D87" s="3" t="str">
        <f>IFERROR(MID(VLOOKUP($B87,Seqs!$A:$B,2,0),E87,1),"")</f>
        <v>T</v>
      </c>
      <c r="E87" s="105">
        <v>63</v>
      </c>
      <c r="F87" s="3" t="str">
        <f>IFERROR(MID(VLOOKUP($B87,Seqs!$A:$B,2,0),G87,1),"")</f>
        <v>N</v>
      </c>
      <c r="G87" s="3">
        <v>95</v>
      </c>
      <c r="H87" s="3" t="str">
        <f>IFERROR(MID(VLOOKUP($B87,Seqs!$A:$B,2,0),I87,1),"")</f>
        <v>K</v>
      </c>
      <c r="I87" s="23">
        <v>96</v>
      </c>
      <c r="J87" s="3" t="str">
        <f>IFERROR(MID(VLOOKUP($B87,Seqs!$A:$B,2,0),K87,1),"")</f>
        <v>K</v>
      </c>
      <c r="K87" s="23">
        <v>99</v>
      </c>
      <c r="L87" s="3" t="str">
        <f>IFERROR(MID(VLOOKUP($B87,Seqs!$A:$B,2,0),M87,1),"")</f>
        <v>T</v>
      </c>
      <c r="M87" s="3">
        <v>100</v>
      </c>
      <c r="N87" s="3" t="str">
        <f>IFERROR(MID(VLOOKUP($B87,Seqs!$A:$B,2,0),O87,1),"")</f>
        <v>M</v>
      </c>
      <c r="O87" s="3">
        <v>130</v>
      </c>
      <c r="P87" s="3" t="str">
        <f>IFERROR(MID(VLOOKUP($B87,Seqs!$A:$B,2,0),Q87,1),"")</f>
        <v>R</v>
      </c>
      <c r="Q87" s="3">
        <v>132</v>
      </c>
      <c r="R87" s="3" t="str">
        <f>IFERROR(MID(VLOOKUP($B87,Seqs!$A:$B,2,0),S87,1),"")</f>
        <v>L</v>
      </c>
      <c r="S87" s="3">
        <v>135</v>
      </c>
      <c r="T87" s="3" t="str">
        <f>IFERROR(MID(VLOOKUP($B87,Seqs!$A:$B,2,0),U87,1),"")</f>
        <v>G</v>
      </c>
      <c r="U87" s="3">
        <v>136</v>
      </c>
      <c r="V87" s="3" t="str">
        <f>IFERROR(MID(VLOOKUP($B87,Seqs!$A:$B,2,0),W87,1),"")</f>
        <v>R</v>
      </c>
      <c r="W87" s="3">
        <v>171</v>
      </c>
      <c r="X87" s="3" t="str">
        <f>IFERROR(MID(VLOOKUP($B87,Seqs!$A:$B,2,0),Y87,1),"")</f>
        <v>P</v>
      </c>
      <c r="Y87" s="3">
        <v>172</v>
      </c>
      <c r="Z87" s="3" t="str">
        <f>IFERROR(MID(VLOOKUP($B87,Seqs!$A:$B,2,0),AA87,1),"")</f>
        <v>R</v>
      </c>
      <c r="AA87" s="3">
        <v>179</v>
      </c>
      <c r="AB87" s="3" t="str">
        <f>IFERROR(MID(VLOOKUP($B87,Seqs!$A:$B,2,0),AC87,1),"")</f>
        <v>T</v>
      </c>
      <c r="AC87" s="3">
        <v>180</v>
      </c>
      <c r="AD87" s="3" t="str">
        <f>IFERROR(MID(VLOOKUP($B87,Seqs!$A:$B,2,0),AE87,1),"")</f>
        <v>G</v>
      </c>
      <c r="AE87" s="3">
        <v>211</v>
      </c>
      <c r="AF87" s="3" t="str">
        <f>IFERROR(MID(VLOOKUP($B87,Seqs!$A:$B,2,0),AG87,1),"")</f>
        <v>C</v>
      </c>
      <c r="AG87" s="3">
        <v>220</v>
      </c>
      <c r="AH87" s="3" t="str">
        <f>IFERROR(MID(VLOOKUP($B87,Seqs!$A:$B,2,0),AI87,1),"")</f>
        <v>I</v>
      </c>
      <c r="AI87" s="3">
        <v>222</v>
      </c>
      <c r="AJ87" s="3" t="str">
        <f>IFERROR(MID(VLOOKUP($B87,Seqs!$A:$B,2,0),AK87,1),"")</f>
        <v>E</v>
      </c>
      <c r="AK87" s="3">
        <v>227</v>
      </c>
      <c r="AL87" s="3" t="str">
        <f>IFERROR(MID(VLOOKUP($B87,Seqs!$A:$B,2,0),AM87,1),"")</f>
        <v>L</v>
      </c>
      <c r="AM87" s="3">
        <v>267</v>
      </c>
      <c r="AN87" s="3" t="str">
        <f>IFERROR(MID(VLOOKUP($B87,Seqs!$A:$B,2,0),AO87,1),"")</f>
        <v>R</v>
      </c>
      <c r="AO87" s="3">
        <v>479</v>
      </c>
      <c r="AP87" s="3" t="str">
        <f>IFERROR(MID(VLOOKUP($B87,Seqs!$A:$B,2,0),AQ87,1),"")</f>
        <v>C</v>
      </c>
      <c r="AQ87" s="3">
        <v>516</v>
      </c>
      <c r="AR87" s="3" t="str">
        <f>IFERROR(MID(VLOOKUP($B87,Seqs!$A:$B,2,0),AS87,1),"")</f>
        <v>P</v>
      </c>
      <c r="AS87" s="3">
        <v>521</v>
      </c>
      <c r="AT87" s="3" t="str">
        <f>IFERROR(MID(VLOOKUP($B87,Seqs!$A:$B,2,0),AU87,1),"")</f>
        <v>C</v>
      </c>
      <c r="AU87" s="3">
        <v>546</v>
      </c>
      <c r="AV87" s="3" t="str">
        <f>IFERROR(MID(VLOOKUP($B87,Seqs!$A:$B,2,0),AW87,1),"")</f>
        <v>N</v>
      </c>
      <c r="AW87" s="3">
        <v>547</v>
      </c>
      <c r="AX87" s="3" t="str">
        <f>IFERROR(MID(VLOOKUP($B87,Seqs!$A:$B,2,0),AY87,1),"")</f>
        <v>C</v>
      </c>
      <c r="AY87" s="3">
        <v>560</v>
      </c>
      <c r="AZ87" s="77" t="str">
        <f>VLOOKUP(B87,Classification!A:D,2,0)</f>
        <v>A</v>
      </c>
      <c r="BA87" s="94" t="str">
        <f>VLOOKUP(B87,Classification!A:D,4,0)</f>
        <v>Acetylcholine(muscarinic)</v>
      </c>
      <c r="BB87" s="27" t="b">
        <f t="shared" si="504"/>
        <v>1</v>
      </c>
      <c r="BC87" s="23">
        <f t="shared" si="225"/>
        <v>270</v>
      </c>
      <c r="BD87" s="56" t="s">
        <v>23</v>
      </c>
      <c r="BE87" s="3" t="s">
        <v>23</v>
      </c>
      <c r="BF87" s="118" t="s">
        <v>23</v>
      </c>
      <c r="BG87" s="49" t="s">
        <v>1372</v>
      </c>
      <c r="BH87" s="49" t="s">
        <v>1377</v>
      </c>
      <c r="BI87" s="1"/>
      <c r="BJ87" s="70" t="s">
        <v>1287</v>
      </c>
      <c r="BK87" s="57" t="s">
        <v>1287</v>
      </c>
      <c r="BL87" s="57" t="s">
        <v>1287</v>
      </c>
      <c r="BM87" s="57" t="s">
        <v>1287</v>
      </c>
      <c r="BN87" s="57" t="s">
        <v>1287</v>
      </c>
      <c r="BO87" s="57" t="s">
        <v>1287</v>
      </c>
      <c r="BP87" s="57" t="s">
        <v>1287</v>
      </c>
      <c r="BQ87" s="57" t="s">
        <v>1287</v>
      </c>
      <c r="BR87" s="57" t="s">
        <v>1287</v>
      </c>
      <c r="BS87" s="57" t="s">
        <v>1287</v>
      </c>
      <c r="BT87" s="57" t="s">
        <v>1287</v>
      </c>
      <c r="BU87" s="57" t="s">
        <v>1287</v>
      </c>
      <c r="BV87" s="70">
        <f t="shared" si="226"/>
        <v>63</v>
      </c>
      <c r="BW87" s="71">
        <f t="shared" si="227"/>
        <v>96</v>
      </c>
      <c r="BX87" s="72">
        <f t="shared" si="228"/>
        <v>100</v>
      </c>
      <c r="BY87" s="71">
        <f t="shared" si="229"/>
        <v>132</v>
      </c>
      <c r="BZ87" s="72">
        <f t="shared" si="230"/>
        <v>136</v>
      </c>
      <c r="CA87" s="71">
        <f t="shared" si="231"/>
        <v>172</v>
      </c>
      <c r="CB87" s="72">
        <f t="shared" si="232"/>
        <v>180</v>
      </c>
      <c r="CC87" s="71">
        <f t="shared" si="233"/>
        <v>220</v>
      </c>
      <c r="CD87" s="72">
        <f t="shared" si="234"/>
        <v>227</v>
      </c>
      <c r="CE87" s="71">
        <f t="shared" si="235"/>
        <v>479</v>
      </c>
      <c r="CF87" s="72">
        <f t="shared" si="236"/>
        <v>521</v>
      </c>
      <c r="CG87" s="71">
        <f t="shared" si="237"/>
        <v>547</v>
      </c>
      <c r="CH87" s="70">
        <f t="shared" si="238"/>
        <v>95</v>
      </c>
      <c r="CI87" s="71">
        <f t="shared" si="239"/>
        <v>99</v>
      </c>
      <c r="CJ87" s="72">
        <f t="shared" si="240"/>
        <v>130</v>
      </c>
      <c r="CK87" s="72">
        <f t="shared" si="241"/>
        <v>135</v>
      </c>
      <c r="CL87" s="72">
        <f t="shared" si="242"/>
        <v>171</v>
      </c>
      <c r="CM87" s="72">
        <f t="shared" si="243"/>
        <v>179</v>
      </c>
      <c r="CN87" s="72">
        <f t="shared" si="244"/>
        <v>211</v>
      </c>
      <c r="CO87" s="72">
        <f t="shared" si="245"/>
        <v>222</v>
      </c>
      <c r="CP87" s="72">
        <f t="shared" si="246"/>
        <v>267</v>
      </c>
      <c r="CQ87" s="72">
        <f t="shared" si="247"/>
        <v>516</v>
      </c>
      <c r="CR87" s="72">
        <f t="shared" si="248"/>
        <v>546</v>
      </c>
      <c r="CS87" s="72">
        <f t="shared" si="249"/>
        <v>560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503"/>
        <v>acm3_rat_4U15</v>
      </c>
      <c r="B88" s="3" t="s">
        <v>909</v>
      </c>
      <c r="C88" s="3" t="s">
        <v>71</v>
      </c>
      <c r="D88" s="3" t="str">
        <f>IFERROR(MID(VLOOKUP($B88,Seqs!$A:$B,2,0),E88,1),"")</f>
        <v>I</v>
      </c>
      <c r="E88" s="3">
        <v>64</v>
      </c>
      <c r="F88" s="3" t="str">
        <f>IFERROR(MID(VLOOKUP($B88,Seqs!$A:$B,2,0),G88,1),"")</f>
        <v>N</v>
      </c>
      <c r="G88" s="3">
        <v>95</v>
      </c>
      <c r="H88" s="3" t="str">
        <f>IFERROR(MID(VLOOKUP($B88,Seqs!$A:$B,2,0),I88,1),"")</f>
        <v>K</v>
      </c>
      <c r="I88" s="23">
        <v>96</v>
      </c>
      <c r="J88" s="3" t="str">
        <f>IFERROR(MID(VLOOKUP($B88,Seqs!$A:$B,2,0),K88,1),"")</f>
        <v>K</v>
      </c>
      <c r="K88" s="23">
        <v>99</v>
      </c>
      <c r="L88" s="3" t="str">
        <f>IFERROR(MID(VLOOKUP($B88,Seqs!$A:$B,2,0),M88,1),"")</f>
        <v>T</v>
      </c>
      <c r="M88" s="3">
        <v>100</v>
      </c>
      <c r="N88" s="3" t="str">
        <f>IFERROR(MID(VLOOKUP($B88,Seqs!$A:$B,2,0),O88,1),"")</f>
        <v>M</v>
      </c>
      <c r="O88" s="3">
        <v>130</v>
      </c>
      <c r="P88" s="3" t="str">
        <f>IFERROR(MID(VLOOKUP($B88,Seqs!$A:$B,2,0),Q88,1),"")</f>
        <v>R</v>
      </c>
      <c r="Q88" s="3">
        <v>132</v>
      </c>
      <c r="R88" s="3" t="str">
        <f>IFERROR(MID(VLOOKUP($B88,Seqs!$A:$B,2,0),S88,1),"")</f>
        <v>L</v>
      </c>
      <c r="S88" s="3">
        <v>135</v>
      </c>
      <c r="T88" s="3" t="str">
        <f>IFERROR(MID(VLOOKUP($B88,Seqs!$A:$B,2,0),U88,1),"")</f>
        <v>G</v>
      </c>
      <c r="U88" s="3">
        <v>136</v>
      </c>
      <c r="V88" s="3" t="str">
        <f>IFERROR(MID(VLOOKUP($B88,Seqs!$A:$B,2,0),W88,1),"")</f>
        <v>R</v>
      </c>
      <c r="W88" s="3">
        <v>171</v>
      </c>
      <c r="X88" s="3" t="str">
        <f>IFERROR(MID(VLOOKUP($B88,Seqs!$A:$B,2,0),Y88,1),"")</f>
        <v>P</v>
      </c>
      <c r="Y88" s="3">
        <v>172</v>
      </c>
      <c r="Z88" s="3" t="str">
        <f>IFERROR(MID(VLOOKUP($B88,Seqs!$A:$B,2,0),AA88,1),"")</f>
        <v>R</v>
      </c>
      <c r="AA88" s="3">
        <v>179</v>
      </c>
      <c r="AB88" s="3" t="str">
        <f>IFERROR(MID(VLOOKUP($B88,Seqs!$A:$B,2,0),AC88,1),"")</f>
        <v>T</v>
      </c>
      <c r="AC88" s="9">
        <v>180</v>
      </c>
      <c r="AD88" s="3" t="str">
        <f>IFERROR(MID(VLOOKUP($B88,Seqs!$A:$B,2,0),AE88,1),"")</f>
        <v>G</v>
      </c>
      <c r="AE88" s="3">
        <v>211</v>
      </c>
      <c r="AF88" s="3" t="str">
        <f>IFERROR(MID(VLOOKUP($B88,Seqs!$A:$B,2,0),AG88,1),"")</f>
        <v>C</v>
      </c>
      <c r="AG88" s="3">
        <v>220</v>
      </c>
      <c r="AH88" s="3" t="str">
        <f>IFERROR(MID(VLOOKUP($B88,Seqs!$A:$B,2,0),AI88,1),"")</f>
        <v>I</v>
      </c>
      <c r="AI88" s="3">
        <v>222</v>
      </c>
      <c r="AJ88" s="3" t="str">
        <f>IFERROR(MID(VLOOKUP($B88,Seqs!$A:$B,2,0),AK88,1),"")</f>
        <v>E</v>
      </c>
      <c r="AK88" s="3">
        <v>227</v>
      </c>
      <c r="AL88" s="3" t="str">
        <f>IFERROR(MID(VLOOKUP($B88,Seqs!$A:$B,2,0),AM88,1),"")</f>
        <v>K</v>
      </c>
      <c r="AM88" s="3">
        <v>259</v>
      </c>
      <c r="AN88" s="3" t="str">
        <f>IFERROR(MID(VLOOKUP($B88,Seqs!$A:$B,2,0),AO88,1),"")</f>
        <v>I</v>
      </c>
      <c r="AO88" s="3">
        <v>483</v>
      </c>
      <c r="AP88" s="3" t="str">
        <f>IFERROR(MID(VLOOKUP($B88,Seqs!$A:$B,2,0),AQ88,1),"")</f>
        <v>C</v>
      </c>
      <c r="AQ88" s="3">
        <v>516</v>
      </c>
      <c r="AR88" s="3" t="str">
        <f>IFERROR(MID(VLOOKUP($B88,Seqs!$A:$B,2,0),AS88,1),"")</f>
        <v>P</v>
      </c>
      <c r="AS88" s="3">
        <v>521</v>
      </c>
      <c r="AT88" s="3" t="str">
        <f>IFERROR(MID(VLOOKUP($B88,Seqs!$A:$B,2,0),AU88,1),"")</f>
        <v>C</v>
      </c>
      <c r="AU88" s="3">
        <v>546</v>
      </c>
      <c r="AV88" s="3" t="str">
        <f>IFERROR(MID(VLOOKUP($B88,Seqs!$A:$B,2,0),AW88,1),"")</f>
        <v>N</v>
      </c>
      <c r="AW88" s="3">
        <v>547</v>
      </c>
      <c r="AX88" s="3" t="str">
        <f>IFERROR(MID(VLOOKUP($B88,Seqs!$A:$B,2,0),AY88,1),"")</f>
        <v>L</v>
      </c>
      <c r="AY88" s="3">
        <v>558</v>
      </c>
      <c r="AZ88" s="77" t="str">
        <f>VLOOKUP(B88,Classification!A:D,2,0)</f>
        <v>A</v>
      </c>
      <c r="BA88" s="94" t="str">
        <f>VLOOKUP(B88,Classification!A:D,4,0)</f>
        <v>Acetylcholine(muscarinic)</v>
      </c>
      <c r="BB88" s="27" t="b">
        <f t="shared" si="504"/>
        <v>1</v>
      </c>
      <c r="BC88" s="23">
        <f t="shared" si="225"/>
        <v>255</v>
      </c>
      <c r="BD88" s="16" t="s">
        <v>23</v>
      </c>
      <c r="BE88" s="3" t="s">
        <v>1374</v>
      </c>
      <c r="BF88" s="118">
        <v>2.8</v>
      </c>
      <c r="BG88" s="49" t="s">
        <v>1377</v>
      </c>
      <c r="BH88" s="49" t="s">
        <v>1377</v>
      </c>
      <c r="BI88" s="1"/>
      <c r="BJ88" s="70" t="s">
        <v>1287</v>
      </c>
      <c r="BK88" s="57" t="s">
        <v>1287</v>
      </c>
      <c r="BL88" s="57" t="s">
        <v>1287</v>
      </c>
      <c r="BM88" s="57" t="s">
        <v>1287</v>
      </c>
      <c r="BN88" s="57" t="s">
        <v>1287</v>
      </c>
      <c r="BO88" s="57" t="s">
        <v>1287</v>
      </c>
      <c r="BP88" s="57" t="s">
        <v>1287</v>
      </c>
      <c r="BQ88" s="57" t="s">
        <v>1287</v>
      </c>
      <c r="BR88" s="57" t="s">
        <v>1287</v>
      </c>
      <c r="BS88" s="57" t="s">
        <v>1287</v>
      </c>
      <c r="BT88" s="57" t="s">
        <v>1287</v>
      </c>
      <c r="BU88" s="57" t="s">
        <v>1287</v>
      </c>
      <c r="BV88" s="70">
        <f t="shared" si="226"/>
        <v>64</v>
      </c>
      <c r="BW88" s="71">
        <f t="shared" si="227"/>
        <v>96</v>
      </c>
      <c r="BX88" s="72">
        <f t="shared" si="228"/>
        <v>100</v>
      </c>
      <c r="BY88" s="71">
        <f t="shared" si="229"/>
        <v>132</v>
      </c>
      <c r="BZ88" s="72">
        <f t="shared" si="230"/>
        <v>136</v>
      </c>
      <c r="CA88" s="71">
        <f t="shared" si="231"/>
        <v>172</v>
      </c>
      <c r="CB88" s="72">
        <f t="shared" si="232"/>
        <v>180</v>
      </c>
      <c r="CC88" s="71">
        <f t="shared" si="233"/>
        <v>220</v>
      </c>
      <c r="CD88" s="72">
        <f t="shared" si="234"/>
        <v>227</v>
      </c>
      <c r="CE88" s="71">
        <f t="shared" si="235"/>
        <v>483</v>
      </c>
      <c r="CF88" s="72">
        <f t="shared" si="236"/>
        <v>521</v>
      </c>
      <c r="CG88" s="71">
        <f t="shared" si="237"/>
        <v>547</v>
      </c>
      <c r="CH88" s="70">
        <f t="shared" si="238"/>
        <v>95</v>
      </c>
      <c r="CI88" s="71">
        <f t="shared" si="239"/>
        <v>99</v>
      </c>
      <c r="CJ88" s="72">
        <f t="shared" si="240"/>
        <v>130</v>
      </c>
      <c r="CK88" s="72">
        <f t="shared" si="241"/>
        <v>135</v>
      </c>
      <c r="CL88" s="72">
        <f t="shared" si="242"/>
        <v>171</v>
      </c>
      <c r="CM88" s="72">
        <f t="shared" si="243"/>
        <v>179</v>
      </c>
      <c r="CN88" s="72">
        <f t="shared" si="244"/>
        <v>211</v>
      </c>
      <c r="CO88" s="72">
        <f t="shared" si="245"/>
        <v>222</v>
      </c>
      <c r="CP88" s="72">
        <f t="shared" si="246"/>
        <v>259</v>
      </c>
      <c r="CQ88" s="72">
        <f t="shared" si="247"/>
        <v>516</v>
      </c>
      <c r="CR88" s="72">
        <f t="shared" si="248"/>
        <v>546</v>
      </c>
      <c r="CS88" s="72">
        <f t="shared" si="249"/>
        <v>558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503"/>
        <v>acm3_rat_4U16</v>
      </c>
      <c r="B89" s="3" t="s">
        <v>909</v>
      </c>
      <c r="C89" s="3" t="s">
        <v>1053</v>
      </c>
      <c r="D89" s="3" t="str">
        <f>IFERROR(MID(VLOOKUP($B89,Seqs!$A:$B,2,0),E89,1),"")</f>
        <v>I</v>
      </c>
      <c r="E89" s="3">
        <v>64</v>
      </c>
      <c r="F89" s="3" t="str">
        <f>IFERROR(MID(VLOOKUP($B89,Seqs!$A:$B,2,0),G89,1),"")</f>
        <v>N</v>
      </c>
      <c r="G89" s="3">
        <v>95</v>
      </c>
      <c r="H89" s="3" t="str">
        <f>IFERROR(MID(VLOOKUP($B89,Seqs!$A:$B,2,0),I89,1),"")</f>
        <v>K</v>
      </c>
      <c r="I89" s="23">
        <v>96</v>
      </c>
      <c r="J89" s="3" t="str">
        <f>IFERROR(MID(VLOOKUP($B89,Seqs!$A:$B,2,0),K89,1),"")</f>
        <v>K</v>
      </c>
      <c r="K89" s="23">
        <v>99</v>
      </c>
      <c r="L89" s="3" t="str">
        <f>IFERROR(MID(VLOOKUP($B89,Seqs!$A:$B,2,0),M89,1),"")</f>
        <v>T</v>
      </c>
      <c r="M89" s="3">
        <v>100</v>
      </c>
      <c r="N89" s="3" t="str">
        <f>IFERROR(MID(VLOOKUP($B89,Seqs!$A:$B,2,0),O89,1),"")</f>
        <v>M</v>
      </c>
      <c r="O89" s="3">
        <v>130</v>
      </c>
      <c r="P89" s="3" t="str">
        <f>IFERROR(MID(VLOOKUP($B89,Seqs!$A:$B,2,0),Q89,1),"")</f>
        <v>R</v>
      </c>
      <c r="Q89" s="3">
        <v>132</v>
      </c>
      <c r="R89" s="3" t="str">
        <f>IFERROR(MID(VLOOKUP($B89,Seqs!$A:$B,2,0),S89,1),"")</f>
        <v>L</v>
      </c>
      <c r="S89" s="3">
        <v>135</v>
      </c>
      <c r="T89" s="3" t="str">
        <f>IFERROR(MID(VLOOKUP($B89,Seqs!$A:$B,2,0),U89,1),"")</f>
        <v>G</v>
      </c>
      <c r="U89" s="3">
        <v>136</v>
      </c>
      <c r="V89" s="3" t="str">
        <f>IFERROR(MID(VLOOKUP($B89,Seqs!$A:$B,2,0),W89,1),"")</f>
        <v>R</v>
      </c>
      <c r="W89" s="3">
        <v>171</v>
      </c>
      <c r="X89" s="3" t="str">
        <f>IFERROR(MID(VLOOKUP($B89,Seqs!$A:$B,2,0),Y89,1),"")</f>
        <v>P</v>
      </c>
      <c r="Y89" s="3">
        <v>172</v>
      </c>
      <c r="Z89" s="3" t="str">
        <f>IFERROR(MID(VLOOKUP($B89,Seqs!$A:$B,2,0),AA89,1),"")</f>
        <v>R</v>
      </c>
      <c r="AA89" s="3">
        <v>179</v>
      </c>
      <c r="AB89" s="3" t="str">
        <f>IFERROR(MID(VLOOKUP($B89,Seqs!$A:$B,2,0),AC89,1),"")</f>
        <v>T</v>
      </c>
      <c r="AC89" s="9">
        <v>180</v>
      </c>
      <c r="AD89" s="3" t="str">
        <f>IFERROR(MID(VLOOKUP($B89,Seqs!$A:$B,2,0),AE89,1),"")</f>
        <v>G</v>
      </c>
      <c r="AE89" s="3">
        <v>211</v>
      </c>
      <c r="AF89" s="3" t="str">
        <f>IFERROR(MID(VLOOKUP($B89,Seqs!$A:$B,2,0),AG89,1),"")</f>
        <v>C</v>
      </c>
      <c r="AG89" s="3">
        <v>220</v>
      </c>
      <c r="AH89" s="3" t="str">
        <f>IFERROR(MID(VLOOKUP($B89,Seqs!$A:$B,2,0),AI89,1),"")</f>
        <v>I</v>
      </c>
      <c r="AI89" s="3">
        <v>222</v>
      </c>
      <c r="AJ89" s="3" t="str">
        <f>IFERROR(MID(VLOOKUP($B89,Seqs!$A:$B,2,0),AK89,1),"")</f>
        <v>E</v>
      </c>
      <c r="AK89" s="3">
        <v>227</v>
      </c>
      <c r="AL89" s="3" t="str">
        <f>IFERROR(MID(VLOOKUP($B89,Seqs!$A:$B,2,0),AM89,1),"")</f>
        <v>K</v>
      </c>
      <c r="AM89" s="3">
        <v>259</v>
      </c>
      <c r="AN89" s="3" t="str">
        <f>IFERROR(MID(VLOOKUP($B89,Seqs!$A:$B,2,0),AO89,1),"")</f>
        <v>I</v>
      </c>
      <c r="AO89" s="3">
        <v>483</v>
      </c>
      <c r="AP89" s="3" t="str">
        <f>IFERROR(MID(VLOOKUP($B89,Seqs!$A:$B,2,0),AQ89,1),"")</f>
        <v>C</v>
      </c>
      <c r="AQ89" s="3">
        <v>516</v>
      </c>
      <c r="AR89" s="3" t="str">
        <f>IFERROR(MID(VLOOKUP($B89,Seqs!$A:$B,2,0),AS89,1),"")</f>
        <v>P</v>
      </c>
      <c r="AS89" s="3">
        <v>521</v>
      </c>
      <c r="AT89" s="3" t="str">
        <f>IFERROR(MID(VLOOKUP($B89,Seqs!$A:$B,2,0),AU89,1),"")</f>
        <v>C</v>
      </c>
      <c r="AU89" s="3">
        <v>546</v>
      </c>
      <c r="AV89" s="3" t="str">
        <f>IFERROR(MID(VLOOKUP($B89,Seqs!$A:$B,2,0),AW89,1),"")</f>
        <v/>
      </c>
      <c r="AW89" s="3" t="s">
        <v>23</v>
      </c>
      <c r="AX89" s="3" t="str">
        <f>IFERROR(MID(VLOOKUP($B89,Seqs!$A:$B,2,0),AY89,1),"")</f>
        <v/>
      </c>
      <c r="AY89" s="3" t="s">
        <v>23</v>
      </c>
      <c r="AZ89" s="77" t="str">
        <f>VLOOKUP(B89,Classification!A:D,2,0)</f>
        <v>A</v>
      </c>
      <c r="BA89" s="94" t="str">
        <f>VLOOKUP(B89,Classification!A:D,4,0)</f>
        <v>Acetylcholine(muscarinic)</v>
      </c>
      <c r="BB89" s="27" t="b">
        <f t="shared" si="504"/>
        <v>1</v>
      </c>
      <c r="BC89" s="23">
        <f t="shared" si="225"/>
        <v>244</v>
      </c>
      <c r="BD89" s="4" t="s">
        <v>23</v>
      </c>
      <c r="BE89" s="3" t="s">
        <v>1374</v>
      </c>
      <c r="BF89" s="118">
        <v>3.7</v>
      </c>
      <c r="BG89" s="49" t="s">
        <v>1377</v>
      </c>
      <c r="BH89" s="49" t="s">
        <v>1377</v>
      </c>
      <c r="BI89" s="1"/>
      <c r="BJ89" s="70" t="s">
        <v>1287</v>
      </c>
      <c r="BK89" s="57" t="s">
        <v>1287</v>
      </c>
      <c r="BL89" s="57" t="s">
        <v>1287</v>
      </c>
      <c r="BM89" s="57" t="s">
        <v>1287</v>
      </c>
      <c r="BN89" s="57" t="s">
        <v>1287</v>
      </c>
      <c r="BO89" s="57" t="s">
        <v>1287</v>
      </c>
      <c r="BP89" s="57" t="s">
        <v>1287</v>
      </c>
      <c r="BQ89" s="57" t="s">
        <v>1287</v>
      </c>
      <c r="BR89" s="57" t="s">
        <v>1287</v>
      </c>
      <c r="BS89" s="57" t="s">
        <v>1287</v>
      </c>
      <c r="BT89" s="57" t="s">
        <v>1287</v>
      </c>
      <c r="BU89" s="57" t="s">
        <v>1287</v>
      </c>
      <c r="BV89" s="70">
        <f t="shared" si="226"/>
        <v>64</v>
      </c>
      <c r="BW89" s="71">
        <f t="shared" si="227"/>
        <v>96</v>
      </c>
      <c r="BX89" s="72">
        <f t="shared" si="228"/>
        <v>100</v>
      </c>
      <c r="BY89" s="71">
        <f t="shared" si="229"/>
        <v>132</v>
      </c>
      <c r="BZ89" s="72">
        <f t="shared" si="230"/>
        <v>136</v>
      </c>
      <c r="CA89" s="71">
        <f t="shared" si="231"/>
        <v>172</v>
      </c>
      <c r="CB89" s="72">
        <f t="shared" si="232"/>
        <v>180</v>
      </c>
      <c r="CC89" s="71">
        <f t="shared" si="233"/>
        <v>220</v>
      </c>
      <c r="CD89" s="72">
        <f t="shared" si="234"/>
        <v>227</v>
      </c>
      <c r="CE89" s="71">
        <f t="shared" si="235"/>
        <v>483</v>
      </c>
      <c r="CF89" s="72">
        <f t="shared" si="236"/>
        <v>521</v>
      </c>
      <c r="CG89" s="71" t="str">
        <f t="shared" si="237"/>
        <v>-</v>
      </c>
      <c r="CH89" s="70">
        <f t="shared" si="238"/>
        <v>95</v>
      </c>
      <c r="CI89" s="71">
        <f t="shared" si="239"/>
        <v>99</v>
      </c>
      <c r="CJ89" s="72">
        <f t="shared" si="240"/>
        <v>130</v>
      </c>
      <c r="CK89" s="72">
        <f t="shared" si="241"/>
        <v>135</v>
      </c>
      <c r="CL89" s="72">
        <f t="shared" si="242"/>
        <v>171</v>
      </c>
      <c r="CM89" s="72">
        <f t="shared" si="243"/>
        <v>179</v>
      </c>
      <c r="CN89" s="72">
        <f t="shared" si="244"/>
        <v>211</v>
      </c>
      <c r="CO89" s="72">
        <f t="shared" si="245"/>
        <v>222</v>
      </c>
      <c r="CP89" s="72">
        <f t="shared" si="246"/>
        <v>259</v>
      </c>
      <c r="CQ89" s="72">
        <f t="shared" si="247"/>
        <v>516</v>
      </c>
      <c r="CR89" s="72">
        <f t="shared" si="248"/>
        <v>546</v>
      </c>
      <c r="CS89" s="72" t="str">
        <f t="shared" si="249"/>
        <v>-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s="12" customFormat="1" x14ac:dyDescent="0.2">
      <c r="A90" s="9" t="str">
        <f t="shared" ref="A90" si="673">CONCATENATE(B90,"_",C90)</f>
        <v>acm3_rat_5ZHP</v>
      </c>
      <c r="B90" s="9" t="s">
        <v>909</v>
      </c>
      <c r="C90" s="9" t="s">
        <v>1576</v>
      </c>
      <c r="D90" s="9" t="str">
        <f>IFERROR(MID(VLOOKUP($B90,Seqs!$A:$B,2,0),E90,1),"")</f>
        <v>T</v>
      </c>
      <c r="E90" s="9">
        <v>63</v>
      </c>
      <c r="F90" s="9" t="str">
        <f>IFERROR(MID(VLOOKUP($B90,Seqs!$A:$B,2,0),G90,1),"")</f>
        <v>N</v>
      </c>
      <c r="G90" s="9">
        <v>95</v>
      </c>
      <c r="H90" s="9" t="str">
        <f>IFERROR(MID(VLOOKUP($B90,Seqs!$A:$B,2,0),I90,1),"")</f>
        <v>K</v>
      </c>
      <c r="I90" s="109">
        <v>96</v>
      </c>
      <c r="J90" s="9" t="str">
        <f>IFERROR(MID(VLOOKUP($B90,Seqs!$A:$B,2,0),K90,1),"")</f>
        <v>K</v>
      </c>
      <c r="K90" s="109">
        <v>99</v>
      </c>
      <c r="L90" s="9" t="str">
        <f>IFERROR(MID(VLOOKUP($B90,Seqs!$A:$B,2,0),M90,1),"")</f>
        <v>T</v>
      </c>
      <c r="M90" s="9">
        <v>100</v>
      </c>
      <c r="N90" s="9" t="str">
        <f>IFERROR(MID(VLOOKUP($B90,Seqs!$A:$B,2,0),O90,1),"")</f>
        <v>M</v>
      </c>
      <c r="O90" s="9">
        <v>130</v>
      </c>
      <c r="P90" s="9" t="str">
        <f>IFERROR(MID(VLOOKUP($B90,Seqs!$A:$B,2,0),Q90,1),"")</f>
        <v>R</v>
      </c>
      <c r="Q90" s="9">
        <v>132</v>
      </c>
      <c r="R90" s="9" t="str">
        <f>IFERROR(MID(VLOOKUP($B90,Seqs!$A:$B,2,0),S90,1),"")</f>
        <v>L</v>
      </c>
      <c r="S90" s="9">
        <v>135</v>
      </c>
      <c r="T90" s="9" t="str">
        <f>IFERROR(MID(VLOOKUP($B90,Seqs!$A:$B,2,0),U90,1),"")</f>
        <v>G</v>
      </c>
      <c r="U90" s="9">
        <v>136</v>
      </c>
      <c r="V90" s="9" t="str">
        <f>IFERROR(MID(VLOOKUP($B90,Seqs!$A:$B,2,0),W90,1),"")</f>
        <v>R</v>
      </c>
      <c r="W90" s="9">
        <v>171</v>
      </c>
      <c r="X90" s="9" t="str">
        <f>IFERROR(MID(VLOOKUP($B90,Seqs!$A:$B,2,0),Y90,1),"")</f>
        <v>P</v>
      </c>
      <c r="Y90" s="9">
        <v>172</v>
      </c>
      <c r="Z90" s="9" t="str">
        <f>IFERROR(MID(VLOOKUP($B90,Seqs!$A:$B,2,0),AA90,1),"")</f>
        <v>R</v>
      </c>
      <c r="AA90" s="9">
        <v>179</v>
      </c>
      <c r="AB90" s="9" t="str">
        <f>IFERROR(MID(VLOOKUP($B90,Seqs!$A:$B,2,0),AC90,1),"")</f>
        <v>T</v>
      </c>
      <c r="AC90" s="9">
        <v>180</v>
      </c>
      <c r="AD90" s="9" t="str">
        <f>IFERROR(MID(VLOOKUP($B90,Seqs!$A:$B,2,0),AE90,1),"")</f>
        <v>G</v>
      </c>
      <c r="AE90" s="9">
        <v>211</v>
      </c>
      <c r="AF90" s="9" t="str">
        <f>IFERROR(MID(VLOOKUP($B90,Seqs!$A:$B,2,0),AG90,1),"")</f>
        <v>C</v>
      </c>
      <c r="AG90" s="9">
        <v>220</v>
      </c>
      <c r="AH90" s="9" t="str">
        <f>IFERROR(MID(VLOOKUP($B90,Seqs!$A:$B,2,0),AI90,1),"")</f>
        <v>I</v>
      </c>
      <c r="AI90" s="9">
        <v>222</v>
      </c>
      <c r="AJ90" s="9" t="str">
        <f>IFERROR(MID(VLOOKUP($B90,Seqs!$A:$B,2,0),AK90,1),"")</f>
        <v>E</v>
      </c>
      <c r="AK90" s="9">
        <v>227</v>
      </c>
      <c r="AL90" s="9" t="str">
        <f>IFERROR(MID(VLOOKUP($B90,Seqs!$A:$B,2,0),AM90,1),"")</f>
        <v>K</v>
      </c>
      <c r="AM90" s="9">
        <v>259</v>
      </c>
      <c r="AN90" s="9" t="str">
        <f>IFERROR(MID(VLOOKUP($B90,Seqs!$A:$B,2,0),AO90,1),"")</f>
        <v>L</v>
      </c>
      <c r="AO90" s="9">
        <v>482</v>
      </c>
      <c r="AP90" s="9" t="str">
        <f>IFERROR(MID(VLOOKUP($B90,Seqs!$A:$B,2,0),AQ90,1),"")</f>
        <v>C</v>
      </c>
      <c r="AQ90" s="9">
        <v>516</v>
      </c>
      <c r="AR90" s="9" t="str">
        <f>IFERROR(MID(VLOOKUP($B90,Seqs!$A:$B,2,0),AS90,1),"")</f>
        <v>P</v>
      </c>
      <c r="AS90" s="9">
        <v>521</v>
      </c>
      <c r="AT90" s="9" t="str">
        <f>IFERROR(MID(VLOOKUP($B90,Seqs!$A:$B,2,0),AU90,1),"")</f>
        <v>C</v>
      </c>
      <c r="AU90" s="9">
        <v>546</v>
      </c>
      <c r="AV90" s="9" t="str">
        <f>IFERROR(MID(VLOOKUP($B90,Seqs!$A:$B,2,0),AW90,1),"")</f>
        <v>N</v>
      </c>
      <c r="AW90" s="9">
        <v>547</v>
      </c>
      <c r="AX90" s="9" t="str">
        <f>IFERROR(MID(VLOOKUP($B90,Seqs!$A:$B,2,0),AY90,1),"")</f>
        <v>C</v>
      </c>
      <c r="AY90" s="9">
        <v>560</v>
      </c>
      <c r="AZ90" s="110" t="str">
        <f>VLOOKUP(B90,Classification!A:D,2,0)</f>
        <v>A</v>
      </c>
      <c r="BA90" s="98" t="str">
        <f>VLOOKUP(B90,Classification!A:D,4,0)</f>
        <v>Acetylcholine(muscarinic)</v>
      </c>
      <c r="BB90" s="36" t="b">
        <f t="shared" ref="BB90" si="674">AND(E90&lt;G90,OR(G90&lt;I90,I90="-"),OR(I90&lt;K90,I90="-"),OR(K90&lt;M90,K90="-"),M90&lt;O90,OR(O90&lt;Q90,Q90="-"),OR(Q90&lt;S90,Q90="-"),OR(S90&lt;U90,S90="-"),U90&lt;W90,OR(W90&lt;Y90,Y90="-"),OR(Y90&lt;AA90,Y90="-"),OR(AA90&lt;AC90,AA90="-"),AC90&lt;AE90,OR(AE90&lt;AG90,AG90="-"),OR(AG90&lt;AI90,AG90="-"),OR(AI90&lt;AK90,AI90="-"),AK90&lt;AM90,AM90&lt;AO90,AO90&lt;AQ90,AQ90&lt;AS90,AS90&lt;AU90,OR(AU90&lt;AW90,AW90="-"),OR(AW90&lt;AY90,AW90="-"))</f>
        <v>1</v>
      </c>
      <c r="BC90" s="109">
        <f t="shared" ref="BC90" si="675">_xlfn.AGGREGATE(9,6,CH90:CS90)-_xlfn.AGGREGATE(9,6,BV90:CG90)+12</f>
        <v>259</v>
      </c>
      <c r="BD90" s="11" t="s">
        <v>1376</v>
      </c>
      <c r="BE90" s="9" t="s">
        <v>1374</v>
      </c>
      <c r="BF90" s="119">
        <v>3.1</v>
      </c>
      <c r="BG90" s="51" t="s">
        <v>1281</v>
      </c>
      <c r="BH90" s="51" t="s">
        <v>1281</v>
      </c>
      <c r="BJ90" s="111" t="s">
        <v>1287</v>
      </c>
      <c r="BK90" s="112" t="s">
        <v>1287</v>
      </c>
      <c r="BL90" s="112" t="s">
        <v>1287</v>
      </c>
      <c r="BM90" s="112" t="s">
        <v>1287</v>
      </c>
      <c r="BN90" s="112" t="s">
        <v>1287</v>
      </c>
      <c r="BO90" s="112" t="s">
        <v>1287</v>
      </c>
      <c r="BP90" s="112" t="s">
        <v>1287</v>
      </c>
      <c r="BQ90" s="112" t="s">
        <v>1287</v>
      </c>
      <c r="BR90" s="112" t="s">
        <v>1287</v>
      </c>
      <c r="BS90" s="112" t="s">
        <v>1287</v>
      </c>
      <c r="BT90" s="112" t="s">
        <v>1287</v>
      </c>
      <c r="BU90" s="112" t="s">
        <v>1287</v>
      </c>
      <c r="BV90" s="111">
        <f t="shared" ref="BV90" si="676">E90</f>
        <v>63</v>
      </c>
      <c r="BW90" s="113">
        <f t="shared" ref="BW90" si="677">I90</f>
        <v>96</v>
      </c>
      <c r="BX90" s="114">
        <f t="shared" ref="BX90" si="678">M90</f>
        <v>100</v>
      </c>
      <c r="BY90" s="113">
        <f t="shared" ref="BY90" si="679">Q90</f>
        <v>132</v>
      </c>
      <c r="BZ90" s="114">
        <f t="shared" ref="BZ90" si="680">U90</f>
        <v>136</v>
      </c>
      <c r="CA90" s="113">
        <f t="shared" ref="CA90" si="681">Y90</f>
        <v>172</v>
      </c>
      <c r="CB90" s="114">
        <f t="shared" ref="CB90" si="682">AC90</f>
        <v>180</v>
      </c>
      <c r="CC90" s="113">
        <f t="shared" ref="CC90" si="683">AG90</f>
        <v>220</v>
      </c>
      <c r="CD90" s="114">
        <f t="shared" ref="CD90" si="684">AK90</f>
        <v>227</v>
      </c>
      <c r="CE90" s="113">
        <f t="shared" ref="CE90" si="685">AO90</f>
        <v>482</v>
      </c>
      <c r="CF90" s="114">
        <f t="shared" ref="CF90" si="686">AS90</f>
        <v>521</v>
      </c>
      <c r="CG90" s="113">
        <f t="shared" ref="CG90" si="687">AW90</f>
        <v>547</v>
      </c>
      <c r="CH90" s="111">
        <f t="shared" ref="CH90" si="688">G90</f>
        <v>95</v>
      </c>
      <c r="CI90" s="113">
        <f t="shared" ref="CI90" si="689">K90</f>
        <v>99</v>
      </c>
      <c r="CJ90" s="114">
        <f t="shared" ref="CJ90" si="690">O90</f>
        <v>130</v>
      </c>
      <c r="CK90" s="114">
        <f t="shared" ref="CK90" si="691">S90</f>
        <v>135</v>
      </c>
      <c r="CL90" s="114">
        <f t="shared" ref="CL90" si="692">W90</f>
        <v>171</v>
      </c>
      <c r="CM90" s="114">
        <f t="shared" ref="CM90" si="693">AA90</f>
        <v>179</v>
      </c>
      <c r="CN90" s="114">
        <f t="shared" ref="CN90" si="694">AE90</f>
        <v>211</v>
      </c>
      <c r="CO90" s="114">
        <f t="shared" ref="CO90" si="695">AI90</f>
        <v>222</v>
      </c>
      <c r="CP90" s="114">
        <f t="shared" ref="CP90" si="696">AM90</f>
        <v>259</v>
      </c>
      <c r="CQ90" s="114">
        <f t="shared" ref="CQ90" si="697">AQ90</f>
        <v>516</v>
      </c>
      <c r="CR90" s="114">
        <f t="shared" ref="CR90" si="698">AU90</f>
        <v>546</v>
      </c>
      <c r="CS90" s="114">
        <f t="shared" ref="CS90" si="699">AY90</f>
        <v>560</v>
      </c>
      <c r="CT90" s="109">
        <f t="shared" ref="CT90" si="700">M90-K90</f>
        <v>1</v>
      </c>
    </row>
    <row r="91" spans="1:1029" x14ac:dyDescent="0.2">
      <c r="A91" s="3" t="str">
        <f t="shared" si="503"/>
        <v>acm4_human__wt</v>
      </c>
      <c r="B91" s="3" t="s">
        <v>149</v>
      </c>
      <c r="C91" s="3" t="s">
        <v>100</v>
      </c>
      <c r="D91" s="3" t="str">
        <f>IFERROR(MID(VLOOKUP($B91,Seqs!$A:$B,2,0),E91,1),"")</f>
        <v>R</v>
      </c>
      <c r="E91" s="3">
        <v>26</v>
      </c>
      <c r="F91" s="3" t="str">
        <f>IFERROR(MID(VLOOKUP($B91,Seqs!$A:$B,2,0),G91,1),"")</f>
        <v>N</v>
      </c>
      <c r="G91" s="3">
        <v>60</v>
      </c>
      <c r="H91" s="3" t="str">
        <f>IFERROR(MID(VLOOKUP($B91,Seqs!$A:$B,2,0),I91,1),"")</f>
        <v>R</v>
      </c>
      <c r="I91" s="23">
        <v>61</v>
      </c>
      <c r="J91" s="3" t="str">
        <f>IFERROR(MID(VLOOKUP($B91,Seqs!$A:$B,2,0),K91,1),"")</f>
        <v>Q</v>
      </c>
      <c r="K91" s="23">
        <v>64</v>
      </c>
      <c r="L91" s="3" t="str">
        <f>IFERROR(MID(VLOOKUP($B91,Seqs!$A:$B,2,0),M91,1),"")</f>
        <v>T</v>
      </c>
      <c r="M91" s="3">
        <v>65</v>
      </c>
      <c r="N91" s="3" t="str">
        <f>IFERROR(MID(VLOOKUP($B91,Seqs!$A:$B,2,0),O91,1),"")</f>
        <v>K</v>
      </c>
      <c r="O91" s="3">
        <v>95</v>
      </c>
      <c r="P91" s="3" t="str">
        <f>IFERROR(MID(VLOOKUP($B91,Seqs!$A:$B,2,0),Q91,1),"")</f>
        <v>Y</v>
      </c>
      <c r="Q91" s="3">
        <v>97</v>
      </c>
      <c r="R91" s="3" t="str">
        <f>IFERROR(MID(VLOOKUP($B91,Seqs!$A:$B,2,0),S91,1),"")</f>
        <v>L</v>
      </c>
      <c r="S91" s="3">
        <v>100</v>
      </c>
      <c r="T91" s="3" t="str">
        <f>IFERROR(MID(VLOOKUP($B91,Seqs!$A:$B,2,0),U91,1),"")</f>
        <v>G</v>
      </c>
      <c r="U91" s="3">
        <v>101</v>
      </c>
      <c r="V91" s="3" t="str">
        <f>IFERROR(MID(VLOOKUP($B91,Seqs!$A:$B,2,0),W91,1),"")</f>
        <v>K</v>
      </c>
      <c r="W91" s="3">
        <v>136</v>
      </c>
      <c r="X91" s="3" t="str">
        <f>IFERROR(MID(VLOOKUP($B91,Seqs!$A:$B,2,0),Y91,1),"")</f>
        <v>P</v>
      </c>
      <c r="Y91" s="3">
        <v>137</v>
      </c>
      <c r="Z91" s="3" t="str">
        <f>IFERROR(MID(VLOOKUP($B91,Seqs!$A:$B,2,0),AA91,1),"")</f>
        <v>R</v>
      </c>
      <c r="AA91" s="3">
        <v>144</v>
      </c>
      <c r="AB91" s="3" t="str">
        <f>IFERROR(MID(VLOOKUP($B91,Seqs!$A:$B,2,0),AC91,1),"")</f>
        <v>T</v>
      </c>
      <c r="AC91" s="9">
        <v>145</v>
      </c>
      <c r="AD91" s="3" t="str">
        <f>IFERROR(MID(VLOOKUP($B91,Seqs!$A:$B,2,0),AE91,1),"")</f>
        <v>G</v>
      </c>
      <c r="AE91" s="3">
        <v>176</v>
      </c>
      <c r="AF91" s="3" t="str">
        <f>IFERROR(MID(VLOOKUP($B91,Seqs!$A:$B,2,0),AG91,1),"")</f>
        <v>C</v>
      </c>
      <c r="AG91" s="3">
        <v>185</v>
      </c>
      <c r="AH91" s="3" t="str">
        <f>IFERROR(MID(VLOOKUP($B91,Seqs!$A:$B,2,0),AI91,1),"")</f>
        <v>I</v>
      </c>
      <c r="AI91" s="3">
        <v>187</v>
      </c>
      <c r="AJ91" s="3" t="str">
        <f>IFERROR(MID(VLOOKUP($B91,Seqs!$A:$B,2,0),AK91,1),"")</f>
        <v>N</v>
      </c>
      <c r="AK91" s="3">
        <v>192</v>
      </c>
      <c r="AL91" s="3" t="str">
        <f>IFERROR(MID(VLOOKUP($B91,Seqs!$A:$B,2,0),AM91,1),"")</f>
        <v>E</v>
      </c>
      <c r="AM91" s="3">
        <v>232</v>
      </c>
      <c r="AN91" s="3" t="str">
        <f>IFERROR(MID(VLOOKUP($B91,Seqs!$A:$B,2,0),AO91,1),"")</f>
        <v>R</v>
      </c>
      <c r="AO91" s="3">
        <v>389</v>
      </c>
      <c r="AP91" s="3" t="str">
        <f>IFERROR(MID(VLOOKUP($B91,Seqs!$A:$B,2,0),AQ91,1),"")</f>
        <v>C</v>
      </c>
      <c r="AQ91" s="3">
        <v>426</v>
      </c>
      <c r="AR91" s="3" t="str">
        <f>IFERROR(MID(VLOOKUP($B91,Seqs!$A:$B,2,0),AS91,1),"")</f>
        <v>P</v>
      </c>
      <c r="AS91" s="3">
        <v>431</v>
      </c>
      <c r="AT91" s="3" t="str">
        <f>IFERROR(MID(VLOOKUP($B91,Seqs!$A:$B,2,0),AU91,1),"")</f>
        <v>C</v>
      </c>
      <c r="AU91" s="3">
        <v>456</v>
      </c>
      <c r="AV91" s="3" t="str">
        <f>IFERROR(MID(VLOOKUP($B91,Seqs!$A:$B,2,0),AW91,1),"")</f>
        <v>N</v>
      </c>
      <c r="AW91" s="3">
        <v>457</v>
      </c>
      <c r="AX91" s="3" t="str">
        <f>IFERROR(MID(VLOOKUP($B91,Seqs!$A:$B,2,0),AY91,1),"")</f>
        <v>L</v>
      </c>
      <c r="AY91" s="3">
        <v>469</v>
      </c>
      <c r="AZ91" s="77" t="str">
        <f>VLOOKUP(B91,Classification!A:D,2,0)</f>
        <v>A</v>
      </c>
      <c r="BA91" s="94" t="str">
        <f>VLOOKUP(B91,Classification!A:D,4,0)</f>
        <v>Acetylcholine(muscarinic)</v>
      </c>
      <c r="BB91" s="27" t="b">
        <f t="shared" si="504"/>
        <v>1</v>
      </c>
      <c r="BC91" s="23">
        <f t="shared" si="225"/>
        <v>271</v>
      </c>
      <c r="BD91" s="34" t="s">
        <v>23</v>
      </c>
      <c r="BE91" s="3" t="s">
        <v>23</v>
      </c>
      <c r="BF91" s="118" t="s">
        <v>23</v>
      </c>
      <c r="BG91" s="49" t="s">
        <v>1372</v>
      </c>
      <c r="BH91" s="49" t="s">
        <v>1377</v>
      </c>
      <c r="BI91" s="1"/>
      <c r="BJ91" s="70" t="s">
        <v>1287</v>
      </c>
      <c r="BK91" s="57" t="s">
        <v>1287</v>
      </c>
      <c r="BL91" s="57" t="s">
        <v>1287</v>
      </c>
      <c r="BM91" s="57" t="s">
        <v>1287</v>
      </c>
      <c r="BN91" s="57" t="s">
        <v>1287</v>
      </c>
      <c r="BO91" s="57" t="s">
        <v>1287</v>
      </c>
      <c r="BP91" s="57" t="s">
        <v>1287</v>
      </c>
      <c r="BQ91" s="57" t="s">
        <v>1287</v>
      </c>
      <c r="BR91" s="57" t="s">
        <v>1287</v>
      </c>
      <c r="BS91" s="57" t="s">
        <v>1287</v>
      </c>
      <c r="BT91" s="57" t="s">
        <v>1287</v>
      </c>
      <c r="BU91" s="57" t="s">
        <v>1287</v>
      </c>
      <c r="BV91" s="70">
        <f t="shared" si="226"/>
        <v>26</v>
      </c>
      <c r="BW91" s="71">
        <f t="shared" si="227"/>
        <v>61</v>
      </c>
      <c r="BX91" s="72">
        <f t="shared" si="228"/>
        <v>65</v>
      </c>
      <c r="BY91" s="71">
        <f t="shared" si="229"/>
        <v>97</v>
      </c>
      <c r="BZ91" s="72">
        <f t="shared" si="230"/>
        <v>101</v>
      </c>
      <c r="CA91" s="71">
        <f t="shared" si="231"/>
        <v>137</v>
      </c>
      <c r="CB91" s="72">
        <f t="shared" si="232"/>
        <v>145</v>
      </c>
      <c r="CC91" s="71">
        <f t="shared" si="233"/>
        <v>185</v>
      </c>
      <c r="CD91" s="72">
        <f t="shared" si="234"/>
        <v>192</v>
      </c>
      <c r="CE91" s="71">
        <f t="shared" si="235"/>
        <v>389</v>
      </c>
      <c r="CF91" s="72">
        <f t="shared" si="236"/>
        <v>431</v>
      </c>
      <c r="CG91" s="71">
        <f t="shared" si="237"/>
        <v>457</v>
      </c>
      <c r="CH91" s="70">
        <f t="shared" si="238"/>
        <v>60</v>
      </c>
      <c r="CI91" s="71">
        <f t="shared" si="239"/>
        <v>64</v>
      </c>
      <c r="CJ91" s="72">
        <f t="shared" si="240"/>
        <v>95</v>
      </c>
      <c r="CK91" s="72">
        <f t="shared" si="241"/>
        <v>100</v>
      </c>
      <c r="CL91" s="72">
        <f t="shared" si="242"/>
        <v>136</v>
      </c>
      <c r="CM91" s="72">
        <f t="shared" si="243"/>
        <v>144</v>
      </c>
      <c r="CN91" s="72">
        <f t="shared" si="244"/>
        <v>176</v>
      </c>
      <c r="CO91" s="72">
        <f t="shared" si="245"/>
        <v>187</v>
      </c>
      <c r="CP91" s="72">
        <f t="shared" si="246"/>
        <v>232</v>
      </c>
      <c r="CQ91" s="72">
        <f t="shared" si="247"/>
        <v>426</v>
      </c>
      <c r="CR91" s="72">
        <f t="shared" si="248"/>
        <v>456</v>
      </c>
      <c r="CS91" s="72">
        <f t="shared" si="249"/>
        <v>469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503"/>
        <v>acm4_human_5DSG</v>
      </c>
      <c r="B92" s="3" t="s">
        <v>149</v>
      </c>
      <c r="C92" s="3" t="s">
        <v>61</v>
      </c>
      <c r="D92" s="3" t="str">
        <f>IFERROR(MID(VLOOKUP($B92,Seqs!$A:$B,2,0),E92,1),"")</f>
        <v>R</v>
      </c>
      <c r="E92" s="3">
        <v>26</v>
      </c>
      <c r="F92" s="3" t="str">
        <f>IFERROR(MID(VLOOKUP($B92,Seqs!$A:$B,2,0),G92,1),"")</f>
        <v>N</v>
      </c>
      <c r="G92" s="3">
        <v>60</v>
      </c>
      <c r="H92" s="3" t="str">
        <f>IFERROR(MID(VLOOKUP($B92,Seqs!$A:$B,2,0),I92,1),"")</f>
        <v>R</v>
      </c>
      <c r="I92" s="23">
        <v>61</v>
      </c>
      <c r="J92" s="3" t="str">
        <f>IFERROR(MID(VLOOKUP($B92,Seqs!$A:$B,2,0),K92,1),"")</f>
        <v>Q</v>
      </c>
      <c r="K92" s="23">
        <v>64</v>
      </c>
      <c r="L92" s="3" t="str">
        <f>IFERROR(MID(VLOOKUP($B92,Seqs!$A:$B,2,0),M92,1),"")</f>
        <v>T</v>
      </c>
      <c r="M92" s="3">
        <v>65</v>
      </c>
      <c r="N92" s="3" t="str">
        <f>IFERROR(MID(VLOOKUP($B92,Seqs!$A:$B,2,0),O92,1),"")</f>
        <v>K</v>
      </c>
      <c r="O92" s="3">
        <v>95</v>
      </c>
      <c r="P92" s="3" t="str">
        <f>IFERROR(MID(VLOOKUP($B92,Seqs!$A:$B,2,0),Q92,1),"")</f>
        <v>Y</v>
      </c>
      <c r="Q92" s="3">
        <v>97</v>
      </c>
      <c r="R92" s="3" t="str">
        <f>IFERROR(MID(VLOOKUP($B92,Seqs!$A:$B,2,0),S92,1),"")</f>
        <v>L</v>
      </c>
      <c r="S92" s="3">
        <v>100</v>
      </c>
      <c r="T92" s="3" t="str">
        <f>IFERROR(MID(VLOOKUP($B92,Seqs!$A:$B,2,0),U92,1),"")</f>
        <v>G</v>
      </c>
      <c r="U92" s="3">
        <v>101</v>
      </c>
      <c r="V92" s="3" t="str">
        <f>IFERROR(MID(VLOOKUP($B92,Seqs!$A:$B,2,0),W92,1),"")</f>
        <v>K</v>
      </c>
      <c r="W92" s="3">
        <v>136</v>
      </c>
      <c r="X92" s="3" t="str">
        <f>IFERROR(MID(VLOOKUP($B92,Seqs!$A:$B,2,0),Y92,1),"")</f>
        <v>P</v>
      </c>
      <c r="Y92" s="3">
        <v>137</v>
      </c>
      <c r="Z92" s="3" t="str">
        <f>IFERROR(MID(VLOOKUP($B92,Seqs!$A:$B,2,0),AA92,1),"")</f>
        <v>R</v>
      </c>
      <c r="AA92" s="3">
        <v>144</v>
      </c>
      <c r="AB92" s="3" t="str">
        <f>IFERROR(MID(VLOOKUP($B92,Seqs!$A:$B,2,0),AC92,1),"")</f>
        <v>T</v>
      </c>
      <c r="AC92" s="9">
        <v>145</v>
      </c>
      <c r="AD92" s="3" t="str">
        <f>IFERROR(MID(VLOOKUP($B92,Seqs!$A:$B,2,0),AE92,1),"")</f>
        <v>G</v>
      </c>
      <c r="AE92" s="3">
        <v>176</v>
      </c>
      <c r="AF92" s="3" t="str">
        <f>IFERROR(MID(VLOOKUP($B92,Seqs!$A:$B,2,0),AG92,1),"")</f>
        <v>C</v>
      </c>
      <c r="AG92" s="3">
        <v>185</v>
      </c>
      <c r="AH92" s="3" t="str">
        <f>IFERROR(MID(VLOOKUP($B92,Seqs!$A:$B,2,0),AI92,1),"")</f>
        <v>I</v>
      </c>
      <c r="AI92" s="3">
        <v>187</v>
      </c>
      <c r="AJ92" s="3" t="str">
        <f>IFERROR(MID(VLOOKUP($B92,Seqs!$A:$B,2,0),AK92,1),"")</f>
        <v>N</v>
      </c>
      <c r="AK92" s="3">
        <v>192</v>
      </c>
      <c r="AL92" s="3" t="str">
        <f>IFERROR(MID(VLOOKUP($B92,Seqs!$A:$B,2,0),AM92,1),"")</f>
        <v>L</v>
      </c>
      <c r="AM92" s="3">
        <v>220</v>
      </c>
      <c r="AN92" s="3" t="str">
        <f>IFERROR(MID(VLOOKUP($B92,Seqs!$A:$B,2,0),AO92,1),"")</f>
        <v>R</v>
      </c>
      <c r="AO92" s="3">
        <v>396</v>
      </c>
      <c r="AP92" s="3" t="str">
        <f>IFERROR(MID(VLOOKUP($B92,Seqs!$A:$B,2,0),AQ92,1),"")</f>
        <v>C</v>
      </c>
      <c r="AQ92" s="3">
        <v>426</v>
      </c>
      <c r="AR92" s="3" t="str">
        <f>IFERROR(MID(VLOOKUP($B92,Seqs!$A:$B,2,0),AS92,1),"")</f>
        <v>P</v>
      </c>
      <c r="AS92" s="3">
        <v>431</v>
      </c>
      <c r="AT92" s="3" t="str">
        <f>IFERROR(MID(VLOOKUP($B92,Seqs!$A:$B,2,0),AU92,1),"")</f>
        <v>C</v>
      </c>
      <c r="AU92" s="3">
        <v>456</v>
      </c>
      <c r="AV92" s="3" t="str">
        <f>IFERROR(MID(VLOOKUP($B92,Seqs!$A:$B,2,0),AW92,1),"")</f>
        <v>N</v>
      </c>
      <c r="AW92" s="3">
        <v>457</v>
      </c>
      <c r="AX92" s="3" t="str">
        <f>IFERROR(MID(VLOOKUP($B92,Seqs!$A:$B,2,0),AY92,1),"")</f>
        <v>L</v>
      </c>
      <c r="AY92" s="3">
        <v>469</v>
      </c>
      <c r="AZ92" s="77" t="str">
        <f>VLOOKUP(B92,Classification!A:D,2,0)</f>
        <v>A</v>
      </c>
      <c r="BA92" s="94" t="str">
        <f>VLOOKUP(B92,Classification!A:D,4,0)</f>
        <v>Acetylcholine(muscarinic)</v>
      </c>
      <c r="BB92" s="27" t="b">
        <f t="shared" si="504"/>
        <v>1</v>
      </c>
      <c r="BC92" s="23">
        <f t="shared" si="225"/>
        <v>252</v>
      </c>
      <c r="BD92" s="2" t="s">
        <v>1376</v>
      </c>
      <c r="BE92" s="3" t="s">
        <v>1374</v>
      </c>
      <c r="BF92" s="118">
        <v>2.6</v>
      </c>
      <c r="BG92" s="49" t="s">
        <v>1377</v>
      </c>
      <c r="BH92" s="49" t="s">
        <v>1377</v>
      </c>
      <c r="BI92" s="1"/>
      <c r="BJ92" s="70" t="s">
        <v>1287</v>
      </c>
      <c r="BK92" s="57" t="s">
        <v>1287</v>
      </c>
      <c r="BL92" s="57" t="s">
        <v>1287</v>
      </c>
      <c r="BM92" s="57" t="s">
        <v>1287</v>
      </c>
      <c r="BN92" s="57" t="s">
        <v>1287</v>
      </c>
      <c r="BO92" s="57" t="s">
        <v>1287</v>
      </c>
      <c r="BP92" s="57" t="s">
        <v>1287</v>
      </c>
      <c r="BQ92" s="57" t="s">
        <v>1287</v>
      </c>
      <c r="BR92" s="57" t="s">
        <v>1287</v>
      </c>
      <c r="BS92" s="57" t="s">
        <v>1287</v>
      </c>
      <c r="BT92" s="57" t="s">
        <v>1287</v>
      </c>
      <c r="BU92" s="57" t="s">
        <v>1287</v>
      </c>
      <c r="BV92" s="70">
        <f t="shared" si="226"/>
        <v>26</v>
      </c>
      <c r="BW92" s="71">
        <f t="shared" si="227"/>
        <v>61</v>
      </c>
      <c r="BX92" s="72">
        <f t="shared" si="228"/>
        <v>65</v>
      </c>
      <c r="BY92" s="71">
        <f t="shared" si="229"/>
        <v>97</v>
      </c>
      <c r="BZ92" s="72">
        <f t="shared" si="230"/>
        <v>101</v>
      </c>
      <c r="CA92" s="71">
        <f t="shared" si="231"/>
        <v>137</v>
      </c>
      <c r="CB92" s="72">
        <f t="shared" si="232"/>
        <v>145</v>
      </c>
      <c r="CC92" s="71">
        <f t="shared" si="233"/>
        <v>185</v>
      </c>
      <c r="CD92" s="72">
        <f t="shared" si="234"/>
        <v>192</v>
      </c>
      <c r="CE92" s="71">
        <f t="shared" si="235"/>
        <v>396</v>
      </c>
      <c r="CF92" s="72">
        <f t="shared" si="236"/>
        <v>431</v>
      </c>
      <c r="CG92" s="71">
        <f t="shared" si="237"/>
        <v>457</v>
      </c>
      <c r="CH92" s="70">
        <f t="shared" si="238"/>
        <v>60</v>
      </c>
      <c r="CI92" s="71">
        <f t="shared" si="239"/>
        <v>64</v>
      </c>
      <c r="CJ92" s="72">
        <f t="shared" si="240"/>
        <v>95</v>
      </c>
      <c r="CK92" s="72">
        <f t="shared" si="241"/>
        <v>100</v>
      </c>
      <c r="CL92" s="72">
        <f t="shared" si="242"/>
        <v>136</v>
      </c>
      <c r="CM92" s="72">
        <f t="shared" si="243"/>
        <v>144</v>
      </c>
      <c r="CN92" s="72">
        <f t="shared" si="244"/>
        <v>176</v>
      </c>
      <c r="CO92" s="72">
        <f t="shared" si="245"/>
        <v>187</v>
      </c>
      <c r="CP92" s="72">
        <f t="shared" si="246"/>
        <v>220</v>
      </c>
      <c r="CQ92" s="72">
        <f t="shared" si="247"/>
        <v>426</v>
      </c>
      <c r="CR92" s="72">
        <f t="shared" si="248"/>
        <v>456</v>
      </c>
      <c r="CS92" s="72">
        <f t="shared" si="249"/>
        <v>469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s="12" customFormat="1" x14ac:dyDescent="0.2">
      <c r="A93" s="9" t="str">
        <f t="shared" ref="A93:A94" si="701">CONCATENATE(B93,"_",C93)</f>
        <v>acm5_human__wt</v>
      </c>
      <c r="B93" s="9" t="s">
        <v>150</v>
      </c>
      <c r="C93" s="9" t="s">
        <v>100</v>
      </c>
      <c r="D93" s="9" t="str">
        <f>IFERROR(MID(VLOOKUP($B93,Seqs!$A:$B,2,0),E93,1),"")</f>
        <v>R</v>
      </c>
      <c r="E93" s="9">
        <v>26</v>
      </c>
      <c r="F93" s="9" t="str">
        <f>IFERROR(MID(VLOOKUP($B93,Seqs!$A:$B,2,0),G93,1),"")</f>
        <v>N</v>
      </c>
      <c r="G93" s="9">
        <v>58</v>
      </c>
      <c r="H93" s="9" t="str">
        <f>IFERROR(MID(VLOOKUP($B93,Seqs!$A:$B,2,0),I93,1),"")</f>
        <v>S</v>
      </c>
      <c r="I93" s="109">
        <v>59</v>
      </c>
      <c r="J93" s="9" t="str">
        <f>IFERROR(MID(VLOOKUP($B93,Seqs!$A:$B,2,0),K93,1),"")</f>
        <v>K</v>
      </c>
      <c r="K93" s="109">
        <v>62</v>
      </c>
      <c r="L93" s="9" t="str">
        <f>IFERROR(MID(VLOOKUP($B93,Seqs!$A:$B,2,0),M93,1),"")</f>
        <v>T</v>
      </c>
      <c r="M93" s="9">
        <v>63</v>
      </c>
      <c r="N93" s="9" t="str">
        <f>IFERROR(MID(VLOOKUP($B93,Seqs!$A:$B,2,0),O93,1),"")</f>
        <v>G</v>
      </c>
      <c r="O93" s="9">
        <v>94</v>
      </c>
      <c r="P93" s="9" t="str">
        <f>IFERROR(MID(VLOOKUP($B93,Seqs!$A:$B,2,0),Q93,1),"")</f>
        <v>R</v>
      </c>
      <c r="Q93" s="9">
        <v>95</v>
      </c>
      <c r="R93" s="9" t="str">
        <f>IFERROR(MID(VLOOKUP($B93,Seqs!$A:$B,2,0),S93,1),"")</f>
        <v>L</v>
      </c>
      <c r="S93" s="9">
        <v>98</v>
      </c>
      <c r="T93" s="9" t="str">
        <f>IFERROR(MID(VLOOKUP($B93,Seqs!$A:$B,2,0),U93,1),"")</f>
        <v>G</v>
      </c>
      <c r="U93" s="9">
        <v>99</v>
      </c>
      <c r="V93" s="9" t="str">
        <f>IFERROR(MID(VLOOKUP($B93,Seqs!$A:$B,2,0),W93,1),"")</f>
        <v>R</v>
      </c>
      <c r="W93" s="9">
        <v>134</v>
      </c>
      <c r="X93" s="9" t="str">
        <f>IFERROR(MID(VLOOKUP($B93,Seqs!$A:$B,2,0),Y93,1),"")</f>
        <v>P</v>
      </c>
      <c r="Y93" s="9">
        <v>135</v>
      </c>
      <c r="Z93" s="9" t="str">
        <f>IFERROR(MID(VLOOKUP($B93,Seqs!$A:$B,2,0),AA93,1),"")</f>
        <v>R</v>
      </c>
      <c r="AA93" s="9">
        <v>142</v>
      </c>
      <c r="AB93" s="9" t="str">
        <f>IFERROR(MID(VLOOKUP($B93,Seqs!$A:$B,2,0),AC93,1),"")</f>
        <v>T</v>
      </c>
      <c r="AC93" s="9">
        <v>143</v>
      </c>
      <c r="AD93" s="9" t="str">
        <f>IFERROR(MID(VLOOKUP($B93,Seqs!$A:$B,2,0),AE93,1),"")</f>
        <v>G</v>
      </c>
      <c r="AE93" s="9">
        <v>174</v>
      </c>
      <c r="AF93" s="9" t="str">
        <f>IFERROR(MID(VLOOKUP($B93,Seqs!$A:$B,2,0),AG93,1),"")</f>
        <v>C</v>
      </c>
      <c r="AG93" s="9">
        <v>183</v>
      </c>
      <c r="AH93" s="9" t="str">
        <f>IFERROR(MID(VLOOKUP($B93,Seqs!$A:$B,2,0),AI93,1),"")</f>
        <v>I</v>
      </c>
      <c r="AI93" s="9">
        <v>185</v>
      </c>
      <c r="AJ93" s="9" t="str">
        <f>IFERROR(MID(VLOOKUP($B93,Seqs!$A:$B,2,0),AK93,1),"")</f>
        <v>E</v>
      </c>
      <c r="AK93" s="9">
        <v>190</v>
      </c>
      <c r="AL93" s="9" t="str">
        <f>IFERROR(MID(VLOOKUP($B93,Seqs!$A:$B,2,0),AM93,1),"")</f>
        <v>L</v>
      </c>
      <c r="AM93" s="9">
        <v>230</v>
      </c>
      <c r="AN93" s="9" t="str">
        <f>IFERROR(MID(VLOOKUP($B93,Seqs!$A:$B,2,0),AO93,1),"")</f>
        <v>R</v>
      </c>
      <c r="AO93" s="9">
        <v>431</v>
      </c>
      <c r="AP93" s="9" t="str">
        <f>IFERROR(MID(VLOOKUP($B93,Seqs!$A:$B,2,0),AQ93,1),"")</f>
        <v>C</v>
      </c>
      <c r="AQ93" s="9">
        <v>468</v>
      </c>
      <c r="AR93" s="9" t="str">
        <f>IFERROR(MID(VLOOKUP($B93,Seqs!$A:$B,2,0),AS93,1),"")</f>
        <v>P</v>
      </c>
      <c r="AS93" s="9">
        <v>473</v>
      </c>
      <c r="AT93" s="9" t="str">
        <f>IFERROR(MID(VLOOKUP($B93,Seqs!$A:$B,2,0),AU93,1),"")</f>
        <v>C</v>
      </c>
      <c r="AU93" s="9">
        <v>498</v>
      </c>
      <c r="AV93" s="9" t="str">
        <f>IFERROR(MID(VLOOKUP($B93,Seqs!$A:$B,2,0),AW93,1),"")</f>
        <v>N</v>
      </c>
      <c r="AW93" s="9">
        <v>499</v>
      </c>
      <c r="AX93" s="9" t="str">
        <f>IFERROR(MID(VLOOKUP($B93,Seqs!$A:$B,2,0),AY93,1),"")</f>
        <v>L</v>
      </c>
      <c r="AY93" s="9">
        <v>511</v>
      </c>
      <c r="AZ93" s="110" t="str">
        <f>VLOOKUP(B93,Classification!A:D,2,0)</f>
        <v>A</v>
      </c>
      <c r="BA93" s="98" t="str">
        <f>VLOOKUP(B93,Classification!A:D,4,0)</f>
        <v>Acetylcholine(muscarinic)</v>
      </c>
      <c r="BB93" s="36" t="b">
        <f t="shared" ref="BB93:BB94" si="702">AND(E93&lt;G93,OR(G93&lt;I93,I93="-"),OR(I93&lt;K93,I93="-"),OR(K93&lt;M93,K93="-"),M93&lt;O93,OR(O93&lt;Q93,Q93="-"),OR(Q93&lt;S93,Q93="-"),OR(S93&lt;U93,S93="-"),U93&lt;W93,OR(W93&lt;Y93,Y93="-"),OR(Y93&lt;AA93,Y93="-"),OR(AA93&lt;AC93,AA93="-"),AC93&lt;AE93,OR(AE93&lt;AG93,AG93="-"),OR(AG93&lt;AI93,AG93="-"),OR(AI93&lt;AK93,AI93="-"),AK93&lt;AM93,AM93&lt;AO93,AO93&lt;AQ93,AQ93&lt;AS93,AS93&lt;AU93,OR(AU93&lt;AW93,AW93="-"),OR(AW93&lt;AY93,AW93="-"))</f>
        <v>1</v>
      </c>
      <c r="BC93" s="109">
        <f t="shared" ref="BC93:BC94" si="703">_xlfn.AGGREGATE(9,6,CH93:CS93)-_xlfn.AGGREGATE(9,6,BV93:CG93)+12</f>
        <v>270</v>
      </c>
      <c r="BD93" s="40" t="s">
        <v>23</v>
      </c>
      <c r="BE93" s="9" t="s">
        <v>23</v>
      </c>
      <c r="BF93" s="119" t="s">
        <v>23</v>
      </c>
      <c r="BG93" s="51" t="s">
        <v>1377</v>
      </c>
      <c r="BH93" s="51" t="s">
        <v>1377</v>
      </c>
      <c r="BJ93" s="111" t="s">
        <v>1287</v>
      </c>
      <c r="BK93" s="112" t="s">
        <v>1287</v>
      </c>
      <c r="BL93" s="112" t="s">
        <v>1287</v>
      </c>
      <c r="BM93" s="112" t="s">
        <v>1287</v>
      </c>
      <c r="BN93" s="112" t="s">
        <v>1287</v>
      </c>
      <c r="BO93" s="112" t="s">
        <v>1287</v>
      </c>
      <c r="BP93" s="112" t="s">
        <v>1287</v>
      </c>
      <c r="BQ93" s="112" t="s">
        <v>1287</v>
      </c>
      <c r="BR93" s="112" t="s">
        <v>1287</v>
      </c>
      <c r="BS93" s="112" t="s">
        <v>1287</v>
      </c>
      <c r="BT93" s="112" t="s">
        <v>1287</v>
      </c>
      <c r="BU93" s="112" t="s">
        <v>1287</v>
      </c>
      <c r="BV93" s="111">
        <f t="shared" ref="BV93:BV94" si="704">E93</f>
        <v>26</v>
      </c>
      <c r="BW93" s="113">
        <f t="shared" ref="BW93:BW94" si="705">I93</f>
        <v>59</v>
      </c>
      <c r="BX93" s="114">
        <f t="shared" ref="BX93:BX94" si="706">M93</f>
        <v>63</v>
      </c>
      <c r="BY93" s="113">
        <f t="shared" ref="BY93:BY94" si="707">Q93</f>
        <v>95</v>
      </c>
      <c r="BZ93" s="114">
        <f t="shared" ref="BZ93:BZ94" si="708">U93</f>
        <v>99</v>
      </c>
      <c r="CA93" s="113">
        <f t="shared" ref="CA93:CA94" si="709">Y93</f>
        <v>135</v>
      </c>
      <c r="CB93" s="114">
        <f t="shared" ref="CB93:CB94" si="710">AC93</f>
        <v>143</v>
      </c>
      <c r="CC93" s="113">
        <f t="shared" ref="CC93:CC94" si="711">AG93</f>
        <v>183</v>
      </c>
      <c r="CD93" s="114">
        <f t="shared" ref="CD93:CD94" si="712">AK93</f>
        <v>190</v>
      </c>
      <c r="CE93" s="113">
        <f t="shared" ref="CE93:CE94" si="713">AO93</f>
        <v>431</v>
      </c>
      <c r="CF93" s="114">
        <f t="shared" ref="CF93:CF94" si="714">AS93</f>
        <v>473</v>
      </c>
      <c r="CG93" s="113">
        <f t="shared" ref="CG93:CG94" si="715">AW93</f>
        <v>499</v>
      </c>
      <c r="CH93" s="111">
        <f t="shared" ref="CH93:CH94" si="716">G93</f>
        <v>58</v>
      </c>
      <c r="CI93" s="113">
        <f t="shared" ref="CI93:CI94" si="717">K93</f>
        <v>62</v>
      </c>
      <c r="CJ93" s="114">
        <f t="shared" ref="CJ93:CJ94" si="718">O93</f>
        <v>94</v>
      </c>
      <c r="CK93" s="114">
        <f t="shared" ref="CK93:CK94" si="719">S93</f>
        <v>98</v>
      </c>
      <c r="CL93" s="114">
        <f t="shared" ref="CL93:CL94" si="720">W93</f>
        <v>134</v>
      </c>
      <c r="CM93" s="114">
        <f t="shared" ref="CM93:CM94" si="721">AA93</f>
        <v>142</v>
      </c>
      <c r="CN93" s="114">
        <f t="shared" ref="CN93:CN94" si="722">AE93</f>
        <v>174</v>
      </c>
      <c r="CO93" s="114">
        <f t="shared" ref="CO93:CO94" si="723">AI93</f>
        <v>185</v>
      </c>
      <c r="CP93" s="114">
        <f t="shared" ref="CP93:CP94" si="724">AM93</f>
        <v>230</v>
      </c>
      <c r="CQ93" s="114">
        <f t="shared" ref="CQ93:CQ94" si="725">AQ93</f>
        <v>468</v>
      </c>
      <c r="CR93" s="114">
        <f t="shared" ref="CR93:CR94" si="726">AU93</f>
        <v>498</v>
      </c>
      <c r="CS93" s="114">
        <f t="shared" ref="CS93:CS94" si="727">AY93</f>
        <v>511</v>
      </c>
      <c r="CT93" s="109">
        <f t="shared" ref="CT93:CT94" si="728">M93-K93</f>
        <v>1</v>
      </c>
    </row>
    <row r="94" spans="1:1029" s="12" customFormat="1" x14ac:dyDescent="0.2">
      <c r="A94" s="9" t="str">
        <f t="shared" si="701"/>
        <v>acm5_human_6OL9</v>
      </c>
      <c r="B94" s="9" t="s">
        <v>150</v>
      </c>
      <c r="C94" s="9" t="s">
        <v>1623</v>
      </c>
      <c r="D94" s="9" t="str">
        <f>IFERROR(MID(VLOOKUP($B94,Seqs!$A:$B,2,0),E94,1),"")</f>
        <v>R</v>
      </c>
      <c r="E94" s="9">
        <v>26</v>
      </c>
      <c r="F94" s="9" t="str">
        <f>IFERROR(MID(VLOOKUP($B94,Seqs!$A:$B,2,0),G94,1),"")</f>
        <v>N</v>
      </c>
      <c r="G94" s="9">
        <v>58</v>
      </c>
      <c r="H94" s="9" t="str">
        <f>IFERROR(MID(VLOOKUP($B94,Seqs!$A:$B,2,0),I94,1),"")</f>
        <v>S</v>
      </c>
      <c r="I94" s="109">
        <v>59</v>
      </c>
      <c r="J94" s="9" t="str">
        <f>IFERROR(MID(VLOOKUP($B94,Seqs!$A:$B,2,0),K94,1),"")</f>
        <v>K</v>
      </c>
      <c r="K94" s="109">
        <v>62</v>
      </c>
      <c r="L94" s="9" t="str">
        <f>IFERROR(MID(VLOOKUP($B94,Seqs!$A:$B,2,0),M94,1),"")</f>
        <v>T</v>
      </c>
      <c r="M94" s="9">
        <v>63</v>
      </c>
      <c r="N94" s="9" t="str">
        <f>IFERROR(MID(VLOOKUP($B94,Seqs!$A:$B,2,0),O94,1),"")</f>
        <v>G</v>
      </c>
      <c r="O94" s="9">
        <v>94</v>
      </c>
      <c r="P94" s="9" t="str">
        <f>IFERROR(MID(VLOOKUP($B94,Seqs!$A:$B,2,0),Q94,1),"")</f>
        <v>R</v>
      </c>
      <c r="Q94" s="9">
        <v>95</v>
      </c>
      <c r="R94" s="9" t="str">
        <f>IFERROR(MID(VLOOKUP($B94,Seqs!$A:$B,2,0),S94,1),"")</f>
        <v>L</v>
      </c>
      <c r="S94" s="9">
        <v>98</v>
      </c>
      <c r="T94" s="9" t="str">
        <f>IFERROR(MID(VLOOKUP($B94,Seqs!$A:$B,2,0),U94,1),"")</f>
        <v>G</v>
      </c>
      <c r="U94" s="9">
        <v>99</v>
      </c>
      <c r="V94" s="9" t="str">
        <f>IFERROR(MID(VLOOKUP($B94,Seqs!$A:$B,2,0),W94,1),"")</f>
        <v>R</v>
      </c>
      <c r="W94" s="9">
        <v>134</v>
      </c>
      <c r="X94" s="9" t="str">
        <f>IFERROR(MID(VLOOKUP($B94,Seqs!$A:$B,2,0),Y94,1),"")</f>
        <v>P</v>
      </c>
      <c r="Y94" s="9">
        <v>135</v>
      </c>
      <c r="Z94" s="9" t="str">
        <f>IFERROR(MID(VLOOKUP($B94,Seqs!$A:$B,2,0),AA94,1),"")</f>
        <v>R</v>
      </c>
      <c r="AA94" s="9">
        <v>142</v>
      </c>
      <c r="AB94" s="9" t="str">
        <f>IFERROR(MID(VLOOKUP($B94,Seqs!$A:$B,2,0),AC94,1),"")</f>
        <v>T</v>
      </c>
      <c r="AC94" s="9">
        <v>143</v>
      </c>
      <c r="AD94" s="9" t="str">
        <f>IFERROR(MID(VLOOKUP($B94,Seqs!$A:$B,2,0),AE94,1),"")</f>
        <v>G</v>
      </c>
      <c r="AE94" s="9">
        <v>174</v>
      </c>
      <c r="AF94" s="9" t="str">
        <f>IFERROR(MID(VLOOKUP($B94,Seqs!$A:$B,2,0),AG94,1),"")</f>
        <v>C</v>
      </c>
      <c r="AG94" s="9">
        <v>183</v>
      </c>
      <c r="AH94" s="9" t="str">
        <f>IFERROR(MID(VLOOKUP($B94,Seqs!$A:$B,2,0),AI94,1),"")</f>
        <v>I</v>
      </c>
      <c r="AI94" s="9">
        <v>185</v>
      </c>
      <c r="AJ94" s="9" t="str">
        <f>IFERROR(MID(VLOOKUP($B94,Seqs!$A:$B,2,0),AK94,1),"")</f>
        <v>E</v>
      </c>
      <c r="AK94" s="9">
        <v>190</v>
      </c>
      <c r="AL94" s="9" t="str">
        <f>IFERROR(MID(VLOOKUP($B94,Seqs!$A:$B,2,0),AM94,1),"")</f>
        <v>T</v>
      </c>
      <c r="AM94" s="9">
        <v>220</v>
      </c>
      <c r="AN94" s="9" t="str">
        <f>IFERROR(MID(VLOOKUP($B94,Seqs!$A:$B,2,0),AO94,1),"")</f>
        <v>R</v>
      </c>
      <c r="AO94" s="9">
        <v>431</v>
      </c>
      <c r="AP94" s="9" t="str">
        <f>IFERROR(MID(VLOOKUP($B94,Seqs!$A:$B,2,0),AQ94,1),"")</f>
        <v>C</v>
      </c>
      <c r="AQ94" s="9">
        <v>468</v>
      </c>
      <c r="AR94" s="9" t="str">
        <f>IFERROR(MID(VLOOKUP($B94,Seqs!$A:$B,2,0),AS94,1),"")</f>
        <v>P</v>
      </c>
      <c r="AS94" s="9">
        <v>473</v>
      </c>
      <c r="AT94" s="9" t="str">
        <f>IFERROR(MID(VLOOKUP($B94,Seqs!$A:$B,2,0),AU94,1),"")</f>
        <v>C</v>
      </c>
      <c r="AU94" s="9">
        <v>498</v>
      </c>
      <c r="AV94" s="9" t="str">
        <f>IFERROR(MID(VLOOKUP($B94,Seqs!$A:$B,2,0),AW94,1),"")</f>
        <v>N</v>
      </c>
      <c r="AW94" s="9">
        <v>499</v>
      </c>
      <c r="AX94" s="9" t="str">
        <f>IFERROR(MID(VLOOKUP($B94,Seqs!$A:$B,2,0),AY94,1),"")</f>
        <v>L</v>
      </c>
      <c r="AY94" s="9">
        <v>511</v>
      </c>
      <c r="AZ94" s="110" t="str">
        <f>VLOOKUP(B94,Classification!A:D,2,0)</f>
        <v>A</v>
      </c>
      <c r="BA94" s="98" t="str">
        <f>VLOOKUP(B94,Classification!A:D,4,0)</f>
        <v>Acetylcholine(muscarinic)</v>
      </c>
      <c r="BB94" s="36" t="b">
        <f t="shared" si="702"/>
        <v>1</v>
      </c>
      <c r="BC94" s="109">
        <f t="shared" si="703"/>
        <v>260</v>
      </c>
      <c r="BD94" s="40" t="s">
        <v>1376</v>
      </c>
      <c r="BE94" s="9" t="s">
        <v>1374</v>
      </c>
      <c r="BF94" s="119">
        <v>2.54</v>
      </c>
      <c r="BG94" s="51" t="s">
        <v>1</v>
      </c>
      <c r="BH94" s="51" t="s">
        <v>1</v>
      </c>
      <c r="BJ94" s="111" t="s">
        <v>1287</v>
      </c>
      <c r="BK94" s="112" t="s">
        <v>1287</v>
      </c>
      <c r="BL94" s="112" t="s">
        <v>1287</v>
      </c>
      <c r="BM94" s="112" t="s">
        <v>1287</v>
      </c>
      <c r="BN94" s="112" t="s">
        <v>1287</v>
      </c>
      <c r="BO94" s="112" t="s">
        <v>1287</v>
      </c>
      <c r="BP94" s="112" t="s">
        <v>1287</v>
      </c>
      <c r="BQ94" s="112" t="s">
        <v>1287</v>
      </c>
      <c r="BR94" s="112" t="s">
        <v>1287</v>
      </c>
      <c r="BS94" s="112" t="s">
        <v>1287</v>
      </c>
      <c r="BT94" s="112" t="s">
        <v>1287</v>
      </c>
      <c r="BU94" s="112" t="s">
        <v>1287</v>
      </c>
      <c r="BV94" s="111">
        <f t="shared" si="704"/>
        <v>26</v>
      </c>
      <c r="BW94" s="113">
        <f t="shared" si="705"/>
        <v>59</v>
      </c>
      <c r="BX94" s="114">
        <f t="shared" si="706"/>
        <v>63</v>
      </c>
      <c r="BY94" s="113">
        <f t="shared" si="707"/>
        <v>95</v>
      </c>
      <c r="BZ94" s="114">
        <f t="shared" si="708"/>
        <v>99</v>
      </c>
      <c r="CA94" s="113">
        <f t="shared" si="709"/>
        <v>135</v>
      </c>
      <c r="CB94" s="114">
        <f t="shared" si="710"/>
        <v>143</v>
      </c>
      <c r="CC94" s="113">
        <f t="shared" si="711"/>
        <v>183</v>
      </c>
      <c r="CD94" s="114">
        <f t="shared" si="712"/>
        <v>190</v>
      </c>
      <c r="CE94" s="113">
        <f t="shared" si="713"/>
        <v>431</v>
      </c>
      <c r="CF94" s="114">
        <f t="shared" si="714"/>
        <v>473</v>
      </c>
      <c r="CG94" s="113">
        <f t="shared" si="715"/>
        <v>499</v>
      </c>
      <c r="CH94" s="111">
        <f t="shared" si="716"/>
        <v>58</v>
      </c>
      <c r="CI94" s="113">
        <f t="shared" si="717"/>
        <v>62</v>
      </c>
      <c r="CJ94" s="114">
        <f t="shared" si="718"/>
        <v>94</v>
      </c>
      <c r="CK94" s="114">
        <f t="shared" si="719"/>
        <v>98</v>
      </c>
      <c r="CL94" s="114">
        <f t="shared" si="720"/>
        <v>134</v>
      </c>
      <c r="CM94" s="114">
        <f t="shared" si="721"/>
        <v>142</v>
      </c>
      <c r="CN94" s="114">
        <f t="shared" si="722"/>
        <v>174</v>
      </c>
      <c r="CO94" s="114">
        <f t="shared" si="723"/>
        <v>185</v>
      </c>
      <c r="CP94" s="114">
        <f t="shared" si="724"/>
        <v>220</v>
      </c>
      <c r="CQ94" s="114">
        <f t="shared" si="725"/>
        <v>468</v>
      </c>
      <c r="CR94" s="114">
        <f t="shared" si="726"/>
        <v>498</v>
      </c>
      <c r="CS94" s="114">
        <f t="shared" si="727"/>
        <v>511</v>
      </c>
      <c r="CT94" s="109">
        <f t="shared" si="728"/>
        <v>1</v>
      </c>
    </row>
    <row r="95" spans="1:1029" x14ac:dyDescent="0.2">
      <c r="A95" s="3" t="str">
        <f t="shared" si="503"/>
        <v>adrb1_melga__wt</v>
      </c>
      <c r="B95" s="3" t="s">
        <v>911</v>
      </c>
      <c r="C95" s="3" t="s">
        <v>100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E</v>
      </c>
      <c r="AM95" s="3">
        <v>245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504"/>
        <v>1</v>
      </c>
      <c r="BC95" s="23">
        <f t="shared" si="225"/>
        <v>272</v>
      </c>
      <c r="BD95" s="34" t="s">
        <v>23</v>
      </c>
      <c r="BE95" s="3" t="s">
        <v>23</v>
      </c>
      <c r="BF95" s="118" t="s">
        <v>23</v>
      </c>
      <c r="BG95" s="49" t="s">
        <v>1372</v>
      </c>
      <c r="BH95" s="49" t="s">
        <v>1377</v>
      </c>
      <c r="BI95" s="3" t="s">
        <v>1165</v>
      </c>
      <c r="BJ95" s="70" t="s">
        <v>1287</v>
      </c>
      <c r="BK95" s="57" t="s">
        <v>1287</v>
      </c>
      <c r="BL95" s="57" t="s">
        <v>1287</v>
      </c>
      <c r="BM95" s="57" t="s">
        <v>1287</v>
      </c>
      <c r="BN95" s="57" t="s">
        <v>1287</v>
      </c>
      <c r="BO95" s="57" t="s">
        <v>1287</v>
      </c>
      <c r="BP95" s="57" t="s">
        <v>1287</v>
      </c>
      <c r="BQ95" s="57" t="s">
        <v>1287</v>
      </c>
      <c r="BR95" s="57" t="s">
        <v>1287</v>
      </c>
      <c r="BS95" s="57" t="s">
        <v>1287</v>
      </c>
      <c r="BT95" s="57" t="s">
        <v>1287</v>
      </c>
      <c r="BU95" s="57" t="s">
        <v>1287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245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503"/>
        <v>adrb1_melga_2Y00</v>
      </c>
      <c r="B96" s="3" t="s">
        <v>911</v>
      </c>
      <c r="C96" s="3" t="s">
        <v>1022</v>
      </c>
      <c r="D96" s="3" t="str">
        <f>IFERROR(MID(VLOOKUP($B96,Seqs!$A:$B,2,0),E96,1),"")</f>
        <v>A</v>
      </c>
      <c r="E96" s="3">
        <v>33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I</v>
      </c>
      <c r="AM96" s="3">
        <v>238</v>
      </c>
      <c r="AN96" s="3" t="str">
        <f>IFERROR(MID(VLOOKUP($B96,Seqs!$A:$B,2,0),AO96,1),"")</f>
        <v>R</v>
      </c>
      <c r="AO96" s="3">
        <v>275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504"/>
        <v>1</v>
      </c>
      <c r="BC96" s="23">
        <f t="shared" si="225"/>
        <v>265</v>
      </c>
      <c r="BD96" s="4" t="s">
        <v>23</v>
      </c>
      <c r="BE96" s="3" t="s">
        <v>1374</v>
      </c>
      <c r="BF96" s="118">
        <v>2.5</v>
      </c>
      <c r="BG96" s="49" t="s">
        <v>1377</v>
      </c>
      <c r="BH96" s="49" t="s">
        <v>1377</v>
      </c>
      <c r="BI96" s="1"/>
      <c r="BJ96" s="70" t="s">
        <v>1287</v>
      </c>
      <c r="BK96" s="57" t="s">
        <v>1287</v>
      </c>
      <c r="BL96" s="57" t="s">
        <v>1287</v>
      </c>
      <c r="BM96" s="57" t="s">
        <v>1287</v>
      </c>
      <c r="BN96" s="57" t="s">
        <v>1287</v>
      </c>
      <c r="BO96" s="57" t="s">
        <v>1287</v>
      </c>
      <c r="BP96" s="57" t="s">
        <v>1287</v>
      </c>
      <c r="BQ96" s="57" t="s">
        <v>1287</v>
      </c>
      <c r="BR96" s="57" t="s">
        <v>1287</v>
      </c>
      <c r="BS96" s="57" t="s">
        <v>1287</v>
      </c>
      <c r="BT96" s="57" t="s">
        <v>1287</v>
      </c>
      <c r="BU96" s="57" t="s">
        <v>1287</v>
      </c>
      <c r="BV96" s="70">
        <f t="shared" si="226"/>
        <v>33</v>
      </c>
      <c r="BW96" s="71">
        <f t="shared" si="227"/>
        <v>70</v>
      </c>
      <c r="BX96" s="72">
        <f t="shared" si="228"/>
        <v>74</v>
      </c>
      <c r="BY96" s="71">
        <f t="shared" si="229"/>
        <v>106</v>
      </c>
      <c r="BZ96" s="72">
        <f t="shared" si="230"/>
        <v>110</v>
      </c>
      <c r="CA96" s="71">
        <f t="shared" si="231"/>
        <v>146</v>
      </c>
      <c r="CB96" s="72">
        <f t="shared" si="232"/>
        <v>154</v>
      </c>
      <c r="CC96" s="71">
        <f t="shared" si="233"/>
        <v>199</v>
      </c>
      <c r="CD96" s="72">
        <f t="shared" si="234"/>
        <v>204</v>
      </c>
      <c r="CE96" s="71">
        <f t="shared" si="235"/>
        <v>275</v>
      </c>
      <c r="CF96" s="72">
        <f t="shared" si="236"/>
        <v>321</v>
      </c>
      <c r="CG96" s="71">
        <f t="shared" si="237"/>
        <v>346</v>
      </c>
      <c r="CH96" s="70">
        <f t="shared" si="238"/>
        <v>69</v>
      </c>
      <c r="CI96" s="71">
        <f t="shared" si="239"/>
        <v>73</v>
      </c>
      <c r="CJ96" s="72">
        <f t="shared" si="240"/>
        <v>104</v>
      </c>
      <c r="CK96" s="72">
        <f t="shared" si="241"/>
        <v>109</v>
      </c>
      <c r="CL96" s="72">
        <f t="shared" si="242"/>
        <v>145</v>
      </c>
      <c r="CM96" s="72">
        <f t="shared" si="243"/>
        <v>153</v>
      </c>
      <c r="CN96" s="72">
        <f t="shared" si="244"/>
        <v>180</v>
      </c>
      <c r="CO96" s="72">
        <f t="shared" si="245"/>
        <v>201</v>
      </c>
      <c r="CP96" s="72">
        <f t="shared" si="246"/>
        <v>238</v>
      </c>
      <c r="CQ96" s="72">
        <f t="shared" si="247"/>
        <v>316</v>
      </c>
      <c r="CR96" s="72">
        <f t="shared" si="248"/>
        <v>345</v>
      </c>
      <c r="CS96" s="72">
        <f t="shared" si="249"/>
        <v>358</v>
      </c>
      <c r="CT96" s="23">
        <f t="shared" si="250"/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503"/>
        <v>adrb1_melga_2Y02</v>
      </c>
      <c r="B97" s="3" t="s">
        <v>911</v>
      </c>
      <c r="C97" s="3" t="s">
        <v>1023</v>
      </c>
      <c r="D97" s="3" t="str">
        <f>IFERROR(MID(VLOOKUP($B97,Seqs!$A:$B,2,0),E97,1),"")</f>
        <v>A</v>
      </c>
      <c r="E97" s="3">
        <v>33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I</v>
      </c>
      <c r="AM97" s="3">
        <v>238</v>
      </c>
      <c r="AN97" s="3" t="str">
        <f>IFERROR(MID(VLOOKUP($B97,Seqs!$A:$B,2,0),AO97,1),"")</f>
        <v>R</v>
      </c>
      <c r="AO97" s="3">
        <v>275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C</v>
      </c>
      <c r="AY97" s="3">
        <v>358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504"/>
        <v>1</v>
      </c>
      <c r="BC97" s="23">
        <f t="shared" si="225"/>
        <v>265</v>
      </c>
      <c r="BD97" s="4" t="s">
        <v>23</v>
      </c>
      <c r="BE97" s="3" t="s">
        <v>1374</v>
      </c>
      <c r="BF97" s="118">
        <v>2.6</v>
      </c>
      <c r="BG97" s="49" t="s">
        <v>1377</v>
      </c>
      <c r="BH97" s="49" t="s">
        <v>1377</v>
      </c>
      <c r="BI97" s="1"/>
      <c r="BJ97" s="70" t="s">
        <v>1287</v>
      </c>
      <c r="BK97" s="57" t="s">
        <v>1287</v>
      </c>
      <c r="BL97" s="57" t="s">
        <v>1287</v>
      </c>
      <c r="BM97" s="57" t="s">
        <v>1287</v>
      </c>
      <c r="BN97" s="57" t="s">
        <v>1287</v>
      </c>
      <c r="BO97" s="57" t="s">
        <v>1287</v>
      </c>
      <c r="BP97" s="57" t="s">
        <v>1287</v>
      </c>
      <c r="BQ97" s="57" t="s">
        <v>1287</v>
      </c>
      <c r="BR97" s="57" t="s">
        <v>1287</v>
      </c>
      <c r="BS97" s="57" t="s">
        <v>1287</v>
      </c>
      <c r="BT97" s="57" t="s">
        <v>1287</v>
      </c>
      <c r="BU97" s="57" t="s">
        <v>1287</v>
      </c>
      <c r="BV97" s="70">
        <f t="shared" si="226"/>
        <v>33</v>
      </c>
      <c r="BW97" s="71">
        <f t="shared" si="227"/>
        <v>70</v>
      </c>
      <c r="BX97" s="72">
        <f t="shared" si="228"/>
        <v>74</v>
      </c>
      <c r="BY97" s="71">
        <f t="shared" si="229"/>
        <v>106</v>
      </c>
      <c r="BZ97" s="72">
        <f t="shared" si="230"/>
        <v>110</v>
      </c>
      <c r="CA97" s="71">
        <f t="shared" si="231"/>
        <v>146</v>
      </c>
      <c r="CB97" s="72">
        <f t="shared" si="232"/>
        <v>154</v>
      </c>
      <c r="CC97" s="71">
        <f t="shared" si="233"/>
        <v>199</v>
      </c>
      <c r="CD97" s="72">
        <f t="shared" si="234"/>
        <v>204</v>
      </c>
      <c r="CE97" s="71">
        <f t="shared" si="235"/>
        <v>275</v>
      </c>
      <c r="CF97" s="72">
        <f t="shared" si="236"/>
        <v>321</v>
      </c>
      <c r="CG97" s="71">
        <f t="shared" si="237"/>
        <v>346</v>
      </c>
      <c r="CH97" s="70">
        <f t="shared" si="238"/>
        <v>69</v>
      </c>
      <c r="CI97" s="71">
        <f t="shared" si="239"/>
        <v>73</v>
      </c>
      <c r="CJ97" s="72">
        <f t="shared" si="240"/>
        <v>104</v>
      </c>
      <c r="CK97" s="72">
        <f t="shared" si="241"/>
        <v>109</v>
      </c>
      <c r="CL97" s="72">
        <f t="shared" si="242"/>
        <v>145</v>
      </c>
      <c r="CM97" s="72">
        <f t="shared" si="243"/>
        <v>153</v>
      </c>
      <c r="CN97" s="72">
        <f t="shared" si="244"/>
        <v>180</v>
      </c>
      <c r="CO97" s="72">
        <f t="shared" si="245"/>
        <v>201</v>
      </c>
      <c r="CP97" s="72">
        <f t="shared" si="246"/>
        <v>238</v>
      </c>
      <c r="CQ97" s="72">
        <f t="shared" si="247"/>
        <v>316</v>
      </c>
      <c r="CR97" s="72">
        <f t="shared" si="248"/>
        <v>345</v>
      </c>
      <c r="CS97" s="72">
        <f t="shared" si="249"/>
        <v>358</v>
      </c>
      <c r="CT97" s="23">
        <f t="shared" si="250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503"/>
        <v>adrb1_melga_2Y03</v>
      </c>
      <c r="B98" s="3" t="s">
        <v>911</v>
      </c>
      <c r="C98" s="3" t="s">
        <v>1024</v>
      </c>
      <c r="D98" s="3" t="str">
        <f>IFERROR(MID(VLOOKUP($B98,Seqs!$A:$B,2,0),E98,1),"")</f>
        <v>A</v>
      </c>
      <c r="E98" s="3">
        <v>33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I</v>
      </c>
      <c r="AM98" s="3">
        <v>238</v>
      </c>
      <c r="AN98" s="3" t="str">
        <f>IFERROR(MID(VLOOKUP($B98,Seqs!$A:$B,2,0),AO98,1),"")</f>
        <v>R</v>
      </c>
      <c r="AO98" s="3">
        <v>275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C</v>
      </c>
      <c r="AY98" s="3">
        <v>358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504"/>
        <v>1</v>
      </c>
      <c r="BC98" s="23">
        <f t="shared" si="225"/>
        <v>265</v>
      </c>
      <c r="BD98" s="4" t="s">
        <v>23</v>
      </c>
      <c r="BE98" s="3" t="s">
        <v>1374</v>
      </c>
      <c r="BF98" s="118">
        <v>2.85</v>
      </c>
      <c r="BG98" s="49" t="s">
        <v>1377</v>
      </c>
      <c r="BH98" s="49" t="s">
        <v>1377</v>
      </c>
      <c r="BI98" s="1"/>
      <c r="BJ98" s="70" t="s">
        <v>1287</v>
      </c>
      <c r="BK98" s="57" t="s">
        <v>1287</v>
      </c>
      <c r="BL98" s="57" t="s">
        <v>1287</v>
      </c>
      <c r="BM98" s="57" t="s">
        <v>1287</v>
      </c>
      <c r="BN98" s="57" t="s">
        <v>1287</v>
      </c>
      <c r="BO98" s="57" t="s">
        <v>1287</v>
      </c>
      <c r="BP98" s="57" t="s">
        <v>1287</v>
      </c>
      <c r="BQ98" s="57" t="s">
        <v>1287</v>
      </c>
      <c r="BR98" s="57" t="s">
        <v>1287</v>
      </c>
      <c r="BS98" s="57" t="s">
        <v>1287</v>
      </c>
      <c r="BT98" s="57" t="s">
        <v>1287</v>
      </c>
      <c r="BU98" s="57" t="s">
        <v>1287</v>
      </c>
      <c r="BV98" s="70">
        <f t="shared" si="226"/>
        <v>33</v>
      </c>
      <c r="BW98" s="71">
        <f t="shared" si="227"/>
        <v>70</v>
      </c>
      <c r="BX98" s="72">
        <f t="shared" si="228"/>
        <v>74</v>
      </c>
      <c r="BY98" s="71">
        <f t="shared" si="229"/>
        <v>106</v>
      </c>
      <c r="BZ98" s="72">
        <f t="shared" si="230"/>
        <v>110</v>
      </c>
      <c r="CA98" s="71">
        <f t="shared" si="231"/>
        <v>146</v>
      </c>
      <c r="CB98" s="72">
        <f t="shared" si="232"/>
        <v>154</v>
      </c>
      <c r="CC98" s="71">
        <f t="shared" si="233"/>
        <v>199</v>
      </c>
      <c r="CD98" s="72">
        <f t="shared" si="234"/>
        <v>204</v>
      </c>
      <c r="CE98" s="71">
        <f t="shared" si="235"/>
        <v>275</v>
      </c>
      <c r="CF98" s="72">
        <f t="shared" si="236"/>
        <v>321</v>
      </c>
      <c r="CG98" s="71">
        <f t="shared" si="237"/>
        <v>346</v>
      </c>
      <c r="CH98" s="70">
        <f t="shared" si="238"/>
        <v>69</v>
      </c>
      <c r="CI98" s="71">
        <f t="shared" si="239"/>
        <v>73</v>
      </c>
      <c r="CJ98" s="72">
        <f t="shared" si="240"/>
        <v>104</v>
      </c>
      <c r="CK98" s="72">
        <f t="shared" si="241"/>
        <v>109</v>
      </c>
      <c r="CL98" s="72">
        <f t="shared" si="242"/>
        <v>145</v>
      </c>
      <c r="CM98" s="72">
        <f t="shared" si="243"/>
        <v>153</v>
      </c>
      <c r="CN98" s="72">
        <f t="shared" si="244"/>
        <v>180</v>
      </c>
      <c r="CO98" s="72">
        <f t="shared" si="245"/>
        <v>201</v>
      </c>
      <c r="CP98" s="72">
        <f t="shared" si="246"/>
        <v>238</v>
      </c>
      <c r="CQ98" s="72">
        <f t="shared" si="247"/>
        <v>316</v>
      </c>
      <c r="CR98" s="72">
        <f t="shared" si="248"/>
        <v>345</v>
      </c>
      <c r="CS98" s="72">
        <f t="shared" si="249"/>
        <v>358</v>
      </c>
      <c r="CT98" s="23">
        <f t="shared" si="250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503"/>
        <v>adrb1_melga_2Y04</v>
      </c>
      <c r="B99" s="3" t="s">
        <v>911</v>
      </c>
      <c r="C99" s="3" t="s">
        <v>1025</v>
      </c>
      <c r="D99" s="3" t="str">
        <f>IFERROR(MID(VLOOKUP($B99,Seqs!$A:$B,2,0),E99,1),"")</f>
        <v>A</v>
      </c>
      <c r="E99" s="3">
        <v>33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I</v>
      </c>
      <c r="AM99" s="3">
        <v>238</v>
      </c>
      <c r="AN99" s="3" t="str">
        <f>IFERROR(MID(VLOOKUP($B99,Seqs!$A:$B,2,0),AO99,1),"")</f>
        <v>R</v>
      </c>
      <c r="AO99" s="3">
        <v>275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504"/>
        <v>1</v>
      </c>
      <c r="BC99" s="23">
        <f t="shared" si="225"/>
        <v>265</v>
      </c>
      <c r="BD99" s="4" t="s">
        <v>23</v>
      </c>
      <c r="BE99" s="3" t="s">
        <v>1374</v>
      </c>
      <c r="BF99" s="118">
        <v>3.05</v>
      </c>
      <c r="BG99" s="49" t="s">
        <v>1377</v>
      </c>
      <c r="BH99" s="49" t="s">
        <v>1377</v>
      </c>
      <c r="BI99" s="1"/>
      <c r="BJ99" s="70" t="s">
        <v>1287</v>
      </c>
      <c r="BK99" s="57" t="s">
        <v>1287</v>
      </c>
      <c r="BL99" s="57" t="s">
        <v>1287</v>
      </c>
      <c r="BM99" s="57" t="s">
        <v>1287</v>
      </c>
      <c r="BN99" s="57" t="s">
        <v>1287</v>
      </c>
      <c r="BO99" s="57" t="s">
        <v>1287</v>
      </c>
      <c r="BP99" s="57" t="s">
        <v>1287</v>
      </c>
      <c r="BQ99" s="57" t="s">
        <v>1287</v>
      </c>
      <c r="BR99" s="57" t="s">
        <v>1287</v>
      </c>
      <c r="BS99" s="57" t="s">
        <v>1287</v>
      </c>
      <c r="BT99" s="57" t="s">
        <v>1287</v>
      </c>
      <c r="BU99" s="57" t="s">
        <v>1287</v>
      </c>
      <c r="BV99" s="70">
        <f t="shared" si="226"/>
        <v>33</v>
      </c>
      <c r="BW99" s="71">
        <f t="shared" si="227"/>
        <v>70</v>
      </c>
      <c r="BX99" s="72">
        <f t="shared" si="228"/>
        <v>74</v>
      </c>
      <c r="BY99" s="71">
        <f t="shared" si="229"/>
        <v>106</v>
      </c>
      <c r="BZ99" s="72">
        <f t="shared" si="230"/>
        <v>110</v>
      </c>
      <c r="CA99" s="71">
        <f t="shared" si="231"/>
        <v>146</v>
      </c>
      <c r="CB99" s="72">
        <f t="shared" si="232"/>
        <v>154</v>
      </c>
      <c r="CC99" s="71">
        <f t="shared" si="233"/>
        <v>199</v>
      </c>
      <c r="CD99" s="72">
        <f t="shared" si="234"/>
        <v>204</v>
      </c>
      <c r="CE99" s="71">
        <f t="shared" si="235"/>
        <v>275</v>
      </c>
      <c r="CF99" s="72">
        <f t="shared" si="236"/>
        <v>321</v>
      </c>
      <c r="CG99" s="71">
        <f t="shared" si="237"/>
        <v>346</v>
      </c>
      <c r="CH99" s="70">
        <f t="shared" si="238"/>
        <v>69</v>
      </c>
      <c r="CI99" s="71">
        <f t="shared" si="239"/>
        <v>73</v>
      </c>
      <c r="CJ99" s="72">
        <f t="shared" si="240"/>
        <v>104</v>
      </c>
      <c r="CK99" s="72">
        <f t="shared" si="241"/>
        <v>109</v>
      </c>
      <c r="CL99" s="72">
        <f t="shared" si="242"/>
        <v>145</v>
      </c>
      <c r="CM99" s="72">
        <f t="shared" si="243"/>
        <v>153</v>
      </c>
      <c r="CN99" s="72">
        <f t="shared" si="244"/>
        <v>180</v>
      </c>
      <c r="CO99" s="72">
        <f t="shared" si="245"/>
        <v>201</v>
      </c>
      <c r="CP99" s="72">
        <f t="shared" si="246"/>
        <v>238</v>
      </c>
      <c r="CQ99" s="72">
        <f t="shared" si="247"/>
        <v>316</v>
      </c>
      <c r="CR99" s="72">
        <f t="shared" si="248"/>
        <v>345</v>
      </c>
      <c r="CS99" s="72">
        <f t="shared" si="249"/>
        <v>358</v>
      </c>
      <c r="CT99" s="23">
        <f t="shared" si="250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x14ac:dyDescent="0.2">
      <c r="A100" s="3" t="str">
        <f t="shared" si="503"/>
        <v>adrb1_melga_2YCW</v>
      </c>
      <c r="B100" s="3" t="s">
        <v>911</v>
      </c>
      <c r="C100" s="3" t="s">
        <v>1026</v>
      </c>
      <c r="D100" s="3" t="str">
        <f>IFERROR(MID(VLOOKUP($B100,Seqs!$A:$B,2,0),E100,1),"")</f>
        <v>S</v>
      </c>
      <c r="E100" s="3">
        <v>37</v>
      </c>
      <c r="F100" s="3" t="str">
        <f>IFERROR(MID(VLOOKUP($B100,Seqs!$A:$B,2,0),G100,1),"")</f>
        <v>T</v>
      </c>
      <c r="G100" s="3">
        <v>69</v>
      </c>
      <c r="H100" s="3" t="str">
        <f>IFERROR(MID(VLOOKUP($B100,Seqs!$A:$B,2,0),I100,1),"")</f>
        <v>Q</v>
      </c>
      <c r="I100" s="23">
        <v>70</v>
      </c>
      <c r="J100" s="3" t="str">
        <f>IFERROR(MID(VLOOKUP($B100,Seqs!$A:$B,2,0),K100,1),"")</f>
        <v>Q</v>
      </c>
      <c r="K100" s="23">
        <v>73</v>
      </c>
      <c r="L100" s="3" t="str">
        <f>IFERROR(MID(VLOOKUP($B100,Seqs!$A:$B,2,0),M100,1),"")</f>
        <v>T</v>
      </c>
      <c r="M100" s="3">
        <v>74</v>
      </c>
      <c r="N100" s="3" t="str">
        <f>IFERROR(MID(VLOOKUP($B100,Seqs!$A:$B,2,0),O100,1),"")</f>
        <v>R</v>
      </c>
      <c r="O100" s="3">
        <v>104</v>
      </c>
      <c r="P100" s="3" t="str">
        <f>IFERROR(MID(VLOOKUP($B100,Seqs!$A:$B,2,0),Q100,1),"")</f>
        <v>T</v>
      </c>
      <c r="Q100" s="3">
        <v>106</v>
      </c>
      <c r="R100" s="3" t="str">
        <f>IFERROR(MID(VLOOKUP($B100,Seqs!$A:$B,2,0),S100,1),"")</f>
        <v>W</v>
      </c>
      <c r="S100" s="3">
        <v>109</v>
      </c>
      <c r="T100" s="3" t="str">
        <f>IFERROR(MID(VLOOKUP($B100,Seqs!$A:$B,2,0),U100,1),"")</f>
        <v>G</v>
      </c>
      <c r="U100" s="3">
        <v>110</v>
      </c>
      <c r="V100" s="3" t="str">
        <f>IFERROR(MID(VLOOKUP($B100,Seqs!$A:$B,2,0),W100,1),"")</f>
        <v>S</v>
      </c>
      <c r="W100" s="3">
        <v>145</v>
      </c>
      <c r="X100" s="3" t="str">
        <f>IFERROR(MID(VLOOKUP($B100,Seqs!$A:$B,2,0),Y100,1),"")</f>
        <v>P</v>
      </c>
      <c r="Y100" s="3">
        <v>146</v>
      </c>
      <c r="Z100" s="3" t="str">
        <f>IFERROR(MID(VLOOKUP($B100,Seqs!$A:$B,2,0),AA100,1),"")</f>
        <v>M</v>
      </c>
      <c r="AA100" s="3">
        <v>153</v>
      </c>
      <c r="AB100" s="3" t="str">
        <f>IFERROR(MID(VLOOKUP($B100,Seqs!$A:$B,2,0),AC100,1),"")</f>
        <v>T</v>
      </c>
      <c r="AC100" s="9">
        <v>154</v>
      </c>
      <c r="AD100" s="3" t="str">
        <f>IFERROR(MID(VLOOKUP($B100,Seqs!$A:$B,2,0),AE100,1),"")</f>
        <v>H</v>
      </c>
      <c r="AE100" s="3">
        <v>180</v>
      </c>
      <c r="AF100" s="3" t="str">
        <f>IFERROR(MID(VLOOKUP($B100,Seqs!$A:$B,2,0),AG100,1),"")</f>
        <v>C</v>
      </c>
      <c r="AG100" s="3">
        <v>199</v>
      </c>
      <c r="AH100" s="3" t="str">
        <f>IFERROR(MID(VLOOKUP($B100,Seqs!$A:$B,2,0),AI100,1),"")</f>
        <v>F</v>
      </c>
      <c r="AI100" s="3">
        <v>201</v>
      </c>
      <c r="AJ100" s="3" t="str">
        <f>IFERROR(MID(VLOOKUP($B100,Seqs!$A:$B,2,0),AK100,1),"")</f>
        <v>N</v>
      </c>
      <c r="AK100" s="3">
        <v>204</v>
      </c>
      <c r="AL100" s="3" t="str">
        <f>IFERROR(MID(VLOOKUP($B100,Seqs!$A:$B,2,0),AM100,1),"")</f>
        <v>K</v>
      </c>
      <c r="AM100" s="3">
        <v>240</v>
      </c>
      <c r="AN100" s="3" t="str">
        <f>IFERROR(MID(VLOOKUP($B100,Seqs!$A:$B,2,0),AO100,1),"")</f>
        <v>L</v>
      </c>
      <c r="AO100" s="3">
        <v>289</v>
      </c>
      <c r="AP100" s="3" t="str">
        <f>IFERROR(MID(VLOOKUP($B100,Seqs!$A:$B,2,0),AQ100,1),"")</f>
        <v>N</v>
      </c>
      <c r="AQ100" s="3">
        <v>316</v>
      </c>
      <c r="AR100" s="3" t="str">
        <f>IFERROR(MID(VLOOKUP($B100,Seqs!$A:$B,2,0),AS100,1),"")</f>
        <v>P</v>
      </c>
      <c r="AS100" s="3">
        <v>321</v>
      </c>
      <c r="AT100" s="3" t="str">
        <f>IFERROR(MID(VLOOKUP($B100,Seqs!$A:$B,2,0),AU100,1),"")</f>
        <v>R</v>
      </c>
      <c r="AU100" s="3">
        <v>345</v>
      </c>
      <c r="AV100" s="3" t="str">
        <f>IFERROR(MID(VLOOKUP($B100,Seqs!$A:$B,2,0),AW100,1),"")</f>
        <v>S</v>
      </c>
      <c r="AW100" s="3">
        <v>346</v>
      </c>
      <c r="AX100" s="3" t="str">
        <f>IFERROR(MID(VLOOKUP($B100,Seqs!$A:$B,2,0),AY100,1),"")</f>
        <v>C</v>
      </c>
      <c r="AY100" s="3">
        <v>358</v>
      </c>
      <c r="AZ100" s="77" t="str">
        <f>VLOOKUP(B100,Classification!A:D,2,0)</f>
        <v>A</v>
      </c>
      <c r="BA100" s="94" t="str">
        <f>VLOOKUP(B100,Classification!A:D,4,0)</f>
        <v>Adrenoceptors</v>
      </c>
      <c r="BB100" s="27" t="b">
        <f t="shared" si="504"/>
        <v>1</v>
      </c>
      <c r="BC100" s="23">
        <f t="shared" si="225"/>
        <v>249</v>
      </c>
      <c r="BD100" s="4" t="s">
        <v>23</v>
      </c>
      <c r="BE100" s="3" t="s">
        <v>1374</v>
      </c>
      <c r="BF100" s="118">
        <v>3</v>
      </c>
      <c r="BG100" s="49" t="s">
        <v>1377</v>
      </c>
      <c r="BH100" s="49" t="s">
        <v>1377</v>
      </c>
      <c r="BI100" s="1"/>
      <c r="BJ100" s="70" t="s">
        <v>1287</v>
      </c>
      <c r="BK100" s="57" t="s">
        <v>1287</v>
      </c>
      <c r="BL100" s="57" t="s">
        <v>1287</v>
      </c>
      <c r="BM100" s="57" t="s">
        <v>1287</v>
      </c>
      <c r="BN100" s="57" t="s">
        <v>1287</v>
      </c>
      <c r="BO100" s="57" t="s">
        <v>1287</v>
      </c>
      <c r="BP100" s="57" t="s">
        <v>1287</v>
      </c>
      <c r="BQ100" s="57" t="s">
        <v>1287</v>
      </c>
      <c r="BR100" s="57" t="s">
        <v>1287</v>
      </c>
      <c r="BS100" s="57" t="s">
        <v>1287</v>
      </c>
      <c r="BT100" s="57" t="s">
        <v>1287</v>
      </c>
      <c r="BU100" s="57" t="s">
        <v>1287</v>
      </c>
      <c r="BV100" s="70">
        <f t="shared" si="226"/>
        <v>37</v>
      </c>
      <c r="BW100" s="71">
        <f t="shared" si="227"/>
        <v>70</v>
      </c>
      <c r="BX100" s="72">
        <f t="shared" si="228"/>
        <v>74</v>
      </c>
      <c r="BY100" s="71">
        <f t="shared" si="229"/>
        <v>106</v>
      </c>
      <c r="BZ100" s="72">
        <f t="shared" si="230"/>
        <v>110</v>
      </c>
      <c r="CA100" s="71">
        <f t="shared" si="231"/>
        <v>146</v>
      </c>
      <c r="CB100" s="72">
        <f t="shared" si="232"/>
        <v>154</v>
      </c>
      <c r="CC100" s="71">
        <f t="shared" si="233"/>
        <v>199</v>
      </c>
      <c r="CD100" s="72">
        <f t="shared" si="234"/>
        <v>204</v>
      </c>
      <c r="CE100" s="71">
        <f t="shared" si="235"/>
        <v>289</v>
      </c>
      <c r="CF100" s="72">
        <f t="shared" si="236"/>
        <v>321</v>
      </c>
      <c r="CG100" s="71">
        <f t="shared" si="237"/>
        <v>346</v>
      </c>
      <c r="CH100" s="70">
        <f t="shared" si="238"/>
        <v>69</v>
      </c>
      <c r="CI100" s="71">
        <f t="shared" si="239"/>
        <v>73</v>
      </c>
      <c r="CJ100" s="72">
        <f t="shared" si="240"/>
        <v>104</v>
      </c>
      <c r="CK100" s="72">
        <f t="shared" si="241"/>
        <v>109</v>
      </c>
      <c r="CL100" s="72">
        <f t="shared" si="242"/>
        <v>145</v>
      </c>
      <c r="CM100" s="72">
        <f t="shared" si="243"/>
        <v>153</v>
      </c>
      <c r="CN100" s="72">
        <f t="shared" si="244"/>
        <v>180</v>
      </c>
      <c r="CO100" s="72">
        <f t="shared" si="245"/>
        <v>201</v>
      </c>
      <c r="CP100" s="72">
        <f t="shared" si="246"/>
        <v>240</v>
      </c>
      <c r="CQ100" s="72">
        <f t="shared" si="247"/>
        <v>316</v>
      </c>
      <c r="CR100" s="72">
        <f t="shared" si="248"/>
        <v>345</v>
      </c>
      <c r="CS100" s="72">
        <f t="shared" si="249"/>
        <v>358</v>
      </c>
      <c r="CT100" s="23">
        <f t="shared" si="250"/>
        <v>1</v>
      </c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</row>
    <row r="101" spans="1:1029" x14ac:dyDescent="0.2">
      <c r="A101" s="3" t="str">
        <f t="shared" si="503"/>
        <v>adrb1_melga_2YCZ</v>
      </c>
      <c r="B101" s="3" t="s">
        <v>911</v>
      </c>
      <c r="C101" s="3" t="s">
        <v>1027</v>
      </c>
      <c r="D101" s="3" t="str">
        <f>IFERROR(MID(VLOOKUP($B101,Seqs!$A:$B,2,0),E101,1),"")</f>
        <v>A</v>
      </c>
      <c r="E101" s="3">
        <v>33</v>
      </c>
      <c r="F101" s="3" t="str">
        <f>IFERROR(MID(VLOOKUP($B101,Seqs!$A:$B,2,0),G101,1),"")</f>
        <v>T</v>
      </c>
      <c r="G101" s="3">
        <v>69</v>
      </c>
      <c r="H101" s="3" t="str">
        <f>IFERROR(MID(VLOOKUP($B101,Seqs!$A:$B,2,0),I101,1),"")</f>
        <v>Q</v>
      </c>
      <c r="I101" s="23">
        <v>70</v>
      </c>
      <c r="J101" s="3" t="str">
        <f>IFERROR(MID(VLOOKUP($B101,Seqs!$A:$B,2,0),K101,1),"")</f>
        <v>Q</v>
      </c>
      <c r="K101" s="23">
        <v>73</v>
      </c>
      <c r="L101" s="3" t="str">
        <f>IFERROR(MID(VLOOKUP($B101,Seqs!$A:$B,2,0),M101,1),"")</f>
        <v>T</v>
      </c>
      <c r="M101" s="3">
        <v>74</v>
      </c>
      <c r="N101" s="3" t="str">
        <f>IFERROR(MID(VLOOKUP($B101,Seqs!$A:$B,2,0),O101,1),"")</f>
        <v>R</v>
      </c>
      <c r="O101" s="3">
        <v>104</v>
      </c>
      <c r="P101" s="3" t="str">
        <f>IFERROR(MID(VLOOKUP($B101,Seqs!$A:$B,2,0),Q101,1),"")</f>
        <v>T</v>
      </c>
      <c r="Q101" s="3">
        <v>106</v>
      </c>
      <c r="R101" s="3" t="str">
        <f>IFERROR(MID(VLOOKUP($B101,Seqs!$A:$B,2,0),S101,1),"")</f>
        <v>W</v>
      </c>
      <c r="S101" s="3">
        <v>109</v>
      </c>
      <c r="T101" s="3" t="str">
        <f>IFERROR(MID(VLOOKUP($B101,Seqs!$A:$B,2,0),U101,1),"")</f>
        <v>G</v>
      </c>
      <c r="U101" s="3">
        <v>110</v>
      </c>
      <c r="V101" s="3" t="str">
        <f>IFERROR(MID(VLOOKUP($B101,Seqs!$A:$B,2,0),W101,1),"")</f>
        <v>S</v>
      </c>
      <c r="W101" s="3">
        <v>145</v>
      </c>
      <c r="X101" s="3" t="str">
        <f>IFERROR(MID(VLOOKUP($B101,Seqs!$A:$B,2,0),Y101,1),"")</f>
        <v>P</v>
      </c>
      <c r="Y101" s="3">
        <v>146</v>
      </c>
      <c r="Z101" s="3" t="str">
        <f>IFERROR(MID(VLOOKUP($B101,Seqs!$A:$B,2,0),AA101,1),"")</f>
        <v>M</v>
      </c>
      <c r="AA101" s="3">
        <v>153</v>
      </c>
      <c r="AB101" s="3" t="str">
        <f>IFERROR(MID(VLOOKUP($B101,Seqs!$A:$B,2,0),AC101,1),"")</f>
        <v>T</v>
      </c>
      <c r="AC101" s="9">
        <v>154</v>
      </c>
      <c r="AD101" s="3" t="str">
        <f>IFERROR(MID(VLOOKUP($B101,Seqs!$A:$B,2,0),AE101,1),"")</f>
        <v>H</v>
      </c>
      <c r="AE101" s="3">
        <v>180</v>
      </c>
      <c r="AF101" s="3" t="str">
        <f>IFERROR(MID(VLOOKUP($B101,Seqs!$A:$B,2,0),AG101,1),"")</f>
        <v>C</v>
      </c>
      <c r="AG101" s="3">
        <v>199</v>
      </c>
      <c r="AH101" s="3" t="str">
        <f>IFERROR(MID(VLOOKUP($B101,Seqs!$A:$B,2,0),AI101,1),"")</f>
        <v>F</v>
      </c>
      <c r="AI101" s="3">
        <v>201</v>
      </c>
      <c r="AJ101" s="3" t="str">
        <f>IFERROR(MID(VLOOKUP($B101,Seqs!$A:$B,2,0),AK101,1),"")</f>
        <v>N</v>
      </c>
      <c r="AK101" s="3">
        <v>204</v>
      </c>
      <c r="AL101" s="3" t="str">
        <f>IFERROR(MID(VLOOKUP($B101,Seqs!$A:$B,2,0),AM101,1),"")</f>
        <v>K</v>
      </c>
      <c r="AM101" s="3">
        <v>240</v>
      </c>
      <c r="AN101" s="3" t="str">
        <f>IFERROR(MID(VLOOKUP($B101,Seqs!$A:$B,2,0),AO101,1),"")</f>
        <v>A</v>
      </c>
      <c r="AO101" s="3">
        <v>288</v>
      </c>
      <c r="AP101" s="3" t="str">
        <f>IFERROR(MID(VLOOKUP($B101,Seqs!$A:$B,2,0),AQ101,1),"")</f>
        <v>N</v>
      </c>
      <c r="AQ101" s="3">
        <v>316</v>
      </c>
      <c r="AR101" s="3" t="str">
        <f>IFERROR(MID(VLOOKUP($B101,Seqs!$A:$B,2,0),AS101,1),"")</f>
        <v>P</v>
      </c>
      <c r="AS101" s="3">
        <v>321</v>
      </c>
      <c r="AT101" s="3" t="str">
        <f>IFERROR(MID(VLOOKUP($B101,Seqs!$A:$B,2,0),AU101,1),"")</f>
        <v>R</v>
      </c>
      <c r="AU101" s="3">
        <v>345</v>
      </c>
      <c r="AV101" s="3" t="str">
        <f>IFERROR(MID(VLOOKUP($B101,Seqs!$A:$B,2,0),AW101,1),"")</f>
        <v>S</v>
      </c>
      <c r="AW101" s="3">
        <v>346</v>
      </c>
      <c r="AX101" s="3" t="str">
        <f>IFERROR(MID(VLOOKUP($B101,Seqs!$A:$B,2,0),AY101,1),"")</f>
        <v>C</v>
      </c>
      <c r="AY101" s="3">
        <v>358</v>
      </c>
      <c r="AZ101" s="77" t="str">
        <f>VLOOKUP(B101,Classification!A:D,2,0)</f>
        <v>A</v>
      </c>
      <c r="BA101" s="94" t="str">
        <f>VLOOKUP(B101,Classification!A:D,4,0)</f>
        <v>Adrenoceptors</v>
      </c>
      <c r="BB101" s="27" t="b">
        <f t="shared" si="504"/>
        <v>1</v>
      </c>
      <c r="BC101" s="23">
        <f t="shared" si="225"/>
        <v>254</v>
      </c>
      <c r="BD101" s="16" t="s">
        <v>23</v>
      </c>
      <c r="BE101" s="3" t="s">
        <v>1374</v>
      </c>
      <c r="BF101" s="118">
        <v>3.65</v>
      </c>
      <c r="BG101" s="49" t="s">
        <v>1377</v>
      </c>
      <c r="BH101" s="49" t="s">
        <v>1377</v>
      </c>
      <c r="BI101" s="1"/>
      <c r="BJ101" s="70" t="s">
        <v>1287</v>
      </c>
      <c r="BK101" s="57" t="s">
        <v>1287</v>
      </c>
      <c r="BL101" s="57" t="s">
        <v>1287</v>
      </c>
      <c r="BM101" s="57" t="s">
        <v>1287</v>
      </c>
      <c r="BN101" s="57" t="s">
        <v>1287</v>
      </c>
      <c r="BO101" s="57" t="s">
        <v>1287</v>
      </c>
      <c r="BP101" s="57" t="s">
        <v>1287</v>
      </c>
      <c r="BQ101" s="57" t="s">
        <v>1287</v>
      </c>
      <c r="BR101" s="57" t="s">
        <v>1287</v>
      </c>
      <c r="BS101" s="57" t="s">
        <v>1287</v>
      </c>
      <c r="BT101" s="57" t="s">
        <v>1287</v>
      </c>
      <c r="BU101" s="57" t="s">
        <v>1287</v>
      </c>
      <c r="BV101" s="70">
        <f t="shared" si="226"/>
        <v>33</v>
      </c>
      <c r="BW101" s="71">
        <f t="shared" si="227"/>
        <v>70</v>
      </c>
      <c r="BX101" s="72">
        <f t="shared" si="228"/>
        <v>74</v>
      </c>
      <c r="BY101" s="71">
        <f t="shared" si="229"/>
        <v>106</v>
      </c>
      <c r="BZ101" s="72">
        <f t="shared" si="230"/>
        <v>110</v>
      </c>
      <c r="CA101" s="71">
        <f t="shared" si="231"/>
        <v>146</v>
      </c>
      <c r="CB101" s="72">
        <f t="shared" si="232"/>
        <v>154</v>
      </c>
      <c r="CC101" s="71">
        <f t="shared" si="233"/>
        <v>199</v>
      </c>
      <c r="CD101" s="72">
        <f t="shared" si="234"/>
        <v>204</v>
      </c>
      <c r="CE101" s="71">
        <f t="shared" si="235"/>
        <v>288</v>
      </c>
      <c r="CF101" s="72">
        <f t="shared" si="236"/>
        <v>321</v>
      </c>
      <c r="CG101" s="71">
        <f t="shared" si="237"/>
        <v>346</v>
      </c>
      <c r="CH101" s="70">
        <f t="shared" si="238"/>
        <v>69</v>
      </c>
      <c r="CI101" s="71">
        <f t="shared" si="239"/>
        <v>73</v>
      </c>
      <c r="CJ101" s="72">
        <f t="shared" si="240"/>
        <v>104</v>
      </c>
      <c r="CK101" s="72">
        <f t="shared" si="241"/>
        <v>109</v>
      </c>
      <c r="CL101" s="72">
        <f t="shared" si="242"/>
        <v>145</v>
      </c>
      <c r="CM101" s="72">
        <f t="shared" si="243"/>
        <v>153</v>
      </c>
      <c r="CN101" s="72">
        <f t="shared" si="244"/>
        <v>180</v>
      </c>
      <c r="CO101" s="72">
        <f t="shared" si="245"/>
        <v>201</v>
      </c>
      <c r="CP101" s="72">
        <f t="shared" si="246"/>
        <v>240</v>
      </c>
      <c r="CQ101" s="72">
        <f t="shared" si="247"/>
        <v>316</v>
      </c>
      <c r="CR101" s="72">
        <f t="shared" si="248"/>
        <v>345</v>
      </c>
      <c r="CS101" s="72">
        <f t="shared" si="249"/>
        <v>358</v>
      </c>
      <c r="CT101" s="23">
        <f t="shared" si="250"/>
        <v>1</v>
      </c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</row>
    <row r="102" spans="1:1029" x14ac:dyDescent="0.2">
      <c r="A102" s="3" t="str">
        <f t="shared" si="503"/>
        <v>adrb1_melga_3ZPQ</v>
      </c>
      <c r="B102" s="3" t="s">
        <v>911</v>
      </c>
      <c r="C102" s="3" t="s">
        <v>1037</v>
      </c>
      <c r="D102" s="3" t="str">
        <f>IFERROR(MID(VLOOKUP($B102,Seqs!$A:$B,2,0),E102,1),"")</f>
        <v>A</v>
      </c>
      <c r="E102" s="3">
        <v>33</v>
      </c>
      <c r="F102" s="3" t="str">
        <f>IFERROR(MID(VLOOKUP($B102,Seqs!$A:$B,2,0),G102,1),"")</f>
        <v>T</v>
      </c>
      <c r="G102" s="3">
        <v>69</v>
      </c>
      <c r="H102" s="3" t="str">
        <f>IFERROR(MID(VLOOKUP($B102,Seqs!$A:$B,2,0),I102,1),"")</f>
        <v>Q</v>
      </c>
      <c r="I102" s="23">
        <v>70</v>
      </c>
      <c r="J102" s="3" t="str">
        <f>IFERROR(MID(VLOOKUP($B102,Seqs!$A:$B,2,0),K102,1),"")</f>
        <v>Q</v>
      </c>
      <c r="K102" s="23">
        <v>73</v>
      </c>
      <c r="L102" s="3" t="str">
        <f>IFERROR(MID(VLOOKUP($B102,Seqs!$A:$B,2,0),M102,1),"")</f>
        <v>T</v>
      </c>
      <c r="M102" s="3">
        <v>74</v>
      </c>
      <c r="N102" s="3" t="str">
        <f>IFERROR(MID(VLOOKUP($B102,Seqs!$A:$B,2,0),O102,1),"")</f>
        <v>R</v>
      </c>
      <c r="O102" s="3">
        <v>104</v>
      </c>
      <c r="P102" s="3" t="str">
        <f>IFERROR(MID(VLOOKUP($B102,Seqs!$A:$B,2,0),Q102,1),"")</f>
        <v>T</v>
      </c>
      <c r="Q102" s="3">
        <v>106</v>
      </c>
      <c r="R102" s="3" t="str">
        <f>IFERROR(MID(VLOOKUP($B102,Seqs!$A:$B,2,0),S102,1),"")</f>
        <v>W</v>
      </c>
      <c r="S102" s="3">
        <v>109</v>
      </c>
      <c r="T102" s="3" t="str">
        <f>IFERROR(MID(VLOOKUP($B102,Seqs!$A:$B,2,0),U102,1),"")</f>
        <v>G</v>
      </c>
      <c r="U102" s="3">
        <v>110</v>
      </c>
      <c r="V102" s="3" t="str">
        <f>IFERROR(MID(VLOOKUP($B102,Seqs!$A:$B,2,0),W102,1),"")</f>
        <v>S</v>
      </c>
      <c r="W102" s="3">
        <v>145</v>
      </c>
      <c r="X102" s="3" t="str">
        <f>IFERROR(MID(VLOOKUP($B102,Seqs!$A:$B,2,0),Y102,1),"")</f>
        <v>P</v>
      </c>
      <c r="Y102" s="3">
        <v>146</v>
      </c>
      <c r="Z102" s="3" t="str">
        <f>IFERROR(MID(VLOOKUP($B102,Seqs!$A:$B,2,0),AA102,1),"")</f>
        <v>M</v>
      </c>
      <c r="AA102" s="3">
        <v>153</v>
      </c>
      <c r="AB102" s="3" t="str">
        <f>IFERROR(MID(VLOOKUP($B102,Seqs!$A:$B,2,0),AC102,1),"")</f>
        <v>T</v>
      </c>
      <c r="AC102" s="9">
        <v>154</v>
      </c>
      <c r="AD102" s="3" t="str">
        <f>IFERROR(MID(VLOOKUP($B102,Seqs!$A:$B,2,0),AE102,1),"")</f>
        <v>H</v>
      </c>
      <c r="AE102" s="3">
        <v>180</v>
      </c>
      <c r="AF102" s="3" t="str">
        <f>IFERROR(MID(VLOOKUP($B102,Seqs!$A:$B,2,0),AG102,1),"")</f>
        <v>C</v>
      </c>
      <c r="AG102" s="3">
        <v>199</v>
      </c>
      <c r="AH102" s="3" t="str">
        <f>IFERROR(MID(VLOOKUP($B102,Seqs!$A:$B,2,0),AI102,1),"")</f>
        <v>F</v>
      </c>
      <c r="AI102" s="3">
        <v>201</v>
      </c>
      <c r="AJ102" s="3" t="str">
        <f>IFERROR(MID(VLOOKUP($B102,Seqs!$A:$B,2,0),AK102,1),"")</f>
        <v>N</v>
      </c>
      <c r="AK102" s="3">
        <v>204</v>
      </c>
      <c r="AL102" s="3" t="str">
        <f>IFERROR(MID(VLOOKUP($B102,Seqs!$A:$B,2,0),AM102,1),"")</f>
        <v>I</v>
      </c>
      <c r="AM102" s="3">
        <v>238</v>
      </c>
      <c r="AN102" s="3" t="str">
        <f>IFERROR(MID(VLOOKUP($B102,Seqs!$A:$B,2,0),AO102,1),"")</f>
        <v>R</v>
      </c>
      <c r="AO102" s="3">
        <v>275</v>
      </c>
      <c r="AP102" s="3" t="str">
        <f>IFERROR(MID(VLOOKUP($B102,Seqs!$A:$B,2,0),AQ102,1),"")</f>
        <v>N</v>
      </c>
      <c r="AQ102" s="3">
        <v>316</v>
      </c>
      <c r="AR102" s="3" t="str">
        <f>IFERROR(MID(VLOOKUP($B102,Seqs!$A:$B,2,0),AS102,1),"")</f>
        <v>P</v>
      </c>
      <c r="AS102" s="3">
        <v>321</v>
      </c>
      <c r="AT102" s="3" t="str">
        <f>IFERROR(MID(VLOOKUP($B102,Seqs!$A:$B,2,0),AU102,1),"")</f>
        <v>R</v>
      </c>
      <c r="AU102" s="3">
        <v>345</v>
      </c>
      <c r="AV102" s="3" t="str">
        <f>IFERROR(MID(VLOOKUP($B102,Seqs!$A:$B,2,0),AW102,1),"")</f>
        <v>S</v>
      </c>
      <c r="AW102" s="3">
        <v>346</v>
      </c>
      <c r="AX102" s="3" t="str">
        <f>IFERROR(MID(VLOOKUP($B102,Seqs!$A:$B,2,0),AY102,1),"")</f>
        <v>C</v>
      </c>
      <c r="AY102" s="3">
        <v>358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504"/>
        <v>1</v>
      </c>
      <c r="BC102" s="23">
        <f t="shared" si="225"/>
        <v>265</v>
      </c>
      <c r="BD102" s="4" t="s">
        <v>23</v>
      </c>
      <c r="BE102" s="3" t="s">
        <v>1374</v>
      </c>
      <c r="BF102" s="118">
        <v>2.8</v>
      </c>
      <c r="BG102" s="49" t="s">
        <v>1377</v>
      </c>
      <c r="BH102" s="49" t="s">
        <v>1377</v>
      </c>
      <c r="BI102" s="1"/>
      <c r="BJ102" s="70" t="s">
        <v>1287</v>
      </c>
      <c r="BK102" s="57" t="s">
        <v>1287</v>
      </c>
      <c r="BL102" s="57" t="s">
        <v>1287</v>
      </c>
      <c r="BM102" s="57" t="s">
        <v>1287</v>
      </c>
      <c r="BN102" s="57" t="s">
        <v>1287</v>
      </c>
      <c r="BO102" s="57" t="s">
        <v>1287</v>
      </c>
      <c r="BP102" s="57" t="s">
        <v>1287</v>
      </c>
      <c r="BQ102" s="57" t="s">
        <v>1287</v>
      </c>
      <c r="BR102" s="57" t="s">
        <v>1287</v>
      </c>
      <c r="BS102" s="57" t="s">
        <v>1287</v>
      </c>
      <c r="BT102" s="57" t="s">
        <v>1287</v>
      </c>
      <c r="BU102" s="57" t="s">
        <v>1287</v>
      </c>
      <c r="BV102" s="70">
        <f t="shared" si="226"/>
        <v>33</v>
      </c>
      <c r="BW102" s="71">
        <f t="shared" si="227"/>
        <v>70</v>
      </c>
      <c r="BX102" s="72">
        <f t="shared" si="228"/>
        <v>74</v>
      </c>
      <c r="BY102" s="71">
        <f t="shared" si="229"/>
        <v>106</v>
      </c>
      <c r="BZ102" s="72">
        <f t="shared" si="230"/>
        <v>110</v>
      </c>
      <c r="CA102" s="71">
        <f t="shared" si="231"/>
        <v>146</v>
      </c>
      <c r="CB102" s="72">
        <f t="shared" si="232"/>
        <v>154</v>
      </c>
      <c r="CC102" s="71">
        <f t="shared" si="233"/>
        <v>199</v>
      </c>
      <c r="CD102" s="72">
        <f t="shared" si="234"/>
        <v>204</v>
      </c>
      <c r="CE102" s="71">
        <f t="shared" si="235"/>
        <v>275</v>
      </c>
      <c r="CF102" s="72">
        <f t="shared" si="236"/>
        <v>321</v>
      </c>
      <c r="CG102" s="71">
        <f t="shared" si="237"/>
        <v>346</v>
      </c>
      <c r="CH102" s="70">
        <f t="shared" si="238"/>
        <v>69</v>
      </c>
      <c r="CI102" s="71">
        <f t="shared" si="239"/>
        <v>73</v>
      </c>
      <c r="CJ102" s="72">
        <f t="shared" si="240"/>
        <v>104</v>
      </c>
      <c r="CK102" s="72">
        <f t="shared" si="241"/>
        <v>109</v>
      </c>
      <c r="CL102" s="72">
        <f t="shared" si="242"/>
        <v>145</v>
      </c>
      <c r="CM102" s="72">
        <f t="shared" si="243"/>
        <v>153</v>
      </c>
      <c r="CN102" s="72">
        <f t="shared" si="244"/>
        <v>180</v>
      </c>
      <c r="CO102" s="72">
        <f t="shared" si="245"/>
        <v>201</v>
      </c>
      <c r="CP102" s="72">
        <f t="shared" si="246"/>
        <v>238</v>
      </c>
      <c r="CQ102" s="72">
        <f t="shared" si="247"/>
        <v>316</v>
      </c>
      <c r="CR102" s="72">
        <f t="shared" si="248"/>
        <v>345</v>
      </c>
      <c r="CS102" s="72">
        <f t="shared" si="249"/>
        <v>358</v>
      </c>
      <c r="CT102" s="23">
        <f t="shared" si="25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503"/>
        <v>adrb1_melga_3ZPR</v>
      </c>
      <c r="B103" s="3" t="s">
        <v>911</v>
      </c>
      <c r="C103" s="3" t="s">
        <v>1038</v>
      </c>
      <c r="D103" s="3" t="str">
        <f>IFERROR(MID(VLOOKUP($B103,Seqs!$A:$B,2,0),E103,1),"")</f>
        <v>A</v>
      </c>
      <c r="E103" s="3">
        <v>33</v>
      </c>
      <c r="F103" s="3" t="str">
        <f>IFERROR(MID(VLOOKUP($B103,Seqs!$A:$B,2,0),G103,1),"")</f>
        <v>T</v>
      </c>
      <c r="G103" s="3">
        <v>69</v>
      </c>
      <c r="H103" s="3" t="str">
        <f>IFERROR(MID(VLOOKUP($B103,Seqs!$A:$B,2,0),I103,1),"")</f>
        <v>Q</v>
      </c>
      <c r="I103" s="23">
        <v>70</v>
      </c>
      <c r="J103" s="3" t="str">
        <f>IFERROR(MID(VLOOKUP($B103,Seqs!$A:$B,2,0),K103,1),"")</f>
        <v>Q</v>
      </c>
      <c r="K103" s="23">
        <v>73</v>
      </c>
      <c r="L103" s="3" t="str">
        <f>IFERROR(MID(VLOOKUP($B103,Seqs!$A:$B,2,0),M103,1),"")</f>
        <v>T</v>
      </c>
      <c r="M103" s="3">
        <v>74</v>
      </c>
      <c r="N103" s="3" t="str">
        <f>IFERROR(MID(VLOOKUP($B103,Seqs!$A:$B,2,0),O103,1),"")</f>
        <v>R</v>
      </c>
      <c r="O103" s="3">
        <v>104</v>
      </c>
      <c r="P103" s="3" t="str">
        <f>IFERROR(MID(VLOOKUP($B103,Seqs!$A:$B,2,0),Q103,1),"")</f>
        <v>T</v>
      </c>
      <c r="Q103" s="3">
        <v>106</v>
      </c>
      <c r="R103" s="3" t="str">
        <f>IFERROR(MID(VLOOKUP($B103,Seqs!$A:$B,2,0),S103,1),"")</f>
        <v>W</v>
      </c>
      <c r="S103" s="3">
        <v>109</v>
      </c>
      <c r="T103" s="3" t="str">
        <f>IFERROR(MID(VLOOKUP($B103,Seqs!$A:$B,2,0),U103,1),"")</f>
        <v>G</v>
      </c>
      <c r="U103" s="3">
        <v>110</v>
      </c>
      <c r="V103" s="3" t="str">
        <f>IFERROR(MID(VLOOKUP($B103,Seqs!$A:$B,2,0),W103,1),"")</f>
        <v>S</v>
      </c>
      <c r="W103" s="3">
        <v>145</v>
      </c>
      <c r="X103" s="3" t="str">
        <f>IFERROR(MID(VLOOKUP($B103,Seqs!$A:$B,2,0),Y103,1),"")</f>
        <v>P</v>
      </c>
      <c r="Y103" s="3">
        <v>146</v>
      </c>
      <c r="Z103" s="3" t="str">
        <f>IFERROR(MID(VLOOKUP($B103,Seqs!$A:$B,2,0),AA103,1),"")</f>
        <v>M</v>
      </c>
      <c r="AA103" s="3">
        <v>153</v>
      </c>
      <c r="AB103" s="3" t="str">
        <f>IFERROR(MID(VLOOKUP($B103,Seqs!$A:$B,2,0),AC103,1),"")</f>
        <v>T</v>
      </c>
      <c r="AC103" s="9">
        <v>154</v>
      </c>
      <c r="AD103" s="3" t="str">
        <f>IFERROR(MID(VLOOKUP($B103,Seqs!$A:$B,2,0),AE103,1),"")</f>
        <v>H</v>
      </c>
      <c r="AE103" s="3">
        <v>180</v>
      </c>
      <c r="AF103" s="3" t="str">
        <f>IFERROR(MID(VLOOKUP($B103,Seqs!$A:$B,2,0),AG103,1),"")</f>
        <v>C</v>
      </c>
      <c r="AG103" s="3">
        <v>199</v>
      </c>
      <c r="AH103" s="3" t="str">
        <f>IFERROR(MID(VLOOKUP($B103,Seqs!$A:$B,2,0),AI103,1),"")</f>
        <v>F</v>
      </c>
      <c r="AI103" s="3">
        <v>201</v>
      </c>
      <c r="AJ103" s="3" t="str">
        <f>IFERROR(MID(VLOOKUP($B103,Seqs!$A:$B,2,0),AK103,1),"")</f>
        <v>N</v>
      </c>
      <c r="AK103" s="3">
        <v>204</v>
      </c>
      <c r="AL103" s="3" t="str">
        <f>IFERROR(MID(VLOOKUP($B103,Seqs!$A:$B,2,0),AM103,1),"")</f>
        <v>I</v>
      </c>
      <c r="AM103" s="3">
        <v>238</v>
      </c>
      <c r="AN103" s="3" t="str">
        <f>IFERROR(MID(VLOOKUP($B103,Seqs!$A:$B,2,0),AO103,1),"")</f>
        <v>R</v>
      </c>
      <c r="AO103" s="3">
        <v>275</v>
      </c>
      <c r="AP103" s="3" t="str">
        <f>IFERROR(MID(VLOOKUP($B103,Seqs!$A:$B,2,0),AQ103,1),"")</f>
        <v>N</v>
      </c>
      <c r="AQ103" s="3">
        <v>316</v>
      </c>
      <c r="AR103" s="3" t="str">
        <f>IFERROR(MID(VLOOKUP($B103,Seqs!$A:$B,2,0),AS103,1),"")</f>
        <v>P</v>
      </c>
      <c r="AS103" s="3">
        <v>321</v>
      </c>
      <c r="AT103" s="3" t="str">
        <f>IFERROR(MID(VLOOKUP($B103,Seqs!$A:$B,2,0),AU103,1),"")</f>
        <v>R</v>
      </c>
      <c r="AU103" s="3">
        <v>345</v>
      </c>
      <c r="AV103" s="3" t="str">
        <f>IFERROR(MID(VLOOKUP($B103,Seqs!$A:$B,2,0),AW103,1),"")</f>
        <v>S</v>
      </c>
      <c r="AW103" s="3">
        <v>346</v>
      </c>
      <c r="AX103" s="3" t="str">
        <f>IFERROR(MID(VLOOKUP($B103,Seqs!$A:$B,2,0),AY103,1),"")</f>
        <v>C</v>
      </c>
      <c r="AY103" s="3">
        <v>358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504"/>
        <v>1</v>
      </c>
      <c r="BC103" s="23">
        <f t="shared" si="225"/>
        <v>265</v>
      </c>
      <c r="BD103" s="4" t="s">
        <v>23</v>
      </c>
      <c r="BE103" s="3" t="s">
        <v>1374</v>
      </c>
      <c r="BF103" s="118">
        <v>2.7</v>
      </c>
      <c r="BG103" s="49" t="s">
        <v>1377</v>
      </c>
      <c r="BH103" s="49" t="s">
        <v>1377</v>
      </c>
      <c r="BI103" s="1"/>
      <c r="BJ103" s="70" t="s">
        <v>1287</v>
      </c>
      <c r="BK103" s="57" t="s">
        <v>1287</v>
      </c>
      <c r="BL103" s="57" t="s">
        <v>1287</v>
      </c>
      <c r="BM103" s="57" t="s">
        <v>1287</v>
      </c>
      <c r="BN103" s="57" t="s">
        <v>1287</v>
      </c>
      <c r="BO103" s="57" t="s">
        <v>1287</v>
      </c>
      <c r="BP103" s="57" t="s">
        <v>1287</v>
      </c>
      <c r="BQ103" s="57" t="s">
        <v>1287</v>
      </c>
      <c r="BR103" s="57" t="s">
        <v>1287</v>
      </c>
      <c r="BS103" s="57" t="s">
        <v>1287</v>
      </c>
      <c r="BT103" s="57" t="s">
        <v>1287</v>
      </c>
      <c r="BU103" s="57" t="s">
        <v>1287</v>
      </c>
      <c r="BV103" s="70">
        <f t="shared" si="226"/>
        <v>33</v>
      </c>
      <c r="BW103" s="71">
        <f t="shared" si="227"/>
        <v>70</v>
      </c>
      <c r="BX103" s="72">
        <f t="shared" si="228"/>
        <v>74</v>
      </c>
      <c r="BY103" s="71">
        <f t="shared" si="229"/>
        <v>106</v>
      </c>
      <c r="BZ103" s="72">
        <f t="shared" si="230"/>
        <v>110</v>
      </c>
      <c r="CA103" s="71">
        <f t="shared" si="231"/>
        <v>146</v>
      </c>
      <c r="CB103" s="72">
        <f t="shared" si="232"/>
        <v>154</v>
      </c>
      <c r="CC103" s="71">
        <f t="shared" si="233"/>
        <v>199</v>
      </c>
      <c r="CD103" s="72">
        <f t="shared" si="234"/>
        <v>204</v>
      </c>
      <c r="CE103" s="71">
        <f t="shared" si="235"/>
        <v>275</v>
      </c>
      <c r="CF103" s="72">
        <f t="shared" si="236"/>
        <v>321</v>
      </c>
      <c r="CG103" s="71">
        <f t="shared" si="237"/>
        <v>346</v>
      </c>
      <c r="CH103" s="70">
        <f t="shared" si="238"/>
        <v>69</v>
      </c>
      <c r="CI103" s="71">
        <f t="shared" si="239"/>
        <v>73</v>
      </c>
      <c r="CJ103" s="72">
        <f t="shared" si="240"/>
        <v>104</v>
      </c>
      <c r="CK103" s="72">
        <f t="shared" si="241"/>
        <v>109</v>
      </c>
      <c r="CL103" s="72">
        <f t="shared" si="242"/>
        <v>145</v>
      </c>
      <c r="CM103" s="72">
        <f t="shared" si="243"/>
        <v>153</v>
      </c>
      <c r="CN103" s="72">
        <f t="shared" si="244"/>
        <v>180</v>
      </c>
      <c r="CO103" s="72">
        <f t="shared" si="245"/>
        <v>201</v>
      </c>
      <c r="CP103" s="72">
        <f t="shared" si="246"/>
        <v>238</v>
      </c>
      <c r="CQ103" s="72">
        <f t="shared" si="247"/>
        <v>316</v>
      </c>
      <c r="CR103" s="72">
        <f t="shared" si="248"/>
        <v>345</v>
      </c>
      <c r="CS103" s="72">
        <f t="shared" si="249"/>
        <v>358</v>
      </c>
      <c r="CT103" s="23">
        <f t="shared" si="25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503"/>
        <v>adrb1_melga_4AMI</v>
      </c>
      <c r="B104" s="3" t="s">
        <v>911</v>
      </c>
      <c r="C104" s="3" t="s">
        <v>1039</v>
      </c>
      <c r="D104" s="3" t="str">
        <f>IFERROR(MID(VLOOKUP($B104,Seqs!$A:$B,2,0),E104,1),"")</f>
        <v>A</v>
      </c>
      <c r="E104" s="3">
        <v>33</v>
      </c>
      <c r="F104" s="3" t="str">
        <f>IFERROR(MID(VLOOKUP($B104,Seqs!$A:$B,2,0),G104,1),"")</f>
        <v>T</v>
      </c>
      <c r="G104" s="3">
        <v>69</v>
      </c>
      <c r="H104" s="3" t="str">
        <f>IFERROR(MID(VLOOKUP($B104,Seqs!$A:$B,2,0),I104,1),"")</f>
        <v>Q</v>
      </c>
      <c r="I104" s="23">
        <v>70</v>
      </c>
      <c r="J104" s="3" t="str">
        <f>IFERROR(MID(VLOOKUP($B104,Seqs!$A:$B,2,0),K104,1),"")</f>
        <v>Q</v>
      </c>
      <c r="K104" s="23">
        <v>73</v>
      </c>
      <c r="L104" s="3" t="str">
        <f>IFERROR(MID(VLOOKUP($B104,Seqs!$A:$B,2,0),M104,1),"")</f>
        <v>T</v>
      </c>
      <c r="M104" s="3">
        <v>74</v>
      </c>
      <c r="N104" s="3" t="str">
        <f>IFERROR(MID(VLOOKUP($B104,Seqs!$A:$B,2,0),O104,1),"")</f>
        <v>R</v>
      </c>
      <c r="O104" s="3">
        <v>104</v>
      </c>
      <c r="P104" s="3" t="str">
        <f>IFERROR(MID(VLOOKUP($B104,Seqs!$A:$B,2,0),Q104,1),"")</f>
        <v>T</v>
      </c>
      <c r="Q104" s="3">
        <v>106</v>
      </c>
      <c r="R104" s="3" t="str">
        <f>IFERROR(MID(VLOOKUP($B104,Seqs!$A:$B,2,0),S104,1),"")</f>
        <v>W</v>
      </c>
      <c r="S104" s="3">
        <v>109</v>
      </c>
      <c r="T104" s="3" t="str">
        <f>IFERROR(MID(VLOOKUP($B104,Seqs!$A:$B,2,0),U104,1),"")</f>
        <v>G</v>
      </c>
      <c r="U104" s="3">
        <v>110</v>
      </c>
      <c r="V104" s="3" t="str">
        <f>IFERROR(MID(VLOOKUP($B104,Seqs!$A:$B,2,0),W104,1),"")</f>
        <v>S</v>
      </c>
      <c r="W104" s="3">
        <v>145</v>
      </c>
      <c r="X104" s="3" t="str">
        <f>IFERROR(MID(VLOOKUP($B104,Seqs!$A:$B,2,0),Y104,1),"")</f>
        <v>P</v>
      </c>
      <c r="Y104" s="3">
        <v>146</v>
      </c>
      <c r="Z104" s="3" t="str">
        <f>IFERROR(MID(VLOOKUP($B104,Seqs!$A:$B,2,0),AA104,1),"")</f>
        <v>M</v>
      </c>
      <c r="AA104" s="3">
        <v>153</v>
      </c>
      <c r="AB104" s="3" t="str">
        <f>IFERROR(MID(VLOOKUP($B104,Seqs!$A:$B,2,0),AC104,1),"")</f>
        <v>T</v>
      </c>
      <c r="AC104" s="9">
        <v>154</v>
      </c>
      <c r="AD104" s="3" t="str">
        <f>IFERROR(MID(VLOOKUP($B104,Seqs!$A:$B,2,0),AE104,1),"")</f>
        <v>H</v>
      </c>
      <c r="AE104" s="3">
        <v>180</v>
      </c>
      <c r="AF104" s="3" t="str">
        <f>IFERROR(MID(VLOOKUP($B104,Seqs!$A:$B,2,0),AG104,1),"")</f>
        <v>C</v>
      </c>
      <c r="AG104" s="3">
        <v>199</v>
      </c>
      <c r="AH104" s="3" t="str">
        <f>IFERROR(MID(VLOOKUP($B104,Seqs!$A:$B,2,0),AI104,1),"")</f>
        <v>F</v>
      </c>
      <c r="AI104" s="3">
        <v>201</v>
      </c>
      <c r="AJ104" s="3" t="str">
        <f>IFERROR(MID(VLOOKUP($B104,Seqs!$A:$B,2,0),AK104,1),"")</f>
        <v>N</v>
      </c>
      <c r="AK104" s="3">
        <v>204</v>
      </c>
      <c r="AL104" s="3" t="str">
        <f>IFERROR(MID(VLOOKUP($B104,Seqs!$A:$B,2,0),AM104,1),"")</f>
        <v>E</v>
      </c>
      <c r="AM104" s="3">
        <v>236</v>
      </c>
      <c r="AN104" s="3" t="str">
        <f>IFERROR(MID(VLOOKUP($B104,Seqs!$A:$B,2,0),AO104,1),"")</f>
        <v>A</v>
      </c>
      <c r="AO104" s="3">
        <v>288</v>
      </c>
      <c r="AP104" s="3" t="str">
        <f>IFERROR(MID(VLOOKUP($B104,Seqs!$A:$B,2,0),AQ104,1),"")</f>
        <v>N</v>
      </c>
      <c r="AQ104" s="3">
        <v>316</v>
      </c>
      <c r="AR104" s="3" t="str">
        <f>IFERROR(MID(VLOOKUP($B104,Seqs!$A:$B,2,0),AS104,1),"")</f>
        <v>P</v>
      </c>
      <c r="AS104" s="3">
        <v>321</v>
      </c>
      <c r="AT104" s="3" t="str">
        <f>IFERROR(MID(VLOOKUP($B104,Seqs!$A:$B,2,0),AU104,1),"")</f>
        <v>R</v>
      </c>
      <c r="AU104" s="3">
        <v>345</v>
      </c>
      <c r="AV104" s="3" t="str">
        <f>IFERROR(MID(VLOOKUP($B104,Seqs!$A:$B,2,0),AW104,1),"")</f>
        <v>S</v>
      </c>
      <c r="AW104" s="3">
        <v>346</v>
      </c>
      <c r="AX104" s="3" t="str">
        <f>IFERROR(MID(VLOOKUP($B104,Seqs!$A:$B,2,0),AY104,1),"")</f>
        <v>C</v>
      </c>
      <c r="AY104" s="3">
        <v>358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504"/>
        <v>1</v>
      </c>
      <c r="BC104" s="23">
        <f t="shared" si="225"/>
        <v>250</v>
      </c>
      <c r="BD104" s="4" t="s">
        <v>23</v>
      </c>
      <c r="BE104" s="3" t="s">
        <v>1374</v>
      </c>
      <c r="BF104" s="118">
        <v>3.2</v>
      </c>
      <c r="BG104" s="49" t="s">
        <v>1377</v>
      </c>
      <c r="BH104" s="49" t="s">
        <v>1377</v>
      </c>
      <c r="BI104" s="1"/>
      <c r="BJ104" s="70" t="s">
        <v>1287</v>
      </c>
      <c r="BK104" s="57" t="s">
        <v>1287</v>
      </c>
      <c r="BL104" s="57" t="s">
        <v>1287</v>
      </c>
      <c r="BM104" s="57" t="s">
        <v>1287</v>
      </c>
      <c r="BN104" s="57" t="s">
        <v>1287</v>
      </c>
      <c r="BO104" s="57" t="s">
        <v>1287</v>
      </c>
      <c r="BP104" s="57" t="s">
        <v>1287</v>
      </c>
      <c r="BQ104" s="57" t="s">
        <v>1287</v>
      </c>
      <c r="BR104" s="57" t="s">
        <v>1287</v>
      </c>
      <c r="BS104" s="57" t="s">
        <v>1287</v>
      </c>
      <c r="BT104" s="57" t="s">
        <v>1287</v>
      </c>
      <c r="BU104" s="57" t="s">
        <v>1287</v>
      </c>
      <c r="BV104" s="70">
        <f t="shared" si="226"/>
        <v>33</v>
      </c>
      <c r="BW104" s="71">
        <f t="shared" si="227"/>
        <v>70</v>
      </c>
      <c r="BX104" s="72">
        <f t="shared" si="228"/>
        <v>74</v>
      </c>
      <c r="BY104" s="71">
        <f t="shared" si="229"/>
        <v>106</v>
      </c>
      <c r="BZ104" s="72">
        <f t="shared" si="230"/>
        <v>110</v>
      </c>
      <c r="CA104" s="71">
        <f t="shared" si="231"/>
        <v>146</v>
      </c>
      <c r="CB104" s="72">
        <f t="shared" si="232"/>
        <v>154</v>
      </c>
      <c r="CC104" s="71">
        <f t="shared" si="233"/>
        <v>199</v>
      </c>
      <c r="CD104" s="72">
        <f t="shared" si="234"/>
        <v>204</v>
      </c>
      <c r="CE104" s="71">
        <f t="shared" si="235"/>
        <v>288</v>
      </c>
      <c r="CF104" s="72">
        <f t="shared" si="236"/>
        <v>321</v>
      </c>
      <c r="CG104" s="71">
        <f t="shared" si="237"/>
        <v>346</v>
      </c>
      <c r="CH104" s="70">
        <f t="shared" si="238"/>
        <v>69</v>
      </c>
      <c r="CI104" s="71">
        <f t="shared" si="239"/>
        <v>73</v>
      </c>
      <c r="CJ104" s="72">
        <f t="shared" si="240"/>
        <v>104</v>
      </c>
      <c r="CK104" s="72">
        <f t="shared" si="241"/>
        <v>109</v>
      </c>
      <c r="CL104" s="72">
        <f t="shared" si="242"/>
        <v>145</v>
      </c>
      <c r="CM104" s="72">
        <f t="shared" si="243"/>
        <v>153</v>
      </c>
      <c r="CN104" s="72">
        <f t="shared" si="244"/>
        <v>180</v>
      </c>
      <c r="CO104" s="72">
        <f t="shared" si="245"/>
        <v>201</v>
      </c>
      <c r="CP104" s="72">
        <f t="shared" si="246"/>
        <v>236</v>
      </c>
      <c r="CQ104" s="72">
        <f t="shared" si="247"/>
        <v>316</v>
      </c>
      <c r="CR104" s="72">
        <f t="shared" si="248"/>
        <v>345</v>
      </c>
      <c r="CS104" s="72">
        <f t="shared" si="249"/>
        <v>358</v>
      </c>
      <c r="CT104" s="23">
        <f t="shared" si="25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503"/>
        <v>adrb1_melga_4AMJ</v>
      </c>
      <c r="B105" s="3" t="s">
        <v>911</v>
      </c>
      <c r="C105" s="3" t="s">
        <v>1040</v>
      </c>
      <c r="D105" s="3" t="str">
        <f>IFERROR(MID(VLOOKUP($B105,Seqs!$A:$B,2,0),E105,1),"")</f>
        <v>A</v>
      </c>
      <c r="E105" s="3">
        <v>33</v>
      </c>
      <c r="F105" s="3" t="str">
        <f>IFERROR(MID(VLOOKUP($B105,Seqs!$A:$B,2,0),G105,1),"")</f>
        <v>T</v>
      </c>
      <c r="G105" s="3">
        <v>69</v>
      </c>
      <c r="H105" s="3" t="str">
        <f>IFERROR(MID(VLOOKUP($B105,Seqs!$A:$B,2,0),I105,1),"")</f>
        <v>Q</v>
      </c>
      <c r="I105" s="23">
        <v>70</v>
      </c>
      <c r="J105" s="3" t="str">
        <f>IFERROR(MID(VLOOKUP($B105,Seqs!$A:$B,2,0),K105,1),"")</f>
        <v>Q</v>
      </c>
      <c r="K105" s="23">
        <v>73</v>
      </c>
      <c r="L105" s="3" t="str">
        <f>IFERROR(MID(VLOOKUP($B105,Seqs!$A:$B,2,0),M105,1),"")</f>
        <v>T</v>
      </c>
      <c r="M105" s="3">
        <v>74</v>
      </c>
      <c r="N105" s="3" t="str">
        <f>IFERROR(MID(VLOOKUP($B105,Seqs!$A:$B,2,0),O105,1),"")</f>
        <v>R</v>
      </c>
      <c r="O105" s="3">
        <v>104</v>
      </c>
      <c r="P105" s="3" t="str">
        <f>IFERROR(MID(VLOOKUP($B105,Seqs!$A:$B,2,0),Q105,1),"")</f>
        <v>T</v>
      </c>
      <c r="Q105" s="3">
        <v>106</v>
      </c>
      <c r="R105" s="3" t="str">
        <f>IFERROR(MID(VLOOKUP($B105,Seqs!$A:$B,2,0),S105,1),"")</f>
        <v>W</v>
      </c>
      <c r="S105" s="3">
        <v>109</v>
      </c>
      <c r="T105" s="3" t="str">
        <f>IFERROR(MID(VLOOKUP($B105,Seqs!$A:$B,2,0),U105,1),"")</f>
        <v>G</v>
      </c>
      <c r="U105" s="3">
        <v>110</v>
      </c>
      <c r="V105" s="3" t="str">
        <f>IFERROR(MID(VLOOKUP($B105,Seqs!$A:$B,2,0),W105,1),"")</f>
        <v>S</v>
      </c>
      <c r="W105" s="3">
        <v>145</v>
      </c>
      <c r="X105" s="3" t="str">
        <f>IFERROR(MID(VLOOKUP($B105,Seqs!$A:$B,2,0),Y105,1),"")</f>
        <v>P</v>
      </c>
      <c r="Y105" s="3">
        <v>146</v>
      </c>
      <c r="Z105" s="3" t="str">
        <f>IFERROR(MID(VLOOKUP($B105,Seqs!$A:$B,2,0),AA105,1),"")</f>
        <v>M</v>
      </c>
      <c r="AA105" s="3">
        <v>153</v>
      </c>
      <c r="AB105" s="3" t="str">
        <f>IFERROR(MID(VLOOKUP($B105,Seqs!$A:$B,2,0),AC105,1),"")</f>
        <v>T</v>
      </c>
      <c r="AC105" s="9">
        <v>154</v>
      </c>
      <c r="AD105" s="3" t="str">
        <f>IFERROR(MID(VLOOKUP($B105,Seqs!$A:$B,2,0),AE105,1),"")</f>
        <v>H</v>
      </c>
      <c r="AE105" s="3">
        <v>180</v>
      </c>
      <c r="AF105" s="3" t="str">
        <f>IFERROR(MID(VLOOKUP($B105,Seqs!$A:$B,2,0),AG105,1),"")</f>
        <v>C</v>
      </c>
      <c r="AG105" s="3">
        <v>199</v>
      </c>
      <c r="AH105" s="3" t="str">
        <f>IFERROR(MID(VLOOKUP($B105,Seqs!$A:$B,2,0),AI105,1),"")</f>
        <v>F</v>
      </c>
      <c r="AI105" s="3">
        <v>201</v>
      </c>
      <c r="AJ105" s="3" t="str">
        <f>IFERROR(MID(VLOOKUP($B105,Seqs!$A:$B,2,0),AK105,1),"")</f>
        <v>N</v>
      </c>
      <c r="AK105" s="3">
        <v>204</v>
      </c>
      <c r="AL105" s="3" t="str">
        <f>IFERROR(MID(VLOOKUP($B105,Seqs!$A:$B,2,0),AM105,1),"")</f>
        <v>I</v>
      </c>
      <c r="AM105" s="3">
        <v>238</v>
      </c>
      <c r="AN105" s="3" t="str">
        <f>IFERROR(MID(VLOOKUP($B105,Seqs!$A:$B,2,0),AO105,1),"")</f>
        <v>R</v>
      </c>
      <c r="AO105" s="3">
        <v>275</v>
      </c>
      <c r="AP105" s="3" t="str">
        <f>IFERROR(MID(VLOOKUP($B105,Seqs!$A:$B,2,0),AQ105,1),"")</f>
        <v>N</v>
      </c>
      <c r="AQ105" s="3">
        <v>316</v>
      </c>
      <c r="AR105" s="3" t="str">
        <f>IFERROR(MID(VLOOKUP($B105,Seqs!$A:$B,2,0),AS105,1),"")</f>
        <v>P</v>
      </c>
      <c r="AS105" s="3">
        <v>321</v>
      </c>
      <c r="AT105" s="3" t="str">
        <f>IFERROR(MID(VLOOKUP($B105,Seqs!$A:$B,2,0),AU105,1),"")</f>
        <v>R</v>
      </c>
      <c r="AU105" s="3">
        <v>345</v>
      </c>
      <c r="AV105" s="3" t="str">
        <f>IFERROR(MID(VLOOKUP($B105,Seqs!$A:$B,2,0),AW105,1),"")</f>
        <v>S</v>
      </c>
      <c r="AW105" s="3">
        <v>346</v>
      </c>
      <c r="AX105" s="3" t="str">
        <f>IFERROR(MID(VLOOKUP($B105,Seqs!$A:$B,2,0),AY105,1),"")</f>
        <v>C</v>
      </c>
      <c r="AY105" s="3">
        <v>358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504"/>
        <v>1</v>
      </c>
      <c r="BC105" s="23">
        <f t="shared" si="225"/>
        <v>265</v>
      </c>
      <c r="BD105" s="2" t="s">
        <v>1376</v>
      </c>
      <c r="BE105" s="3" t="s">
        <v>1374</v>
      </c>
      <c r="BF105" s="118">
        <v>2.2999999999999998</v>
      </c>
      <c r="BG105" s="49" t="s">
        <v>1377</v>
      </c>
      <c r="BH105" s="49" t="s">
        <v>1377</v>
      </c>
      <c r="BI105" s="1"/>
      <c r="BJ105" s="70" t="s">
        <v>1287</v>
      </c>
      <c r="BK105" s="57" t="s">
        <v>1287</v>
      </c>
      <c r="BL105" s="57" t="s">
        <v>1287</v>
      </c>
      <c r="BM105" s="57" t="s">
        <v>1287</v>
      </c>
      <c r="BN105" s="57" t="s">
        <v>1287</v>
      </c>
      <c r="BO105" s="57" t="s">
        <v>1287</v>
      </c>
      <c r="BP105" s="57" t="s">
        <v>1287</v>
      </c>
      <c r="BQ105" s="57" t="s">
        <v>1287</v>
      </c>
      <c r="BR105" s="57" t="s">
        <v>1287</v>
      </c>
      <c r="BS105" s="57" t="s">
        <v>1287</v>
      </c>
      <c r="BT105" s="57" t="s">
        <v>1287</v>
      </c>
      <c r="BU105" s="57" t="s">
        <v>1287</v>
      </c>
      <c r="BV105" s="70">
        <f t="shared" si="226"/>
        <v>33</v>
      </c>
      <c r="BW105" s="71">
        <f t="shared" si="227"/>
        <v>70</v>
      </c>
      <c r="BX105" s="72">
        <f t="shared" si="228"/>
        <v>74</v>
      </c>
      <c r="BY105" s="71">
        <f t="shared" si="229"/>
        <v>106</v>
      </c>
      <c r="BZ105" s="72">
        <f t="shared" si="230"/>
        <v>110</v>
      </c>
      <c r="CA105" s="71">
        <f t="shared" si="231"/>
        <v>146</v>
      </c>
      <c r="CB105" s="72">
        <f t="shared" si="232"/>
        <v>154</v>
      </c>
      <c r="CC105" s="71">
        <f t="shared" si="233"/>
        <v>199</v>
      </c>
      <c r="CD105" s="72">
        <f t="shared" si="234"/>
        <v>204</v>
      </c>
      <c r="CE105" s="71">
        <f t="shared" si="235"/>
        <v>275</v>
      </c>
      <c r="CF105" s="72">
        <f t="shared" si="236"/>
        <v>321</v>
      </c>
      <c r="CG105" s="71">
        <f t="shared" si="237"/>
        <v>346</v>
      </c>
      <c r="CH105" s="70">
        <f t="shared" si="238"/>
        <v>69</v>
      </c>
      <c r="CI105" s="71">
        <f t="shared" si="239"/>
        <v>73</v>
      </c>
      <c r="CJ105" s="72">
        <f t="shared" si="240"/>
        <v>104</v>
      </c>
      <c r="CK105" s="72">
        <f t="shared" si="241"/>
        <v>109</v>
      </c>
      <c r="CL105" s="72">
        <f t="shared" si="242"/>
        <v>145</v>
      </c>
      <c r="CM105" s="72">
        <f t="shared" si="243"/>
        <v>153</v>
      </c>
      <c r="CN105" s="72">
        <f t="shared" si="244"/>
        <v>180</v>
      </c>
      <c r="CO105" s="72">
        <f t="shared" si="245"/>
        <v>201</v>
      </c>
      <c r="CP105" s="72">
        <f t="shared" si="246"/>
        <v>238</v>
      </c>
      <c r="CQ105" s="72">
        <f t="shared" si="247"/>
        <v>316</v>
      </c>
      <c r="CR105" s="72">
        <f t="shared" si="248"/>
        <v>345</v>
      </c>
      <c r="CS105" s="72">
        <f t="shared" si="249"/>
        <v>358</v>
      </c>
      <c r="CT105" s="23">
        <f t="shared" si="25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503"/>
        <v>adrb1_melga_4BVN</v>
      </c>
      <c r="B106" s="3" t="s">
        <v>911</v>
      </c>
      <c r="C106" s="3" t="s">
        <v>82</v>
      </c>
      <c r="D106" s="3" t="str">
        <f>IFERROR(MID(VLOOKUP($B106,Seqs!$A:$B,2,0),E106,1),"")</f>
        <v>S</v>
      </c>
      <c r="E106" s="3">
        <v>37</v>
      </c>
      <c r="F106" s="3" t="str">
        <f>IFERROR(MID(VLOOKUP($B106,Seqs!$A:$B,2,0),G106,1),"")</f>
        <v>T</v>
      </c>
      <c r="G106" s="3">
        <v>69</v>
      </c>
      <c r="H106" s="3" t="str">
        <f>IFERROR(MID(VLOOKUP($B106,Seqs!$A:$B,2,0),I106,1),"")</f>
        <v>Q</v>
      </c>
      <c r="I106" s="23">
        <v>70</v>
      </c>
      <c r="J106" s="3" t="str">
        <f>IFERROR(MID(VLOOKUP($B106,Seqs!$A:$B,2,0),K106,1),"")</f>
        <v>Q</v>
      </c>
      <c r="K106" s="23">
        <v>73</v>
      </c>
      <c r="L106" s="3" t="str">
        <f>IFERROR(MID(VLOOKUP($B106,Seqs!$A:$B,2,0),M106,1),"")</f>
        <v>T</v>
      </c>
      <c r="M106" s="3">
        <v>74</v>
      </c>
      <c r="N106" s="3" t="str">
        <f>IFERROR(MID(VLOOKUP($B106,Seqs!$A:$B,2,0),O106,1),"")</f>
        <v>R</v>
      </c>
      <c r="O106" s="3">
        <v>104</v>
      </c>
      <c r="P106" s="3" t="str">
        <f>IFERROR(MID(VLOOKUP($B106,Seqs!$A:$B,2,0),Q106,1),"")</f>
        <v>T</v>
      </c>
      <c r="Q106" s="3">
        <v>106</v>
      </c>
      <c r="R106" s="3" t="str">
        <f>IFERROR(MID(VLOOKUP($B106,Seqs!$A:$B,2,0),S106,1),"")</f>
        <v>W</v>
      </c>
      <c r="S106" s="3">
        <v>109</v>
      </c>
      <c r="T106" s="3" t="str">
        <f>IFERROR(MID(VLOOKUP($B106,Seqs!$A:$B,2,0),U106,1),"")</f>
        <v>G</v>
      </c>
      <c r="U106" s="3">
        <v>110</v>
      </c>
      <c r="V106" s="3" t="str">
        <f>IFERROR(MID(VLOOKUP($B106,Seqs!$A:$B,2,0),W106,1),"")</f>
        <v>S</v>
      </c>
      <c r="W106" s="3">
        <v>145</v>
      </c>
      <c r="X106" s="3" t="str">
        <f>IFERROR(MID(VLOOKUP($B106,Seqs!$A:$B,2,0),Y106,1),"")</f>
        <v>P</v>
      </c>
      <c r="Y106" s="3">
        <v>146</v>
      </c>
      <c r="Z106" s="3" t="str">
        <f>IFERROR(MID(VLOOKUP($B106,Seqs!$A:$B,2,0),AA106,1),"")</f>
        <v>M</v>
      </c>
      <c r="AA106" s="3">
        <v>153</v>
      </c>
      <c r="AB106" s="3" t="str">
        <f>IFERROR(MID(VLOOKUP($B106,Seqs!$A:$B,2,0),AC106,1),"")</f>
        <v>T</v>
      </c>
      <c r="AC106" s="9">
        <v>154</v>
      </c>
      <c r="AD106" s="3" t="str">
        <f>IFERROR(MID(VLOOKUP($B106,Seqs!$A:$B,2,0),AE106,1),"")</f>
        <v>H</v>
      </c>
      <c r="AE106" s="3">
        <v>180</v>
      </c>
      <c r="AF106" s="3" t="str">
        <f>IFERROR(MID(VLOOKUP($B106,Seqs!$A:$B,2,0),AG106,1),"")</f>
        <v>C</v>
      </c>
      <c r="AG106" s="3">
        <v>199</v>
      </c>
      <c r="AH106" s="3" t="str">
        <f>IFERROR(MID(VLOOKUP($B106,Seqs!$A:$B,2,0),AI106,1),"")</f>
        <v>F</v>
      </c>
      <c r="AI106" s="3">
        <v>201</v>
      </c>
      <c r="AJ106" s="3" t="str">
        <f>IFERROR(MID(VLOOKUP($B106,Seqs!$A:$B,2,0),AK106,1),"")</f>
        <v>N</v>
      </c>
      <c r="AK106" s="3">
        <v>204</v>
      </c>
      <c r="AL106" s="3" t="str">
        <f>IFERROR(MID(VLOOKUP($B106,Seqs!$A:$B,2,0),AM106,1),"")</f>
        <v>R</v>
      </c>
      <c r="AM106" s="3">
        <v>239</v>
      </c>
      <c r="AN106" s="3" t="str">
        <f>IFERROR(MID(VLOOKUP($B106,Seqs!$A:$B,2,0),AO106,1),"")</f>
        <v>R</v>
      </c>
      <c r="AO106" s="3">
        <v>279</v>
      </c>
      <c r="AP106" s="3" t="str">
        <f>IFERROR(MID(VLOOKUP($B106,Seqs!$A:$B,2,0),AQ106,1),"")</f>
        <v>N</v>
      </c>
      <c r="AQ106" s="3">
        <v>316</v>
      </c>
      <c r="AR106" s="3" t="str">
        <f>IFERROR(MID(VLOOKUP($B106,Seqs!$A:$B,2,0),AS106,1),"")</f>
        <v>P</v>
      </c>
      <c r="AS106" s="3">
        <v>321</v>
      </c>
      <c r="AT106" s="3" t="str">
        <f>IFERROR(MID(VLOOKUP($B106,Seqs!$A:$B,2,0),AU106,1),"")</f>
        <v>R</v>
      </c>
      <c r="AU106" s="3">
        <v>345</v>
      </c>
      <c r="AV106" s="3" t="str">
        <f>IFERROR(MID(VLOOKUP($B106,Seqs!$A:$B,2,0),AW106,1),"")</f>
        <v>S</v>
      </c>
      <c r="AW106" s="3">
        <v>346</v>
      </c>
      <c r="AX106" s="3" t="str">
        <f>IFERROR(MID(VLOOKUP($B106,Seqs!$A:$B,2,0),AY106,1),"")</f>
        <v>C</v>
      </c>
      <c r="AY106" s="3">
        <v>358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504"/>
        <v>1</v>
      </c>
      <c r="BC106" s="23">
        <f t="shared" ref="BC106:BC188" si="729">_xlfn.AGGREGATE(9,6,CH106:CS106)-_xlfn.AGGREGATE(9,6,BV106:CG106)+12</f>
        <v>258</v>
      </c>
      <c r="BD106" s="4" t="s">
        <v>23</v>
      </c>
      <c r="BE106" s="3" t="s">
        <v>1374</v>
      </c>
      <c r="BF106" s="118">
        <v>2.1</v>
      </c>
      <c r="BG106" s="49" t="s">
        <v>1377</v>
      </c>
      <c r="BH106" s="49" t="s">
        <v>1377</v>
      </c>
      <c r="BI106" s="1"/>
      <c r="BJ106" s="70" t="s">
        <v>1287</v>
      </c>
      <c r="BK106" s="57" t="s">
        <v>1287</v>
      </c>
      <c r="BL106" s="57" t="s">
        <v>1287</v>
      </c>
      <c r="BM106" s="57" t="s">
        <v>1287</v>
      </c>
      <c r="BN106" s="57" t="s">
        <v>1287</v>
      </c>
      <c r="BO106" s="57" t="s">
        <v>1287</v>
      </c>
      <c r="BP106" s="57" t="s">
        <v>1287</v>
      </c>
      <c r="BQ106" s="57" t="s">
        <v>1287</v>
      </c>
      <c r="BR106" s="57" t="s">
        <v>1287</v>
      </c>
      <c r="BS106" s="57" t="s">
        <v>1287</v>
      </c>
      <c r="BT106" s="57" t="s">
        <v>1287</v>
      </c>
      <c r="BU106" s="57" t="s">
        <v>1287</v>
      </c>
      <c r="BV106" s="70">
        <f t="shared" ref="BV106:BV188" si="730">E106</f>
        <v>37</v>
      </c>
      <c r="BW106" s="71">
        <f t="shared" ref="BW106:BW188" si="731">I106</f>
        <v>70</v>
      </c>
      <c r="BX106" s="72">
        <f t="shared" ref="BX106:BX188" si="732">M106</f>
        <v>74</v>
      </c>
      <c r="BY106" s="71">
        <f t="shared" ref="BY106:BY188" si="733">Q106</f>
        <v>106</v>
      </c>
      <c r="BZ106" s="72">
        <f t="shared" ref="BZ106:BZ188" si="734">U106</f>
        <v>110</v>
      </c>
      <c r="CA106" s="71">
        <f t="shared" ref="CA106:CA188" si="735">Y106</f>
        <v>146</v>
      </c>
      <c r="CB106" s="72">
        <f t="shared" ref="CB106:CB188" si="736">AC106</f>
        <v>154</v>
      </c>
      <c r="CC106" s="71">
        <f t="shared" ref="CC106:CC188" si="737">AG106</f>
        <v>199</v>
      </c>
      <c r="CD106" s="72">
        <f t="shared" ref="CD106:CD188" si="738">AK106</f>
        <v>204</v>
      </c>
      <c r="CE106" s="71">
        <f t="shared" ref="CE106:CE188" si="739">AO106</f>
        <v>279</v>
      </c>
      <c r="CF106" s="72">
        <f t="shared" ref="CF106:CF188" si="740">AS106</f>
        <v>321</v>
      </c>
      <c r="CG106" s="71">
        <f t="shared" ref="CG106:CG188" si="741">AW106</f>
        <v>346</v>
      </c>
      <c r="CH106" s="70">
        <f t="shared" ref="CH106:CH188" si="742">G106</f>
        <v>69</v>
      </c>
      <c r="CI106" s="71">
        <f t="shared" ref="CI106:CI188" si="743">K106</f>
        <v>73</v>
      </c>
      <c r="CJ106" s="72">
        <f t="shared" ref="CJ106:CJ188" si="744">O106</f>
        <v>104</v>
      </c>
      <c r="CK106" s="72">
        <f t="shared" ref="CK106:CK188" si="745">S106</f>
        <v>109</v>
      </c>
      <c r="CL106" s="72">
        <f t="shared" ref="CL106:CL188" si="746">W106</f>
        <v>145</v>
      </c>
      <c r="CM106" s="72">
        <f t="shared" ref="CM106:CM188" si="747">AA106</f>
        <v>153</v>
      </c>
      <c r="CN106" s="72">
        <f t="shared" ref="CN106:CN188" si="748">AE106</f>
        <v>180</v>
      </c>
      <c r="CO106" s="72">
        <f t="shared" ref="CO106:CO188" si="749">AI106</f>
        <v>201</v>
      </c>
      <c r="CP106" s="72">
        <f t="shared" ref="CP106:CP188" si="750">AM106</f>
        <v>239</v>
      </c>
      <c r="CQ106" s="72">
        <f t="shared" ref="CQ106:CQ188" si="751">AQ106</f>
        <v>316</v>
      </c>
      <c r="CR106" s="72">
        <f t="shared" ref="CR106:CR188" si="752">AU106</f>
        <v>345</v>
      </c>
      <c r="CS106" s="72">
        <f t="shared" ref="CS106:CS188" si="753">AY106</f>
        <v>358</v>
      </c>
      <c r="CT106" s="23">
        <f t="shared" ref="CT106:CT188" si="754">M106-K106</f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503"/>
        <v>adrb1_melga_4GPO</v>
      </c>
      <c r="B107" s="3" t="s">
        <v>911</v>
      </c>
      <c r="C107" s="3" t="s">
        <v>1041</v>
      </c>
      <c r="D107" s="3" t="str">
        <f>IFERROR(MID(VLOOKUP($B107,Seqs!$A:$B,2,0),E107,1),"")</f>
        <v>S</v>
      </c>
      <c r="E107" s="3">
        <v>37</v>
      </c>
      <c r="F107" s="3" t="str">
        <f>IFERROR(MID(VLOOKUP($B107,Seqs!$A:$B,2,0),G107,1),"")</f>
        <v>T</v>
      </c>
      <c r="G107" s="3">
        <v>69</v>
      </c>
      <c r="H107" s="3" t="str">
        <f>IFERROR(MID(VLOOKUP($B107,Seqs!$A:$B,2,0),I107,1),"")</f>
        <v>Q</v>
      </c>
      <c r="I107" s="23">
        <v>70</v>
      </c>
      <c r="J107" s="3" t="str">
        <f>IFERROR(MID(VLOOKUP($B107,Seqs!$A:$B,2,0),K107,1),"")</f>
        <v>Q</v>
      </c>
      <c r="K107" s="23">
        <v>73</v>
      </c>
      <c r="L107" s="3" t="str">
        <f>IFERROR(MID(VLOOKUP($B107,Seqs!$A:$B,2,0),M107,1),"")</f>
        <v>T</v>
      </c>
      <c r="M107" s="3">
        <v>74</v>
      </c>
      <c r="N107" s="3" t="str">
        <f>IFERROR(MID(VLOOKUP($B107,Seqs!$A:$B,2,0),O107,1),"")</f>
        <v>R</v>
      </c>
      <c r="O107" s="3">
        <v>104</v>
      </c>
      <c r="P107" s="3" t="str">
        <f>IFERROR(MID(VLOOKUP($B107,Seqs!$A:$B,2,0),Q107,1),"")</f>
        <v>T</v>
      </c>
      <c r="Q107" s="3">
        <v>106</v>
      </c>
      <c r="R107" s="3" t="str">
        <f>IFERROR(MID(VLOOKUP($B107,Seqs!$A:$B,2,0),S107,1),"")</f>
        <v>W</v>
      </c>
      <c r="S107" s="3">
        <v>109</v>
      </c>
      <c r="T107" s="3" t="str">
        <f>IFERROR(MID(VLOOKUP($B107,Seqs!$A:$B,2,0),U107,1),"")</f>
        <v>G</v>
      </c>
      <c r="U107" s="3">
        <v>110</v>
      </c>
      <c r="V107" s="3" t="str">
        <f>IFERROR(MID(VLOOKUP($B107,Seqs!$A:$B,2,0),W107,1),"")</f>
        <v>S</v>
      </c>
      <c r="W107" s="3">
        <v>145</v>
      </c>
      <c r="X107" s="3" t="str">
        <f>IFERROR(MID(VLOOKUP($B107,Seqs!$A:$B,2,0),Y107,1),"")</f>
        <v>P</v>
      </c>
      <c r="Y107" s="3">
        <v>146</v>
      </c>
      <c r="Z107" s="3" t="str">
        <f>IFERROR(MID(VLOOKUP($B107,Seqs!$A:$B,2,0),AA107,1),"")</f>
        <v>M</v>
      </c>
      <c r="AA107" s="3">
        <v>153</v>
      </c>
      <c r="AB107" s="3" t="str">
        <f>IFERROR(MID(VLOOKUP($B107,Seqs!$A:$B,2,0),AC107,1),"")</f>
        <v>T</v>
      </c>
      <c r="AC107" s="9">
        <v>154</v>
      </c>
      <c r="AD107" s="3" t="str">
        <f>IFERROR(MID(VLOOKUP($B107,Seqs!$A:$B,2,0),AE107,1),"")</f>
        <v>H</v>
      </c>
      <c r="AE107" s="3">
        <v>180</v>
      </c>
      <c r="AF107" s="3" t="str">
        <f>IFERROR(MID(VLOOKUP($B107,Seqs!$A:$B,2,0),AG107,1),"")</f>
        <v>C</v>
      </c>
      <c r="AG107" s="3">
        <v>199</v>
      </c>
      <c r="AH107" s="3" t="str">
        <f>IFERROR(MID(VLOOKUP($B107,Seqs!$A:$B,2,0),AI107,1),"")</f>
        <v>F</v>
      </c>
      <c r="AI107" s="3">
        <v>201</v>
      </c>
      <c r="AJ107" s="3" t="str">
        <f>IFERROR(MID(VLOOKUP($B107,Seqs!$A:$B,2,0),AK107,1),"")</f>
        <v>N</v>
      </c>
      <c r="AK107" s="3">
        <v>204</v>
      </c>
      <c r="AL107" s="3" t="str">
        <f>IFERROR(MID(VLOOKUP($B107,Seqs!$A:$B,2,0),AM107,1),"")</f>
        <v>E</v>
      </c>
      <c r="AM107" s="3">
        <v>233</v>
      </c>
      <c r="AN107" s="3" t="str">
        <f>IFERROR(MID(VLOOKUP($B107,Seqs!$A:$B,2,0),AO107,1),"")</f>
        <v>M</v>
      </c>
      <c r="AO107" s="3">
        <v>283</v>
      </c>
      <c r="AP107" s="3" t="str">
        <f>IFERROR(MID(VLOOKUP($B107,Seqs!$A:$B,2,0),AQ107,1),"")</f>
        <v>N</v>
      </c>
      <c r="AQ107" s="3">
        <v>316</v>
      </c>
      <c r="AR107" s="3" t="str">
        <f>IFERROR(MID(VLOOKUP($B107,Seqs!$A:$B,2,0),AS107,1),"")</f>
        <v>P</v>
      </c>
      <c r="AS107" s="3">
        <v>321</v>
      </c>
      <c r="AT107" s="3" t="str">
        <f>IFERROR(MID(VLOOKUP($B107,Seqs!$A:$B,2,0),AU107,1),"")</f>
        <v>R</v>
      </c>
      <c r="AU107" s="3">
        <v>345</v>
      </c>
      <c r="AV107" s="3" t="str">
        <f>IFERROR(MID(VLOOKUP($B107,Seqs!$A:$B,2,0),AW107,1),"")</f>
        <v>S</v>
      </c>
      <c r="AW107" s="3">
        <v>346</v>
      </c>
      <c r="AX107" s="3" t="str">
        <f>IFERROR(MID(VLOOKUP($B107,Seqs!$A:$B,2,0),AY107,1),"")</f>
        <v>L</v>
      </c>
      <c r="AY107" s="3">
        <v>356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504"/>
        <v>1</v>
      </c>
      <c r="BC107" s="23">
        <f t="shared" si="729"/>
        <v>246</v>
      </c>
      <c r="BD107" s="4" t="s">
        <v>23</v>
      </c>
      <c r="BE107" s="3" t="s">
        <v>1374</v>
      </c>
      <c r="BF107" s="118">
        <v>3.5</v>
      </c>
      <c r="BG107" s="49" t="s">
        <v>1377</v>
      </c>
      <c r="BH107" s="49" t="s">
        <v>1377</v>
      </c>
      <c r="BI107" s="1"/>
      <c r="BJ107" s="70" t="s">
        <v>1287</v>
      </c>
      <c r="BK107" s="57" t="s">
        <v>1287</v>
      </c>
      <c r="BL107" s="57" t="s">
        <v>1287</v>
      </c>
      <c r="BM107" s="57" t="s">
        <v>1287</v>
      </c>
      <c r="BN107" s="57" t="s">
        <v>1287</v>
      </c>
      <c r="BO107" s="57" t="s">
        <v>1287</v>
      </c>
      <c r="BP107" s="57" t="s">
        <v>1287</v>
      </c>
      <c r="BQ107" s="57" t="s">
        <v>1287</v>
      </c>
      <c r="BR107" s="57" t="s">
        <v>1287</v>
      </c>
      <c r="BS107" s="57" t="s">
        <v>1287</v>
      </c>
      <c r="BT107" s="57" t="s">
        <v>1287</v>
      </c>
      <c r="BU107" s="57" t="s">
        <v>1287</v>
      </c>
      <c r="BV107" s="70">
        <f t="shared" si="730"/>
        <v>37</v>
      </c>
      <c r="BW107" s="71">
        <f t="shared" si="731"/>
        <v>70</v>
      </c>
      <c r="BX107" s="72">
        <f t="shared" si="732"/>
        <v>74</v>
      </c>
      <c r="BY107" s="71">
        <f t="shared" si="733"/>
        <v>106</v>
      </c>
      <c r="BZ107" s="72">
        <f t="shared" si="734"/>
        <v>110</v>
      </c>
      <c r="CA107" s="71">
        <f t="shared" si="735"/>
        <v>146</v>
      </c>
      <c r="CB107" s="72">
        <f t="shared" si="736"/>
        <v>154</v>
      </c>
      <c r="CC107" s="71">
        <f t="shared" si="737"/>
        <v>199</v>
      </c>
      <c r="CD107" s="72">
        <f t="shared" si="738"/>
        <v>204</v>
      </c>
      <c r="CE107" s="71">
        <f t="shared" si="739"/>
        <v>283</v>
      </c>
      <c r="CF107" s="72">
        <f t="shared" si="740"/>
        <v>321</v>
      </c>
      <c r="CG107" s="71">
        <f t="shared" si="741"/>
        <v>346</v>
      </c>
      <c r="CH107" s="70">
        <f t="shared" si="742"/>
        <v>69</v>
      </c>
      <c r="CI107" s="71">
        <f t="shared" si="743"/>
        <v>73</v>
      </c>
      <c r="CJ107" s="72">
        <f t="shared" si="744"/>
        <v>104</v>
      </c>
      <c r="CK107" s="72">
        <f t="shared" si="745"/>
        <v>109</v>
      </c>
      <c r="CL107" s="72">
        <f t="shared" si="746"/>
        <v>145</v>
      </c>
      <c r="CM107" s="72">
        <f t="shared" si="747"/>
        <v>153</v>
      </c>
      <c r="CN107" s="72">
        <f t="shared" si="748"/>
        <v>180</v>
      </c>
      <c r="CO107" s="72">
        <f t="shared" si="749"/>
        <v>201</v>
      </c>
      <c r="CP107" s="72">
        <f t="shared" si="750"/>
        <v>233</v>
      </c>
      <c r="CQ107" s="72">
        <f t="shared" si="751"/>
        <v>316</v>
      </c>
      <c r="CR107" s="72">
        <f t="shared" si="752"/>
        <v>345</v>
      </c>
      <c r="CS107" s="72">
        <f t="shared" si="753"/>
        <v>356</v>
      </c>
      <c r="CT107" s="23">
        <f t="shared" si="754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503"/>
        <v>adrb1_melga_5A8E</v>
      </c>
      <c r="B108" s="3" t="s">
        <v>911</v>
      </c>
      <c r="C108" s="3" t="s">
        <v>1058</v>
      </c>
      <c r="D108" s="3" t="str">
        <f>IFERROR(MID(VLOOKUP($B108,Seqs!$A:$B,2,0),E108,1),"")</f>
        <v>S</v>
      </c>
      <c r="E108" s="3">
        <v>37</v>
      </c>
      <c r="F108" s="3" t="str">
        <f>IFERROR(MID(VLOOKUP($B108,Seqs!$A:$B,2,0),G108,1),"")</f>
        <v>T</v>
      </c>
      <c r="G108" s="3">
        <v>69</v>
      </c>
      <c r="H108" s="3" t="str">
        <f>IFERROR(MID(VLOOKUP($B108,Seqs!$A:$B,2,0),I108,1),"")</f>
        <v>Q</v>
      </c>
      <c r="I108" s="23">
        <v>70</v>
      </c>
      <c r="J108" s="3" t="str">
        <f>IFERROR(MID(VLOOKUP($B108,Seqs!$A:$B,2,0),K108,1),"")</f>
        <v>Q</v>
      </c>
      <c r="K108" s="23">
        <v>73</v>
      </c>
      <c r="L108" s="3" t="str">
        <f>IFERROR(MID(VLOOKUP($B108,Seqs!$A:$B,2,0),M108,1),"")</f>
        <v>T</v>
      </c>
      <c r="M108" s="3">
        <v>74</v>
      </c>
      <c r="N108" s="3" t="str">
        <f>IFERROR(MID(VLOOKUP($B108,Seqs!$A:$B,2,0),O108,1),"")</f>
        <v>R</v>
      </c>
      <c r="O108" s="3">
        <v>104</v>
      </c>
      <c r="P108" s="3" t="str">
        <f>IFERROR(MID(VLOOKUP($B108,Seqs!$A:$B,2,0),Q108,1),"")</f>
        <v>T</v>
      </c>
      <c r="Q108" s="3">
        <v>106</v>
      </c>
      <c r="R108" s="3" t="str">
        <f>IFERROR(MID(VLOOKUP($B108,Seqs!$A:$B,2,0),S108,1),"")</f>
        <v>W</v>
      </c>
      <c r="S108" s="3">
        <v>109</v>
      </c>
      <c r="T108" s="3" t="str">
        <f>IFERROR(MID(VLOOKUP($B108,Seqs!$A:$B,2,0),U108,1),"")</f>
        <v>G</v>
      </c>
      <c r="U108" s="3">
        <v>110</v>
      </c>
      <c r="V108" s="3" t="str">
        <f>IFERROR(MID(VLOOKUP($B108,Seqs!$A:$B,2,0),W108,1),"")</f>
        <v>S</v>
      </c>
      <c r="W108" s="3">
        <v>145</v>
      </c>
      <c r="X108" s="3" t="str">
        <f>IFERROR(MID(VLOOKUP($B108,Seqs!$A:$B,2,0),Y108,1),"")</f>
        <v>P</v>
      </c>
      <c r="Y108" s="3">
        <v>146</v>
      </c>
      <c r="Z108" s="3" t="str">
        <f>IFERROR(MID(VLOOKUP($B108,Seqs!$A:$B,2,0),AA108,1),"")</f>
        <v>M</v>
      </c>
      <c r="AA108" s="3">
        <v>153</v>
      </c>
      <c r="AB108" s="3" t="str">
        <f>IFERROR(MID(VLOOKUP($B108,Seqs!$A:$B,2,0),AC108,1),"")</f>
        <v>T</v>
      </c>
      <c r="AC108" s="9">
        <v>154</v>
      </c>
      <c r="AD108" s="3" t="str">
        <f>IFERROR(MID(VLOOKUP($B108,Seqs!$A:$B,2,0),AE108,1),"")</f>
        <v>H</v>
      </c>
      <c r="AE108" s="3">
        <v>180</v>
      </c>
      <c r="AF108" s="3" t="str">
        <f>IFERROR(MID(VLOOKUP($B108,Seqs!$A:$B,2,0),AG108,1),"")</f>
        <v>C</v>
      </c>
      <c r="AG108" s="3">
        <v>199</v>
      </c>
      <c r="AH108" s="3" t="str">
        <f>IFERROR(MID(VLOOKUP($B108,Seqs!$A:$B,2,0),AI108,1),"")</f>
        <v>F</v>
      </c>
      <c r="AI108" s="3">
        <v>201</v>
      </c>
      <c r="AJ108" s="3" t="str">
        <f>IFERROR(MID(VLOOKUP($B108,Seqs!$A:$B,2,0),AK108,1),"")</f>
        <v>N</v>
      </c>
      <c r="AK108" s="3">
        <v>204</v>
      </c>
      <c r="AL108" s="3" t="str">
        <f>IFERROR(MID(VLOOKUP($B108,Seqs!$A:$B,2,0),AM108,1),"")</f>
        <v>R</v>
      </c>
      <c r="AM108" s="3">
        <v>239</v>
      </c>
      <c r="AN108" s="3" t="str">
        <f>IFERROR(MID(VLOOKUP($B108,Seqs!$A:$B,2,0),AO108,1),"")</f>
        <v>R</v>
      </c>
      <c r="AO108" s="3">
        <v>279</v>
      </c>
      <c r="AP108" s="3" t="str">
        <f>IFERROR(MID(VLOOKUP($B108,Seqs!$A:$B,2,0),AQ108,1),"")</f>
        <v>N</v>
      </c>
      <c r="AQ108" s="3">
        <v>316</v>
      </c>
      <c r="AR108" s="3" t="str">
        <f>IFERROR(MID(VLOOKUP($B108,Seqs!$A:$B,2,0),AS108,1),"")</f>
        <v>P</v>
      </c>
      <c r="AS108" s="3">
        <v>321</v>
      </c>
      <c r="AT108" s="3" t="str">
        <f>IFERROR(MID(VLOOKUP($B108,Seqs!$A:$B,2,0),AU108,1),"")</f>
        <v>R</v>
      </c>
      <c r="AU108" s="3">
        <v>345</v>
      </c>
      <c r="AV108" s="3" t="str">
        <f>IFERROR(MID(VLOOKUP($B108,Seqs!$A:$B,2,0),AW108,1),"")</f>
        <v>S</v>
      </c>
      <c r="AW108" s="3">
        <v>346</v>
      </c>
      <c r="AX108" s="3" t="str">
        <f>IFERROR(MID(VLOOKUP($B108,Seqs!$A:$B,2,0),AY108,1),"")</f>
        <v>K</v>
      </c>
      <c r="AY108" s="3">
        <v>354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504"/>
        <v>1</v>
      </c>
      <c r="BC108" s="23">
        <f t="shared" si="729"/>
        <v>254</v>
      </c>
      <c r="BD108" s="4" t="s">
        <v>23</v>
      </c>
      <c r="BE108" s="3" t="s">
        <v>1374</v>
      </c>
      <c r="BF108" s="118">
        <v>2.42</v>
      </c>
      <c r="BG108" s="49" t="s">
        <v>1377</v>
      </c>
      <c r="BH108" s="49" t="s">
        <v>1377</v>
      </c>
      <c r="BI108" s="1"/>
      <c r="BJ108" s="70" t="s">
        <v>1287</v>
      </c>
      <c r="BK108" s="57" t="s">
        <v>1287</v>
      </c>
      <c r="BL108" s="57" t="s">
        <v>1287</v>
      </c>
      <c r="BM108" s="57" t="s">
        <v>1287</v>
      </c>
      <c r="BN108" s="57" t="s">
        <v>1287</v>
      </c>
      <c r="BO108" s="57" t="s">
        <v>1287</v>
      </c>
      <c r="BP108" s="57" t="s">
        <v>1287</v>
      </c>
      <c r="BQ108" s="57" t="s">
        <v>1287</v>
      </c>
      <c r="BR108" s="57" t="s">
        <v>1287</v>
      </c>
      <c r="BS108" s="57" t="s">
        <v>1287</v>
      </c>
      <c r="BT108" s="57" t="s">
        <v>1287</v>
      </c>
      <c r="BU108" s="57" t="s">
        <v>1287</v>
      </c>
      <c r="BV108" s="70">
        <f t="shared" si="730"/>
        <v>37</v>
      </c>
      <c r="BW108" s="71">
        <f t="shared" si="731"/>
        <v>70</v>
      </c>
      <c r="BX108" s="72">
        <f t="shared" si="732"/>
        <v>74</v>
      </c>
      <c r="BY108" s="71">
        <f t="shared" si="733"/>
        <v>106</v>
      </c>
      <c r="BZ108" s="72">
        <f t="shared" si="734"/>
        <v>110</v>
      </c>
      <c r="CA108" s="71">
        <f t="shared" si="735"/>
        <v>146</v>
      </c>
      <c r="CB108" s="72">
        <f t="shared" si="736"/>
        <v>154</v>
      </c>
      <c r="CC108" s="71">
        <f t="shared" si="737"/>
        <v>199</v>
      </c>
      <c r="CD108" s="72">
        <f t="shared" si="738"/>
        <v>204</v>
      </c>
      <c r="CE108" s="71">
        <f t="shared" si="739"/>
        <v>279</v>
      </c>
      <c r="CF108" s="72">
        <f t="shared" si="740"/>
        <v>321</v>
      </c>
      <c r="CG108" s="71">
        <f t="shared" si="741"/>
        <v>346</v>
      </c>
      <c r="CH108" s="70">
        <f t="shared" si="742"/>
        <v>69</v>
      </c>
      <c r="CI108" s="71">
        <f t="shared" si="743"/>
        <v>73</v>
      </c>
      <c r="CJ108" s="72">
        <f t="shared" si="744"/>
        <v>104</v>
      </c>
      <c r="CK108" s="72">
        <f t="shared" si="745"/>
        <v>109</v>
      </c>
      <c r="CL108" s="72">
        <f t="shared" si="746"/>
        <v>145</v>
      </c>
      <c r="CM108" s="72">
        <f t="shared" si="747"/>
        <v>153</v>
      </c>
      <c r="CN108" s="72">
        <f t="shared" si="748"/>
        <v>180</v>
      </c>
      <c r="CO108" s="72">
        <f t="shared" si="749"/>
        <v>201</v>
      </c>
      <c r="CP108" s="72">
        <f t="shared" si="750"/>
        <v>239</v>
      </c>
      <c r="CQ108" s="72">
        <f t="shared" si="751"/>
        <v>316</v>
      </c>
      <c r="CR108" s="72">
        <f t="shared" si="752"/>
        <v>345</v>
      </c>
      <c r="CS108" s="72">
        <f t="shared" si="753"/>
        <v>354</v>
      </c>
      <c r="CT108" s="23">
        <f t="shared" si="754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503"/>
        <v>adrb1_melga_5F8U</v>
      </c>
      <c r="B109" s="3" t="s">
        <v>911</v>
      </c>
      <c r="C109" s="3" t="s">
        <v>1354</v>
      </c>
      <c r="D109" s="3" t="str">
        <f>IFERROR(MID(VLOOKUP($B109,Seqs!$A:$B,2,0),E109,1),"")</f>
        <v>W</v>
      </c>
      <c r="E109" s="3">
        <v>40</v>
      </c>
      <c r="F109" s="3" t="str">
        <f>IFERROR(MID(VLOOKUP($B109,Seqs!$A:$B,2,0),G109,1),"")</f>
        <v>T</v>
      </c>
      <c r="G109" s="3">
        <v>69</v>
      </c>
      <c r="H109" s="3" t="str">
        <f>IFERROR(MID(VLOOKUP($B109,Seqs!$A:$B,2,0),I109,1),"")</f>
        <v>Q</v>
      </c>
      <c r="I109" s="23">
        <v>70</v>
      </c>
      <c r="J109" s="3" t="str">
        <f>IFERROR(MID(VLOOKUP($B109,Seqs!$A:$B,2,0),K109,1),"")</f>
        <v>Q</v>
      </c>
      <c r="K109" s="23">
        <v>73</v>
      </c>
      <c r="L109" s="3" t="str">
        <f>IFERROR(MID(VLOOKUP($B109,Seqs!$A:$B,2,0),M109,1),"")</f>
        <v>T</v>
      </c>
      <c r="M109" s="3">
        <v>74</v>
      </c>
      <c r="N109" s="3" t="str">
        <f>IFERROR(MID(VLOOKUP($B109,Seqs!$A:$B,2,0),O109,1),"")</f>
        <v>R</v>
      </c>
      <c r="O109" s="3">
        <v>104</v>
      </c>
      <c r="P109" s="3" t="str">
        <f>IFERROR(MID(VLOOKUP($B109,Seqs!$A:$B,2,0),Q109,1),"")</f>
        <v>T</v>
      </c>
      <c r="Q109" s="3">
        <v>106</v>
      </c>
      <c r="R109" s="3" t="str">
        <f>IFERROR(MID(VLOOKUP($B109,Seqs!$A:$B,2,0),S109,1),"")</f>
        <v>W</v>
      </c>
      <c r="S109" s="3">
        <v>109</v>
      </c>
      <c r="T109" s="3" t="str">
        <f>IFERROR(MID(VLOOKUP($B109,Seqs!$A:$B,2,0),U109,1),"")</f>
        <v>G</v>
      </c>
      <c r="U109" s="3">
        <v>110</v>
      </c>
      <c r="V109" s="3" t="str">
        <f>IFERROR(MID(VLOOKUP($B109,Seqs!$A:$B,2,0),W109,1),"")</f>
        <v>S</v>
      </c>
      <c r="W109" s="3">
        <v>145</v>
      </c>
      <c r="X109" s="3" t="str">
        <f>IFERROR(MID(VLOOKUP($B109,Seqs!$A:$B,2,0),Y109,1),"")</f>
        <v>P</v>
      </c>
      <c r="Y109" s="3">
        <v>146</v>
      </c>
      <c r="Z109" s="3" t="str">
        <f>IFERROR(MID(VLOOKUP($B109,Seqs!$A:$B,2,0),AA109,1),"")</f>
        <v>M</v>
      </c>
      <c r="AA109" s="3">
        <v>153</v>
      </c>
      <c r="AB109" s="3" t="str">
        <f>IFERROR(MID(VLOOKUP($B109,Seqs!$A:$B,2,0),AC109,1),"")</f>
        <v>T</v>
      </c>
      <c r="AC109" s="9">
        <v>154</v>
      </c>
      <c r="AD109" s="3" t="str">
        <f>IFERROR(MID(VLOOKUP($B109,Seqs!$A:$B,2,0),AE109,1),"")</f>
        <v>H</v>
      </c>
      <c r="AE109" s="3">
        <v>180</v>
      </c>
      <c r="AF109" s="3" t="str">
        <f>IFERROR(MID(VLOOKUP($B109,Seqs!$A:$B,2,0),AG109,1),"")</f>
        <v>C</v>
      </c>
      <c r="AG109" s="3">
        <v>199</v>
      </c>
      <c r="AH109" s="3" t="str">
        <f>IFERROR(MID(VLOOKUP($B109,Seqs!$A:$B,2,0),AI109,1),"")</f>
        <v>F</v>
      </c>
      <c r="AI109" s="3">
        <v>201</v>
      </c>
      <c r="AJ109" s="3" t="str">
        <f>IFERROR(MID(VLOOKUP($B109,Seqs!$A:$B,2,0),AK109,1),"")</f>
        <v>N</v>
      </c>
      <c r="AK109" s="3">
        <v>204</v>
      </c>
      <c r="AL109" s="3" t="str">
        <f>IFERROR(MID(VLOOKUP($B109,Seqs!$A:$B,2,0),AM109,1),"")</f>
        <v>Q</v>
      </c>
      <c r="AM109" s="3">
        <v>237</v>
      </c>
      <c r="AN109" s="3" t="str">
        <f>IFERROR(MID(VLOOKUP($B109,Seqs!$A:$B,2,0),AO109,1),"")</f>
        <v>R</v>
      </c>
      <c r="AO109" s="3">
        <v>284</v>
      </c>
      <c r="AP109" s="3" t="str">
        <f>IFERROR(MID(VLOOKUP($B109,Seqs!$A:$B,2,0),AQ109,1),"")</f>
        <v>N</v>
      </c>
      <c r="AQ109" s="3">
        <v>316</v>
      </c>
      <c r="AR109" s="3" t="str">
        <f>IFERROR(MID(VLOOKUP($B109,Seqs!$A:$B,2,0),AS109,1),"")</f>
        <v>P</v>
      </c>
      <c r="AS109" s="3">
        <v>321</v>
      </c>
      <c r="AT109" s="3" t="str">
        <f>IFERROR(MID(VLOOKUP($B109,Seqs!$A:$B,2,0),AU109,1),"")</f>
        <v>R</v>
      </c>
      <c r="AU109" s="3">
        <v>345</v>
      </c>
      <c r="AV109" s="3" t="str">
        <f>IFERROR(MID(VLOOKUP($B109,Seqs!$A:$B,2,0),AW109,1),"")</f>
        <v>S</v>
      </c>
      <c r="AW109" s="3">
        <v>346</v>
      </c>
      <c r="AX109" s="3" t="str">
        <f>IFERROR(MID(VLOOKUP($B109,Seqs!$A:$B,2,0),AY109,1),"")</f>
        <v>C</v>
      </c>
      <c r="AY109" s="3">
        <v>358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504"/>
        <v>1</v>
      </c>
      <c r="BC109" s="23">
        <f t="shared" si="729"/>
        <v>248</v>
      </c>
      <c r="BD109" s="5" t="s">
        <v>23</v>
      </c>
      <c r="BE109" s="3" t="s">
        <v>1374</v>
      </c>
      <c r="BF109" s="118">
        <v>3.35</v>
      </c>
      <c r="BG109" s="49" t="s">
        <v>1377</v>
      </c>
      <c r="BH109" s="49" t="s">
        <v>1377</v>
      </c>
      <c r="BI109" s="1"/>
      <c r="BJ109" s="70" t="s">
        <v>1287</v>
      </c>
      <c r="BK109" s="57" t="s">
        <v>1287</v>
      </c>
      <c r="BL109" s="57" t="s">
        <v>1287</v>
      </c>
      <c r="BM109" s="57" t="s">
        <v>1287</v>
      </c>
      <c r="BN109" s="57" t="s">
        <v>1287</v>
      </c>
      <c r="BO109" s="57" t="s">
        <v>1287</v>
      </c>
      <c r="BP109" s="57" t="s">
        <v>1287</v>
      </c>
      <c r="BQ109" s="57" t="s">
        <v>1287</v>
      </c>
      <c r="BR109" s="57" t="s">
        <v>1287</v>
      </c>
      <c r="BS109" s="57" t="s">
        <v>1287</v>
      </c>
      <c r="BT109" s="57" t="s">
        <v>1287</v>
      </c>
      <c r="BU109" s="57" t="s">
        <v>1287</v>
      </c>
      <c r="BV109" s="70">
        <f t="shared" si="730"/>
        <v>40</v>
      </c>
      <c r="BW109" s="71">
        <f t="shared" si="731"/>
        <v>70</v>
      </c>
      <c r="BX109" s="72">
        <f t="shared" si="732"/>
        <v>74</v>
      </c>
      <c r="BY109" s="71">
        <f t="shared" si="733"/>
        <v>106</v>
      </c>
      <c r="BZ109" s="72">
        <f t="shared" si="734"/>
        <v>110</v>
      </c>
      <c r="CA109" s="71">
        <f t="shared" si="735"/>
        <v>146</v>
      </c>
      <c r="CB109" s="72">
        <f t="shared" si="736"/>
        <v>154</v>
      </c>
      <c r="CC109" s="71">
        <f t="shared" si="737"/>
        <v>199</v>
      </c>
      <c r="CD109" s="72">
        <f t="shared" si="738"/>
        <v>204</v>
      </c>
      <c r="CE109" s="71">
        <f t="shared" si="739"/>
        <v>284</v>
      </c>
      <c r="CF109" s="72">
        <f t="shared" si="740"/>
        <v>321</v>
      </c>
      <c r="CG109" s="71">
        <f t="shared" si="741"/>
        <v>346</v>
      </c>
      <c r="CH109" s="70">
        <f t="shared" si="742"/>
        <v>69</v>
      </c>
      <c r="CI109" s="71">
        <f t="shared" si="743"/>
        <v>73</v>
      </c>
      <c r="CJ109" s="72">
        <f t="shared" si="744"/>
        <v>104</v>
      </c>
      <c r="CK109" s="72">
        <f t="shared" si="745"/>
        <v>109</v>
      </c>
      <c r="CL109" s="72">
        <f t="shared" si="746"/>
        <v>145</v>
      </c>
      <c r="CM109" s="72">
        <f t="shared" si="747"/>
        <v>153</v>
      </c>
      <c r="CN109" s="72">
        <f t="shared" si="748"/>
        <v>180</v>
      </c>
      <c r="CO109" s="72">
        <f t="shared" si="749"/>
        <v>201</v>
      </c>
      <c r="CP109" s="72">
        <f t="shared" si="750"/>
        <v>237</v>
      </c>
      <c r="CQ109" s="72">
        <f t="shared" si="751"/>
        <v>316</v>
      </c>
      <c r="CR109" s="72">
        <f t="shared" si="752"/>
        <v>345</v>
      </c>
      <c r="CS109" s="72">
        <f t="shared" si="753"/>
        <v>358</v>
      </c>
      <c r="CT109" s="23">
        <f t="shared" si="754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s="12" customFormat="1" x14ac:dyDescent="0.2">
      <c r="A110" s="9" t="str">
        <f t="shared" ref="A110" si="755">CONCATENATE(B110,"_",C110)</f>
        <v>adrb1_melga_6H7J</v>
      </c>
      <c r="B110" s="9" t="s">
        <v>911</v>
      </c>
      <c r="C110" s="9" t="s">
        <v>1519</v>
      </c>
      <c r="D110" s="9" t="str">
        <f>IFERROR(MID(VLOOKUP($B110,Seqs!$A:$B,2,0),E110,1),"")</f>
        <v>W</v>
      </c>
      <c r="E110" s="9">
        <v>40</v>
      </c>
      <c r="F110" s="9" t="str">
        <f>IFERROR(MID(VLOOKUP($B110,Seqs!$A:$B,2,0),G110,1),"")</f>
        <v>T</v>
      </c>
      <c r="G110" s="9">
        <v>69</v>
      </c>
      <c r="H110" s="9" t="str">
        <f>IFERROR(MID(VLOOKUP($B110,Seqs!$A:$B,2,0),I110,1),"")</f>
        <v>Q</v>
      </c>
      <c r="I110" s="109">
        <v>70</v>
      </c>
      <c r="J110" s="9" t="str">
        <f>IFERROR(MID(VLOOKUP($B110,Seqs!$A:$B,2,0),K110,1),"")</f>
        <v>Q</v>
      </c>
      <c r="K110" s="109">
        <v>73</v>
      </c>
      <c r="L110" s="9" t="str">
        <f>IFERROR(MID(VLOOKUP($B110,Seqs!$A:$B,2,0),M110,1),"")</f>
        <v>T</v>
      </c>
      <c r="M110" s="9">
        <v>74</v>
      </c>
      <c r="N110" s="9" t="str">
        <f>IFERROR(MID(VLOOKUP($B110,Seqs!$A:$B,2,0),O110,1),"")</f>
        <v>R</v>
      </c>
      <c r="O110" s="9">
        <v>104</v>
      </c>
      <c r="P110" s="9" t="str">
        <f>IFERROR(MID(VLOOKUP($B110,Seqs!$A:$B,2,0),Q110,1),"")</f>
        <v>T</v>
      </c>
      <c r="Q110" s="9">
        <v>106</v>
      </c>
      <c r="R110" s="9" t="str">
        <f>IFERROR(MID(VLOOKUP($B110,Seqs!$A:$B,2,0),S110,1),"")</f>
        <v>W</v>
      </c>
      <c r="S110" s="9">
        <v>109</v>
      </c>
      <c r="T110" s="9" t="str">
        <f>IFERROR(MID(VLOOKUP($B110,Seqs!$A:$B,2,0),U110,1),"")</f>
        <v>G</v>
      </c>
      <c r="U110" s="9">
        <v>110</v>
      </c>
      <c r="V110" s="9" t="str">
        <f>IFERROR(MID(VLOOKUP($B110,Seqs!$A:$B,2,0),W110,1),"")</f>
        <v>S</v>
      </c>
      <c r="W110" s="9">
        <v>145</v>
      </c>
      <c r="X110" s="9" t="str">
        <f>IFERROR(MID(VLOOKUP($B110,Seqs!$A:$B,2,0),Y110,1),"")</f>
        <v>P</v>
      </c>
      <c r="Y110" s="9">
        <v>146</v>
      </c>
      <c r="Z110" s="9" t="str">
        <f>IFERROR(MID(VLOOKUP($B110,Seqs!$A:$B,2,0),AA110,1),"")</f>
        <v>M</v>
      </c>
      <c r="AA110" s="9">
        <v>153</v>
      </c>
      <c r="AB110" s="9" t="str">
        <f>IFERROR(MID(VLOOKUP($B110,Seqs!$A:$B,2,0),AC110,1),"")</f>
        <v>T</v>
      </c>
      <c r="AC110" s="9">
        <v>154</v>
      </c>
      <c r="AD110" s="9" t="str">
        <f>IFERROR(MID(VLOOKUP($B110,Seqs!$A:$B,2,0),AE110,1),"")</f>
        <v>H</v>
      </c>
      <c r="AE110" s="9">
        <v>180</v>
      </c>
      <c r="AF110" s="9" t="str">
        <f>IFERROR(MID(VLOOKUP($B110,Seqs!$A:$B,2,0),AG110,1),"")</f>
        <v>C</v>
      </c>
      <c r="AG110" s="9">
        <v>199</v>
      </c>
      <c r="AH110" s="9" t="str">
        <f>IFERROR(MID(VLOOKUP($B110,Seqs!$A:$B,2,0),AI110,1),"")</f>
        <v>F</v>
      </c>
      <c r="AI110" s="9">
        <v>201</v>
      </c>
      <c r="AJ110" s="9" t="str">
        <f>IFERROR(MID(VLOOKUP($B110,Seqs!$A:$B,2,0),AK110,1),"")</f>
        <v>N</v>
      </c>
      <c r="AK110" s="9">
        <v>204</v>
      </c>
      <c r="AL110" s="9" t="str">
        <f>IFERROR(MID(VLOOKUP($B110,Seqs!$A:$B,2,0),AM110,1),"")</f>
        <v>S</v>
      </c>
      <c r="AM110" s="9">
        <v>273</v>
      </c>
      <c r="AN110" s="9" t="str">
        <f>IFERROR(MID(VLOOKUP($B110,Seqs!$A:$B,2,0),AO110,1),"")</f>
        <v>A</v>
      </c>
      <c r="AO110" s="9">
        <v>282</v>
      </c>
      <c r="AP110" s="9" t="str">
        <f>IFERROR(MID(VLOOKUP($B110,Seqs!$A:$B,2,0),AQ110,1),"")</f>
        <v>N</v>
      </c>
      <c r="AQ110" s="9">
        <v>316</v>
      </c>
      <c r="AR110" s="9" t="str">
        <f>IFERROR(MID(VLOOKUP($B110,Seqs!$A:$B,2,0),AS110,1),"")</f>
        <v>P</v>
      </c>
      <c r="AS110" s="9">
        <v>321</v>
      </c>
      <c r="AT110" s="9" t="str">
        <f>IFERROR(MID(VLOOKUP($B110,Seqs!$A:$B,2,0),AU110,1),"")</f>
        <v>R</v>
      </c>
      <c r="AU110" s="9">
        <v>345</v>
      </c>
      <c r="AV110" s="9" t="str">
        <f>IFERROR(MID(VLOOKUP($B110,Seqs!$A:$B,2,0),AW110,1),"")</f>
        <v>S</v>
      </c>
      <c r="AW110" s="9">
        <v>346</v>
      </c>
      <c r="AX110" s="9" t="str">
        <f>IFERROR(MID(VLOOKUP($B110,Seqs!$A:$B,2,0),AY110,1),"")</f>
        <v>L</v>
      </c>
      <c r="AY110" s="9">
        <v>357</v>
      </c>
      <c r="AZ110" s="110" t="str">
        <f>VLOOKUP(B110,Classification!A:D,2,0)</f>
        <v>A</v>
      </c>
      <c r="BA110" s="98" t="str">
        <f>VLOOKUP(B110,Classification!A:D,4,0)</f>
        <v>Adrenoceptors</v>
      </c>
      <c r="BB110" s="36" t="b">
        <f t="shared" ref="BB110" si="756">AND(E110&lt;G110,OR(G110&lt;I110,I110="-"),OR(I110&lt;K110,I110="-"),OR(K110&lt;M110,K110="-"),M110&lt;O110,OR(O110&lt;Q110,Q110="-"),OR(Q110&lt;S110,Q110="-"),OR(S110&lt;U110,S110="-"),U110&lt;W110,OR(W110&lt;Y110,Y110="-"),OR(Y110&lt;AA110,Y110="-"),OR(AA110&lt;AC110,AA110="-"),AC110&lt;AE110,OR(AE110&lt;AG110,AG110="-"),OR(AG110&lt;AI110,AG110="-"),OR(AI110&lt;AK110,AI110="-"),AK110&lt;AM110,AM110&lt;AO110,AO110&lt;AQ110,AQ110&lt;AS110,AS110&lt;AU110,OR(AU110&lt;AW110,AW110="-"),OR(AW110&lt;AY110,AW110="-"))</f>
        <v>1</v>
      </c>
      <c r="BC110" s="109">
        <f t="shared" ref="BC110" si="757">_xlfn.AGGREGATE(9,6,CH110:CS110)-_xlfn.AGGREGATE(9,6,BV110:CG110)+12</f>
        <v>285</v>
      </c>
      <c r="BD110" s="13" t="s">
        <v>23</v>
      </c>
      <c r="BE110" s="9" t="s">
        <v>1291</v>
      </c>
      <c r="BF110" s="119">
        <v>2.8</v>
      </c>
      <c r="BG110" s="51" t="s">
        <v>1</v>
      </c>
      <c r="BH110" s="51" t="s">
        <v>1</v>
      </c>
      <c r="BJ110" s="111" t="s">
        <v>1287</v>
      </c>
      <c r="BK110" s="112" t="s">
        <v>1287</v>
      </c>
      <c r="BL110" s="112" t="s">
        <v>1287</v>
      </c>
      <c r="BM110" s="112" t="s">
        <v>1287</v>
      </c>
      <c r="BN110" s="112" t="s">
        <v>1287</v>
      </c>
      <c r="BO110" s="112" t="s">
        <v>1287</v>
      </c>
      <c r="BP110" s="112" t="s">
        <v>1287</v>
      </c>
      <c r="BQ110" s="112" t="s">
        <v>1287</v>
      </c>
      <c r="BR110" s="112" t="s">
        <v>1287</v>
      </c>
      <c r="BS110" s="112" t="s">
        <v>1287</v>
      </c>
      <c r="BT110" s="112" t="s">
        <v>1287</v>
      </c>
      <c r="BU110" s="112" t="s">
        <v>1287</v>
      </c>
      <c r="BV110" s="111">
        <f t="shared" ref="BV110" si="758">E110</f>
        <v>40</v>
      </c>
      <c r="BW110" s="113">
        <f t="shared" ref="BW110" si="759">I110</f>
        <v>70</v>
      </c>
      <c r="BX110" s="114">
        <f t="shared" ref="BX110" si="760">M110</f>
        <v>74</v>
      </c>
      <c r="BY110" s="113">
        <f t="shared" ref="BY110" si="761">Q110</f>
        <v>106</v>
      </c>
      <c r="BZ110" s="114">
        <f t="shared" ref="BZ110" si="762">U110</f>
        <v>110</v>
      </c>
      <c r="CA110" s="113">
        <f t="shared" ref="CA110" si="763">Y110</f>
        <v>146</v>
      </c>
      <c r="CB110" s="114">
        <f t="shared" ref="CB110" si="764">AC110</f>
        <v>154</v>
      </c>
      <c r="CC110" s="113">
        <f t="shared" ref="CC110" si="765">AG110</f>
        <v>199</v>
      </c>
      <c r="CD110" s="114">
        <f t="shared" ref="CD110" si="766">AK110</f>
        <v>204</v>
      </c>
      <c r="CE110" s="113">
        <f t="shared" ref="CE110" si="767">AO110</f>
        <v>282</v>
      </c>
      <c r="CF110" s="114">
        <f t="shared" ref="CF110" si="768">AS110</f>
        <v>321</v>
      </c>
      <c r="CG110" s="113">
        <f t="shared" ref="CG110" si="769">AW110</f>
        <v>346</v>
      </c>
      <c r="CH110" s="111">
        <f t="shared" ref="CH110" si="770">G110</f>
        <v>69</v>
      </c>
      <c r="CI110" s="113">
        <f t="shared" ref="CI110" si="771">K110</f>
        <v>73</v>
      </c>
      <c r="CJ110" s="114">
        <f t="shared" ref="CJ110" si="772">O110</f>
        <v>104</v>
      </c>
      <c r="CK110" s="114">
        <f t="shared" ref="CK110" si="773">S110</f>
        <v>109</v>
      </c>
      <c r="CL110" s="114">
        <f t="shared" ref="CL110" si="774">W110</f>
        <v>145</v>
      </c>
      <c r="CM110" s="114">
        <f t="shared" ref="CM110" si="775">AA110</f>
        <v>153</v>
      </c>
      <c r="CN110" s="114">
        <f t="shared" ref="CN110" si="776">AE110</f>
        <v>180</v>
      </c>
      <c r="CO110" s="114">
        <f t="shared" ref="CO110" si="777">AI110</f>
        <v>201</v>
      </c>
      <c r="CP110" s="114">
        <f t="shared" ref="CP110" si="778">AM110</f>
        <v>273</v>
      </c>
      <c r="CQ110" s="114">
        <f t="shared" ref="CQ110" si="779">AQ110</f>
        <v>316</v>
      </c>
      <c r="CR110" s="114">
        <f t="shared" ref="CR110" si="780">AU110</f>
        <v>345</v>
      </c>
      <c r="CS110" s="114">
        <f t="shared" ref="CS110" si="781">AY110</f>
        <v>357</v>
      </c>
      <c r="CT110" s="109">
        <f t="shared" ref="CT110" si="782">M110-K110</f>
        <v>1</v>
      </c>
    </row>
    <row r="111" spans="1:1029" s="12" customFormat="1" x14ac:dyDescent="0.2">
      <c r="A111" s="9" t="str">
        <f t="shared" ref="A111" si="783">CONCATENATE(B111,"_",C111)</f>
        <v>adrb1_melga_6H7L</v>
      </c>
      <c r="B111" s="9" t="s">
        <v>911</v>
      </c>
      <c r="C111" s="9" t="s">
        <v>1520</v>
      </c>
      <c r="D111" s="9" t="str">
        <f>IFERROR(MID(VLOOKUP($B111,Seqs!$A:$B,2,0),E111,1),"")</f>
        <v>W</v>
      </c>
      <c r="E111" s="9">
        <v>40</v>
      </c>
      <c r="F111" s="9" t="str">
        <f>IFERROR(MID(VLOOKUP($B111,Seqs!$A:$B,2,0),G111,1),"")</f>
        <v>T</v>
      </c>
      <c r="G111" s="9">
        <v>69</v>
      </c>
      <c r="H111" s="9" t="str">
        <f>IFERROR(MID(VLOOKUP($B111,Seqs!$A:$B,2,0),I111,1),"")</f>
        <v>Q</v>
      </c>
      <c r="I111" s="109">
        <v>70</v>
      </c>
      <c r="J111" s="9" t="str">
        <f>IFERROR(MID(VLOOKUP($B111,Seqs!$A:$B,2,0),K111,1),"")</f>
        <v>Q</v>
      </c>
      <c r="K111" s="109">
        <v>73</v>
      </c>
      <c r="L111" s="9" t="str">
        <f>IFERROR(MID(VLOOKUP($B111,Seqs!$A:$B,2,0),M111,1),"")</f>
        <v>T</v>
      </c>
      <c r="M111" s="9">
        <v>74</v>
      </c>
      <c r="N111" s="9" t="str">
        <f>IFERROR(MID(VLOOKUP($B111,Seqs!$A:$B,2,0),O111,1),"")</f>
        <v>R</v>
      </c>
      <c r="O111" s="9">
        <v>104</v>
      </c>
      <c r="P111" s="9" t="str">
        <f>IFERROR(MID(VLOOKUP($B111,Seqs!$A:$B,2,0),Q111,1),"")</f>
        <v>T</v>
      </c>
      <c r="Q111" s="9">
        <v>106</v>
      </c>
      <c r="R111" s="9" t="str">
        <f>IFERROR(MID(VLOOKUP($B111,Seqs!$A:$B,2,0),S111,1),"")</f>
        <v>W</v>
      </c>
      <c r="S111" s="9">
        <v>109</v>
      </c>
      <c r="T111" s="9" t="str">
        <f>IFERROR(MID(VLOOKUP($B111,Seqs!$A:$B,2,0),U111,1),"")</f>
        <v>G</v>
      </c>
      <c r="U111" s="9">
        <v>110</v>
      </c>
      <c r="V111" s="9" t="str">
        <f>IFERROR(MID(VLOOKUP($B111,Seqs!$A:$B,2,0),W111,1),"")</f>
        <v>S</v>
      </c>
      <c r="W111" s="9">
        <v>145</v>
      </c>
      <c r="X111" s="9" t="str">
        <f>IFERROR(MID(VLOOKUP($B111,Seqs!$A:$B,2,0),Y111,1),"")</f>
        <v>P</v>
      </c>
      <c r="Y111" s="9">
        <v>146</v>
      </c>
      <c r="Z111" s="9" t="str">
        <f>IFERROR(MID(VLOOKUP($B111,Seqs!$A:$B,2,0),AA111,1),"")</f>
        <v>M</v>
      </c>
      <c r="AA111" s="9">
        <v>153</v>
      </c>
      <c r="AB111" s="9" t="str">
        <f>IFERROR(MID(VLOOKUP($B111,Seqs!$A:$B,2,0),AC111,1),"")</f>
        <v>T</v>
      </c>
      <c r="AC111" s="9">
        <v>154</v>
      </c>
      <c r="AD111" s="9" t="str">
        <f>IFERROR(MID(VLOOKUP($B111,Seqs!$A:$B,2,0),AE111,1),"")</f>
        <v>H</v>
      </c>
      <c r="AE111" s="9">
        <v>180</v>
      </c>
      <c r="AF111" s="9" t="str">
        <f>IFERROR(MID(VLOOKUP($B111,Seqs!$A:$B,2,0),AG111,1),"")</f>
        <v>C</v>
      </c>
      <c r="AG111" s="9">
        <v>199</v>
      </c>
      <c r="AH111" s="9" t="str">
        <f>IFERROR(MID(VLOOKUP($B111,Seqs!$A:$B,2,0),AI111,1),"")</f>
        <v>F</v>
      </c>
      <c r="AI111" s="9">
        <v>201</v>
      </c>
      <c r="AJ111" s="9" t="str">
        <f>IFERROR(MID(VLOOKUP($B111,Seqs!$A:$B,2,0),AK111,1),"")</f>
        <v>N</v>
      </c>
      <c r="AK111" s="9">
        <v>204</v>
      </c>
      <c r="AL111" s="9" t="str">
        <f>IFERROR(MID(VLOOKUP($B111,Seqs!$A:$B,2,0),AM111,1),"")</f>
        <v>S</v>
      </c>
      <c r="AM111" s="9">
        <v>273</v>
      </c>
      <c r="AN111" s="9" t="str">
        <f>IFERROR(MID(VLOOKUP($B111,Seqs!$A:$B,2,0),AO111,1),"")</f>
        <v>A</v>
      </c>
      <c r="AO111" s="9">
        <v>282</v>
      </c>
      <c r="AP111" s="9" t="str">
        <f>IFERROR(MID(VLOOKUP($B111,Seqs!$A:$B,2,0),AQ111,1),"")</f>
        <v>N</v>
      </c>
      <c r="AQ111" s="9">
        <v>316</v>
      </c>
      <c r="AR111" s="9" t="str">
        <f>IFERROR(MID(VLOOKUP($B111,Seqs!$A:$B,2,0),AS111,1),"")</f>
        <v>P</v>
      </c>
      <c r="AS111" s="9">
        <v>321</v>
      </c>
      <c r="AT111" s="9" t="str">
        <f>IFERROR(MID(VLOOKUP($B111,Seqs!$A:$B,2,0),AU111,1),"")</f>
        <v>R</v>
      </c>
      <c r="AU111" s="9">
        <v>345</v>
      </c>
      <c r="AV111" s="9" t="str">
        <f>IFERROR(MID(VLOOKUP($B111,Seqs!$A:$B,2,0),AW111,1),"")</f>
        <v>S</v>
      </c>
      <c r="AW111" s="9">
        <v>346</v>
      </c>
      <c r="AX111" s="9" t="str">
        <f>IFERROR(MID(VLOOKUP($B111,Seqs!$A:$B,2,0),AY111,1),"")</f>
        <v>L</v>
      </c>
      <c r="AY111" s="9">
        <v>357</v>
      </c>
      <c r="AZ111" s="110" t="str">
        <f>VLOOKUP(B111,Classification!A:D,2,0)</f>
        <v>A</v>
      </c>
      <c r="BA111" s="98" t="str">
        <f>VLOOKUP(B111,Classification!A:D,4,0)</f>
        <v>Adrenoceptors</v>
      </c>
      <c r="BB111" s="36" t="b">
        <f t="shared" ref="BB111" si="784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09">
        <f t="shared" ref="BC111" si="785">_xlfn.AGGREGATE(9,6,CH111:CS111)-_xlfn.AGGREGATE(9,6,BV111:CG111)+12</f>
        <v>285</v>
      </c>
      <c r="BD111" s="13" t="s">
        <v>23</v>
      </c>
      <c r="BE111" s="9" t="s">
        <v>1291</v>
      </c>
      <c r="BF111" s="119">
        <v>2.7</v>
      </c>
      <c r="BG111" s="51" t="s">
        <v>1</v>
      </c>
      <c r="BH111" s="51" t="s">
        <v>1</v>
      </c>
      <c r="BJ111" s="111" t="s">
        <v>1287</v>
      </c>
      <c r="BK111" s="112" t="s">
        <v>1287</v>
      </c>
      <c r="BL111" s="112" t="s">
        <v>1287</v>
      </c>
      <c r="BM111" s="112" t="s">
        <v>1287</v>
      </c>
      <c r="BN111" s="112" t="s">
        <v>1287</v>
      </c>
      <c r="BO111" s="112" t="s">
        <v>1287</v>
      </c>
      <c r="BP111" s="112" t="s">
        <v>1287</v>
      </c>
      <c r="BQ111" s="112" t="s">
        <v>1287</v>
      </c>
      <c r="BR111" s="112" t="s">
        <v>1287</v>
      </c>
      <c r="BS111" s="112" t="s">
        <v>1287</v>
      </c>
      <c r="BT111" s="112" t="s">
        <v>1287</v>
      </c>
      <c r="BU111" s="112" t="s">
        <v>1287</v>
      </c>
      <c r="BV111" s="111">
        <f t="shared" ref="BV111" si="786">E111</f>
        <v>40</v>
      </c>
      <c r="BW111" s="113">
        <f t="shared" ref="BW111" si="787">I111</f>
        <v>70</v>
      </c>
      <c r="BX111" s="114">
        <f t="shared" ref="BX111" si="788">M111</f>
        <v>74</v>
      </c>
      <c r="BY111" s="113">
        <f t="shared" ref="BY111" si="789">Q111</f>
        <v>106</v>
      </c>
      <c r="BZ111" s="114">
        <f t="shared" ref="BZ111" si="790">U111</f>
        <v>110</v>
      </c>
      <c r="CA111" s="113">
        <f t="shared" ref="CA111" si="791">Y111</f>
        <v>146</v>
      </c>
      <c r="CB111" s="114">
        <f t="shared" ref="CB111" si="792">AC111</f>
        <v>154</v>
      </c>
      <c r="CC111" s="113">
        <f t="shared" ref="CC111" si="793">AG111</f>
        <v>199</v>
      </c>
      <c r="CD111" s="114">
        <f t="shared" ref="CD111" si="794">AK111</f>
        <v>204</v>
      </c>
      <c r="CE111" s="113">
        <f t="shared" ref="CE111" si="795">AO111</f>
        <v>282</v>
      </c>
      <c r="CF111" s="114">
        <f t="shared" ref="CF111" si="796">AS111</f>
        <v>321</v>
      </c>
      <c r="CG111" s="113">
        <f t="shared" ref="CG111" si="797">AW111</f>
        <v>346</v>
      </c>
      <c r="CH111" s="111">
        <f t="shared" ref="CH111" si="798">G111</f>
        <v>69</v>
      </c>
      <c r="CI111" s="113">
        <f t="shared" ref="CI111" si="799">K111</f>
        <v>73</v>
      </c>
      <c r="CJ111" s="114">
        <f t="shared" ref="CJ111" si="800">O111</f>
        <v>104</v>
      </c>
      <c r="CK111" s="114">
        <f t="shared" ref="CK111" si="801">S111</f>
        <v>109</v>
      </c>
      <c r="CL111" s="114">
        <f t="shared" ref="CL111" si="802">W111</f>
        <v>145</v>
      </c>
      <c r="CM111" s="114">
        <f t="shared" ref="CM111" si="803">AA111</f>
        <v>153</v>
      </c>
      <c r="CN111" s="114">
        <f t="shared" ref="CN111" si="804">AE111</f>
        <v>180</v>
      </c>
      <c r="CO111" s="114">
        <f t="shared" ref="CO111" si="805">AI111</f>
        <v>201</v>
      </c>
      <c r="CP111" s="114">
        <f t="shared" ref="CP111" si="806">AM111</f>
        <v>273</v>
      </c>
      <c r="CQ111" s="114">
        <f t="shared" ref="CQ111" si="807">AQ111</f>
        <v>316</v>
      </c>
      <c r="CR111" s="114">
        <f t="shared" ref="CR111" si="808">AU111</f>
        <v>345</v>
      </c>
      <c r="CS111" s="114">
        <f t="shared" ref="CS111" si="809">AY111</f>
        <v>357</v>
      </c>
      <c r="CT111" s="109">
        <f t="shared" ref="CT111" si="810">M111-K111</f>
        <v>1</v>
      </c>
    </row>
    <row r="112" spans="1:1029" s="12" customFormat="1" x14ac:dyDescent="0.2">
      <c r="A112" s="9" t="str">
        <f t="shared" ref="A112" si="811">CONCATENATE(B112,"_",C112)</f>
        <v>adrb1_melga_6H7M</v>
      </c>
      <c r="B112" s="9" t="s">
        <v>911</v>
      </c>
      <c r="C112" s="9" t="s">
        <v>1521</v>
      </c>
      <c r="D112" s="9" t="str">
        <f>IFERROR(MID(VLOOKUP($B112,Seqs!$A:$B,2,0),E112,1),"")</f>
        <v>W</v>
      </c>
      <c r="E112" s="9">
        <v>40</v>
      </c>
      <c r="F112" s="9" t="str">
        <f>IFERROR(MID(VLOOKUP($B112,Seqs!$A:$B,2,0),G112,1),"")</f>
        <v>T</v>
      </c>
      <c r="G112" s="9">
        <v>69</v>
      </c>
      <c r="H112" s="9" t="str">
        <f>IFERROR(MID(VLOOKUP($B112,Seqs!$A:$B,2,0),I112,1),"")</f>
        <v>Q</v>
      </c>
      <c r="I112" s="109">
        <v>70</v>
      </c>
      <c r="J112" s="9" t="str">
        <f>IFERROR(MID(VLOOKUP($B112,Seqs!$A:$B,2,0),K112,1),"")</f>
        <v>Q</v>
      </c>
      <c r="K112" s="109">
        <v>73</v>
      </c>
      <c r="L112" s="9" t="str">
        <f>IFERROR(MID(VLOOKUP($B112,Seqs!$A:$B,2,0),M112,1),"")</f>
        <v>T</v>
      </c>
      <c r="M112" s="9">
        <v>74</v>
      </c>
      <c r="N112" s="9" t="str">
        <f>IFERROR(MID(VLOOKUP($B112,Seqs!$A:$B,2,0),O112,1),"")</f>
        <v>R</v>
      </c>
      <c r="O112" s="9">
        <v>104</v>
      </c>
      <c r="P112" s="9" t="str">
        <f>IFERROR(MID(VLOOKUP($B112,Seqs!$A:$B,2,0),Q112,1),"")</f>
        <v>T</v>
      </c>
      <c r="Q112" s="9">
        <v>106</v>
      </c>
      <c r="R112" s="9" t="str">
        <f>IFERROR(MID(VLOOKUP($B112,Seqs!$A:$B,2,0),S112,1),"")</f>
        <v>W</v>
      </c>
      <c r="S112" s="9">
        <v>109</v>
      </c>
      <c r="T112" s="9" t="str">
        <f>IFERROR(MID(VLOOKUP($B112,Seqs!$A:$B,2,0),U112,1),"")</f>
        <v>G</v>
      </c>
      <c r="U112" s="9">
        <v>110</v>
      </c>
      <c r="V112" s="9" t="str">
        <f>IFERROR(MID(VLOOKUP($B112,Seqs!$A:$B,2,0),W112,1),"")</f>
        <v>S</v>
      </c>
      <c r="W112" s="9">
        <v>145</v>
      </c>
      <c r="X112" s="9" t="str">
        <f>IFERROR(MID(VLOOKUP($B112,Seqs!$A:$B,2,0),Y112,1),"")</f>
        <v>P</v>
      </c>
      <c r="Y112" s="9">
        <v>146</v>
      </c>
      <c r="Z112" s="9" t="str">
        <f>IFERROR(MID(VLOOKUP($B112,Seqs!$A:$B,2,0),AA112,1),"")</f>
        <v>M</v>
      </c>
      <c r="AA112" s="9">
        <v>153</v>
      </c>
      <c r="AB112" s="9" t="str">
        <f>IFERROR(MID(VLOOKUP($B112,Seqs!$A:$B,2,0),AC112,1),"")</f>
        <v>T</v>
      </c>
      <c r="AC112" s="9">
        <v>154</v>
      </c>
      <c r="AD112" s="9" t="str">
        <f>IFERROR(MID(VLOOKUP($B112,Seqs!$A:$B,2,0),AE112,1),"")</f>
        <v>H</v>
      </c>
      <c r="AE112" s="9">
        <v>180</v>
      </c>
      <c r="AF112" s="9" t="str">
        <f>IFERROR(MID(VLOOKUP($B112,Seqs!$A:$B,2,0),AG112,1),"")</f>
        <v>C</v>
      </c>
      <c r="AG112" s="9">
        <v>199</v>
      </c>
      <c r="AH112" s="9" t="str">
        <f>IFERROR(MID(VLOOKUP($B112,Seqs!$A:$B,2,0),AI112,1),"")</f>
        <v>F</v>
      </c>
      <c r="AI112" s="9">
        <v>201</v>
      </c>
      <c r="AJ112" s="9" t="str">
        <f>IFERROR(MID(VLOOKUP($B112,Seqs!$A:$B,2,0),AK112,1),"")</f>
        <v>N</v>
      </c>
      <c r="AK112" s="9">
        <v>204</v>
      </c>
      <c r="AL112" s="9" t="str">
        <f>IFERROR(MID(VLOOKUP($B112,Seqs!$A:$B,2,0),AM112,1),"")</f>
        <v>S</v>
      </c>
      <c r="AM112" s="9">
        <v>273</v>
      </c>
      <c r="AN112" s="9" t="str">
        <f>IFERROR(MID(VLOOKUP($B112,Seqs!$A:$B,2,0),AO112,1),"")</f>
        <v>A</v>
      </c>
      <c r="AO112" s="9">
        <v>282</v>
      </c>
      <c r="AP112" s="9" t="str">
        <f>IFERROR(MID(VLOOKUP($B112,Seqs!$A:$B,2,0),AQ112,1),"")</f>
        <v>N</v>
      </c>
      <c r="AQ112" s="9">
        <v>316</v>
      </c>
      <c r="AR112" s="9" t="str">
        <f>IFERROR(MID(VLOOKUP($B112,Seqs!$A:$B,2,0),AS112,1),"")</f>
        <v>P</v>
      </c>
      <c r="AS112" s="9">
        <v>321</v>
      </c>
      <c r="AT112" s="9" t="str">
        <f>IFERROR(MID(VLOOKUP($B112,Seqs!$A:$B,2,0),AU112,1),"")</f>
        <v>R</v>
      </c>
      <c r="AU112" s="9">
        <v>345</v>
      </c>
      <c r="AV112" s="9" t="str">
        <f>IFERROR(MID(VLOOKUP($B112,Seqs!$A:$B,2,0),AW112,1),"")</f>
        <v>S</v>
      </c>
      <c r="AW112" s="9">
        <v>346</v>
      </c>
      <c r="AX112" s="9" t="str">
        <f>IFERROR(MID(VLOOKUP($B112,Seqs!$A:$B,2,0),AY112,1),"")</f>
        <v>L</v>
      </c>
      <c r="AY112" s="9">
        <v>357</v>
      </c>
      <c r="AZ112" s="110" t="str">
        <f>VLOOKUP(B112,Classification!A:D,2,0)</f>
        <v>A</v>
      </c>
      <c r="BA112" s="98" t="str">
        <f>VLOOKUP(B112,Classification!A:D,4,0)</f>
        <v>Adrenoceptors</v>
      </c>
      <c r="BB112" s="36" t="b">
        <f t="shared" ref="BB112" si="812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09">
        <f t="shared" ref="BC112" si="813">_xlfn.AGGREGATE(9,6,CH112:CS112)-_xlfn.AGGREGATE(9,6,BV112:CG112)+12</f>
        <v>285</v>
      </c>
      <c r="BD112" s="13" t="s">
        <v>23</v>
      </c>
      <c r="BE112" s="9" t="s">
        <v>1291</v>
      </c>
      <c r="BF112" s="119">
        <v>2.76</v>
      </c>
      <c r="BG112" s="51" t="s">
        <v>1</v>
      </c>
      <c r="BH112" s="51" t="s">
        <v>1</v>
      </c>
      <c r="BJ112" s="111" t="s">
        <v>1287</v>
      </c>
      <c r="BK112" s="112" t="s">
        <v>1287</v>
      </c>
      <c r="BL112" s="112" t="s">
        <v>1287</v>
      </c>
      <c r="BM112" s="112" t="s">
        <v>1287</v>
      </c>
      <c r="BN112" s="112" t="s">
        <v>1287</v>
      </c>
      <c r="BO112" s="112" t="s">
        <v>1287</v>
      </c>
      <c r="BP112" s="112" t="s">
        <v>1287</v>
      </c>
      <c r="BQ112" s="112" t="s">
        <v>1287</v>
      </c>
      <c r="BR112" s="112" t="s">
        <v>1287</v>
      </c>
      <c r="BS112" s="112" t="s">
        <v>1287</v>
      </c>
      <c r="BT112" s="112" t="s">
        <v>1287</v>
      </c>
      <c r="BU112" s="112" t="s">
        <v>1287</v>
      </c>
      <c r="BV112" s="111">
        <f t="shared" ref="BV112" si="814">E112</f>
        <v>40</v>
      </c>
      <c r="BW112" s="113">
        <f t="shared" ref="BW112" si="815">I112</f>
        <v>70</v>
      </c>
      <c r="BX112" s="114">
        <f t="shared" ref="BX112" si="816">M112</f>
        <v>74</v>
      </c>
      <c r="BY112" s="113">
        <f t="shared" ref="BY112" si="817">Q112</f>
        <v>106</v>
      </c>
      <c r="BZ112" s="114">
        <f t="shared" ref="BZ112" si="818">U112</f>
        <v>110</v>
      </c>
      <c r="CA112" s="113">
        <f t="shared" ref="CA112" si="819">Y112</f>
        <v>146</v>
      </c>
      <c r="CB112" s="114">
        <f t="shared" ref="CB112" si="820">AC112</f>
        <v>154</v>
      </c>
      <c r="CC112" s="113">
        <f t="shared" ref="CC112" si="821">AG112</f>
        <v>199</v>
      </c>
      <c r="CD112" s="114">
        <f t="shared" ref="CD112" si="822">AK112</f>
        <v>204</v>
      </c>
      <c r="CE112" s="113">
        <f t="shared" ref="CE112" si="823">AO112</f>
        <v>282</v>
      </c>
      <c r="CF112" s="114">
        <f t="shared" ref="CF112" si="824">AS112</f>
        <v>321</v>
      </c>
      <c r="CG112" s="113">
        <f t="shared" ref="CG112" si="825">AW112</f>
        <v>346</v>
      </c>
      <c r="CH112" s="111">
        <f t="shared" ref="CH112" si="826">G112</f>
        <v>69</v>
      </c>
      <c r="CI112" s="113">
        <f t="shared" ref="CI112" si="827">K112</f>
        <v>73</v>
      </c>
      <c r="CJ112" s="114">
        <f t="shared" ref="CJ112" si="828">O112</f>
        <v>104</v>
      </c>
      <c r="CK112" s="114">
        <f t="shared" ref="CK112" si="829">S112</f>
        <v>109</v>
      </c>
      <c r="CL112" s="114">
        <f t="shared" ref="CL112" si="830">W112</f>
        <v>145</v>
      </c>
      <c r="CM112" s="114">
        <f t="shared" ref="CM112" si="831">AA112</f>
        <v>153</v>
      </c>
      <c r="CN112" s="114">
        <f t="shared" ref="CN112" si="832">AE112</f>
        <v>180</v>
      </c>
      <c r="CO112" s="114">
        <f t="shared" ref="CO112" si="833">AI112</f>
        <v>201</v>
      </c>
      <c r="CP112" s="114">
        <f t="shared" ref="CP112" si="834">AM112</f>
        <v>273</v>
      </c>
      <c r="CQ112" s="114">
        <f t="shared" ref="CQ112" si="835">AQ112</f>
        <v>316</v>
      </c>
      <c r="CR112" s="114">
        <f t="shared" ref="CR112" si="836">AU112</f>
        <v>345</v>
      </c>
      <c r="CS112" s="114">
        <f t="shared" ref="CS112" si="837">AY112</f>
        <v>357</v>
      </c>
      <c r="CT112" s="109">
        <f t="shared" ref="CT112" si="838">M112-K112</f>
        <v>1</v>
      </c>
    </row>
    <row r="113" spans="1:1029" s="12" customFormat="1" x14ac:dyDescent="0.2">
      <c r="A113" s="9" t="str">
        <f t="shared" ref="A113" si="839">CONCATENATE(B113,"_",C113)</f>
        <v>adrb1_melga_6H7N</v>
      </c>
      <c r="B113" s="9" t="s">
        <v>911</v>
      </c>
      <c r="C113" s="9" t="s">
        <v>1522</v>
      </c>
      <c r="D113" s="9" t="str">
        <f>IFERROR(MID(VLOOKUP($B113,Seqs!$A:$B,2,0),E113,1),"")</f>
        <v>W</v>
      </c>
      <c r="E113" s="9">
        <v>40</v>
      </c>
      <c r="F113" s="9" t="str">
        <f>IFERROR(MID(VLOOKUP($B113,Seqs!$A:$B,2,0),G113,1),"")</f>
        <v>T</v>
      </c>
      <c r="G113" s="9">
        <v>69</v>
      </c>
      <c r="H113" s="9" t="str">
        <f>IFERROR(MID(VLOOKUP($B113,Seqs!$A:$B,2,0),I113,1),"")</f>
        <v>Q</v>
      </c>
      <c r="I113" s="109">
        <v>70</v>
      </c>
      <c r="J113" s="9" t="str">
        <f>IFERROR(MID(VLOOKUP($B113,Seqs!$A:$B,2,0),K113,1),"")</f>
        <v>Q</v>
      </c>
      <c r="K113" s="109">
        <v>73</v>
      </c>
      <c r="L113" s="9" t="str">
        <f>IFERROR(MID(VLOOKUP($B113,Seqs!$A:$B,2,0),M113,1),"")</f>
        <v>T</v>
      </c>
      <c r="M113" s="9">
        <v>74</v>
      </c>
      <c r="N113" s="9" t="str">
        <f>IFERROR(MID(VLOOKUP($B113,Seqs!$A:$B,2,0),O113,1),"")</f>
        <v>R</v>
      </c>
      <c r="O113" s="9">
        <v>104</v>
      </c>
      <c r="P113" s="9" t="str">
        <f>IFERROR(MID(VLOOKUP($B113,Seqs!$A:$B,2,0),Q113,1),"")</f>
        <v>T</v>
      </c>
      <c r="Q113" s="9">
        <v>106</v>
      </c>
      <c r="R113" s="9" t="str">
        <f>IFERROR(MID(VLOOKUP($B113,Seqs!$A:$B,2,0),S113,1),"")</f>
        <v>W</v>
      </c>
      <c r="S113" s="9">
        <v>109</v>
      </c>
      <c r="T113" s="9" t="str">
        <f>IFERROR(MID(VLOOKUP($B113,Seqs!$A:$B,2,0),U113,1),"")</f>
        <v>G</v>
      </c>
      <c r="U113" s="9">
        <v>110</v>
      </c>
      <c r="V113" s="9" t="str">
        <f>IFERROR(MID(VLOOKUP($B113,Seqs!$A:$B,2,0),W113,1),"")</f>
        <v>S</v>
      </c>
      <c r="W113" s="9">
        <v>145</v>
      </c>
      <c r="X113" s="9" t="str">
        <f>IFERROR(MID(VLOOKUP($B113,Seqs!$A:$B,2,0),Y113,1),"")</f>
        <v>P</v>
      </c>
      <c r="Y113" s="9">
        <v>146</v>
      </c>
      <c r="Z113" s="9" t="str">
        <f>IFERROR(MID(VLOOKUP($B113,Seqs!$A:$B,2,0),AA113,1),"")</f>
        <v>M</v>
      </c>
      <c r="AA113" s="9">
        <v>153</v>
      </c>
      <c r="AB113" s="9" t="str">
        <f>IFERROR(MID(VLOOKUP($B113,Seqs!$A:$B,2,0),AC113,1),"")</f>
        <v>T</v>
      </c>
      <c r="AC113" s="9">
        <v>154</v>
      </c>
      <c r="AD113" s="9" t="str">
        <f>IFERROR(MID(VLOOKUP($B113,Seqs!$A:$B,2,0),AE113,1),"")</f>
        <v>H</v>
      </c>
      <c r="AE113" s="9">
        <v>180</v>
      </c>
      <c r="AF113" s="9" t="str">
        <f>IFERROR(MID(VLOOKUP($B113,Seqs!$A:$B,2,0),AG113,1),"")</f>
        <v>C</v>
      </c>
      <c r="AG113" s="9">
        <v>199</v>
      </c>
      <c r="AH113" s="9" t="str">
        <f>IFERROR(MID(VLOOKUP($B113,Seqs!$A:$B,2,0),AI113,1),"")</f>
        <v>F</v>
      </c>
      <c r="AI113" s="9">
        <v>201</v>
      </c>
      <c r="AJ113" s="9" t="str">
        <f>IFERROR(MID(VLOOKUP($B113,Seqs!$A:$B,2,0),AK113,1),"")</f>
        <v>N</v>
      </c>
      <c r="AK113" s="9">
        <v>204</v>
      </c>
      <c r="AL113" s="9" t="str">
        <f>IFERROR(MID(VLOOKUP($B113,Seqs!$A:$B,2,0),AM113,1),"")</f>
        <v>S</v>
      </c>
      <c r="AM113" s="9">
        <v>273</v>
      </c>
      <c r="AN113" s="9" t="str">
        <f>IFERROR(MID(VLOOKUP($B113,Seqs!$A:$B,2,0),AO113,1),"")</f>
        <v>A</v>
      </c>
      <c r="AO113" s="9">
        <v>282</v>
      </c>
      <c r="AP113" s="9" t="str">
        <f>IFERROR(MID(VLOOKUP($B113,Seqs!$A:$B,2,0),AQ113,1),"")</f>
        <v>N</v>
      </c>
      <c r="AQ113" s="9">
        <v>316</v>
      </c>
      <c r="AR113" s="9" t="str">
        <f>IFERROR(MID(VLOOKUP($B113,Seqs!$A:$B,2,0),AS113,1),"")</f>
        <v>P</v>
      </c>
      <c r="AS113" s="9">
        <v>321</v>
      </c>
      <c r="AT113" s="9" t="str">
        <f>IFERROR(MID(VLOOKUP($B113,Seqs!$A:$B,2,0),AU113,1),"")</f>
        <v>R</v>
      </c>
      <c r="AU113" s="9">
        <v>345</v>
      </c>
      <c r="AV113" s="9" t="str">
        <f>IFERROR(MID(VLOOKUP($B113,Seqs!$A:$B,2,0),AW113,1),"")</f>
        <v>S</v>
      </c>
      <c r="AW113" s="9">
        <v>346</v>
      </c>
      <c r="AX113" s="9" t="str">
        <f>IFERROR(MID(VLOOKUP($B113,Seqs!$A:$B,2,0),AY113,1),"")</f>
        <v>L</v>
      </c>
      <c r="AY113" s="9">
        <v>357</v>
      </c>
      <c r="AZ113" s="110" t="str">
        <f>VLOOKUP(B113,Classification!A:D,2,0)</f>
        <v>A</v>
      </c>
      <c r="BA113" s="98" t="str">
        <f>VLOOKUP(B113,Classification!A:D,4,0)</f>
        <v>Adrenoceptors</v>
      </c>
      <c r="BB113" s="36" t="b">
        <f t="shared" ref="BB113" si="840">AND(E113&lt;G113,OR(G113&lt;I113,I113="-"),OR(I113&lt;K113,I113="-"),OR(K113&lt;M113,K113="-"),M113&lt;O113,OR(O113&lt;Q113,Q113="-"),OR(Q113&lt;S113,Q113="-"),OR(S113&lt;U113,S113="-"),U113&lt;W113,OR(W113&lt;Y113,Y113="-"),OR(Y113&lt;AA113,Y113="-"),OR(AA113&lt;AC113,AA113="-"),AC113&lt;AE113,OR(AE113&lt;AG113,AG113="-"),OR(AG113&lt;AI113,AG113="-"),OR(AI113&lt;AK113,AI113="-"),AK113&lt;AM113,AM113&lt;AO113,AO113&lt;AQ113,AQ113&lt;AS113,AS113&lt;AU113,OR(AU113&lt;AW113,AW113="-"),OR(AW113&lt;AY113,AW113="-"))</f>
        <v>1</v>
      </c>
      <c r="BC113" s="109">
        <f t="shared" ref="BC113" si="841">_xlfn.AGGREGATE(9,6,CH113:CS113)-_xlfn.AGGREGATE(9,6,BV113:CG113)+12</f>
        <v>285</v>
      </c>
      <c r="BD113" s="13" t="s">
        <v>1375</v>
      </c>
      <c r="BE113" s="9" t="s">
        <v>1291</v>
      </c>
      <c r="BF113" s="119">
        <v>2.5</v>
      </c>
      <c r="BG113" s="51" t="s">
        <v>1</v>
      </c>
      <c r="BH113" s="51" t="s">
        <v>1</v>
      </c>
      <c r="BJ113" s="111" t="s">
        <v>1287</v>
      </c>
      <c r="BK113" s="112" t="s">
        <v>1287</v>
      </c>
      <c r="BL113" s="112" t="s">
        <v>1287</v>
      </c>
      <c r="BM113" s="112" t="s">
        <v>1287</v>
      </c>
      <c r="BN113" s="112" t="s">
        <v>1287</v>
      </c>
      <c r="BO113" s="112" t="s">
        <v>1287</v>
      </c>
      <c r="BP113" s="112" t="s">
        <v>1287</v>
      </c>
      <c r="BQ113" s="112" t="s">
        <v>1287</v>
      </c>
      <c r="BR113" s="112" t="s">
        <v>1287</v>
      </c>
      <c r="BS113" s="112" t="s">
        <v>1287</v>
      </c>
      <c r="BT113" s="112" t="s">
        <v>1287</v>
      </c>
      <c r="BU113" s="112" t="s">
        <v>1287</v>
      </c>
      <c r="BV113" s="111">
        <f t="shared" ref="BV113" si="842">E113</f>
        <v>40</v>
      </c>
      <c r="BW113" s="113">
        <f t="shared" ref="BW113" si="843">I113</f>
        <v>70</v>
      </c>
      <c r="BX113" s="114">
        <f t="shared" ref="BX113" si="844">M113</f>
        <v>74</v>
      </c>
      <c r="BY113" s="113">
        <f t="shared" ref="BY113" si="845">Q113</f>
        <v>106</v>
      </c>
      <c r="BZ113" s="114">
        <f t="shared" ref="BZ113" si="846">U113</f>
        <v>110</v>
      </c>
      <c r="CA113" s="113">
        <f t="shared" ref="CA113" si="847">Y113</f>
        <v>146</v>
      </c>
      <c r="CB113" s="114">
        <f t="shared" ref="CB113" si="848">AC113</f>
        <v>154</v>
      </c>
      <c r="CC113" s="113">
        <f t="shared" ref="CC113" si="849">AG113</f>
        <v>199</v>
      </c>
      <c r="CD113" s="114">
        <f t="shared" ref="CD113" si="850">AK113</f>
        <v>204</v>
      </c>
      <c r="CE113" s="113">
        <f t="shared" ref="CE113" si="851">AO113</f>
        <v>282</v>
      </c>
      <c r="CF113" s="114">
        <f t="shared" ref="CF113" si="852">AS113</f>
        <v>321</v>
      </c>
      <c r="CG113" s="113">
        <f t="shared" ref="CG113" si="853">AW113</f>
        <v>346</v>
      </c>
      <c r="CH113" s="111">
        <f t="shared" ref="CH113" si="854">G113</f>
        <v>69</v>
      </c>
      <c r="CI113" s="113">
        <f t="shared" ref="CI113" si="855">K113</f>
        <v>73</v>
      </c>
      <c r="CJ113" s="114">
        <f t="shared" ref="CJ113" si="856">O113</f>
        <v>104</v>
      </c>
      <c r="CK113" s="114">
        <f t="shared" ref="CK113" si="857">S113</f>
        <v>109</v>
      </c>
      <c r="CL113" s="114">
        <f t="shared" ref="CL113" si="858">W113</f>
        <v>145</v>
      </c>
      <c r="CM113" s="114">
        <f t="shared" ref="CM113" si="859">AA113</f>
        <v>153</v>
      </c>
      <c r="CN113" s="114">
        <f t="shared" ref="CN113" si="860">AE113</f>
        <v>180</v>
      </c>
      <c r="CO113" s="114">
        <f t="shared" ref="CO113" si="861">AI113</f>
        <v>201</v>
      </c>
      <c r="CP113" s="114">
        <f t="shared" ref="CP113" si="862">AM113</f>
        <v>273</v>
      </c>
      <c r="CQ113" s="114">
        <f t="shared" ref="CQ113" si="863">AQ113</f>
        <v>316</v>
      </c>
      <c r="CR113" s="114">
        <f t="shared" ref="CR113" si="864">AU113</f>
        <v>345</v>
      </c>
      <c r="CS113" s="114">
        <f t="shared" ref="CS113" si="865">AY113</f>
        <v>357</v>
      </c>
      <c r="CT113" s="109">
        <f t="shared" ref="CT113" si="866">M113-K113</f>
        <v>1</v>
      </c>
    </row>
    <row r="114" spans="1:1029" s="12" customFormat="1" x14ac:dyDescent="0.2">
      <c r="A114" s="9" t="str">
        <f t="shared" ref="A114" si="867">CONCATENATE(B114,"_",C114)</f>
        <v>adrb1_melga_6H7O</v>
      </c>
      <c r="B114" s="9" t="s">
        <v>911</v>
      </c>
      <c r="C114" s="9" t="s">
        <v>1523</v>
      </c>
      <c r="D114" s="9" t="str">
        <f>IFERROR(MID(VLOOKUP($B114,Seqs!$A:$B,2,0),E114,1),"")</f>
        <v>W</v>
      </c>
      <c r="E114" s="9">
        <v>40</v>
      </c>
      <c r="F114" s="9" t="str">
        <f>IFERROR(MID(VLOOKUP($B114,Seqs!$A:$B,2,0),G114,1),"")</f>
        <v>T</v>
      </c>
      <c r="G114" s="9">
        <v>69</v>
      </c>
      <c r="H114" s="9" t="str">
        <f>IFERROR(MID(VLOOKUP($B114,Seqs!$A:$B,2,0),I114,1),"")</f>
        <v>Q</v>
      </c>
      <c r="I114" s="109">
        <v>70</v>
      </c>
      <c r="J114" s="9" t="str">
        <f>IFERROR(MID(VLOOKUP($B114,Seqs!$A:$B,2,0),K114,1),"")</f>
        <v>Q</v>
      </c>
      <c r="K114" s="109">
        <v>73</v>
      </c>
      <c r="L114" s="9" t="str">
        <f>IFERROR(MID(VLOOKUP($B114,Seqs!$A:$B,2,0),M114,1),"")</f>
        <v>T</v>
      </c>
      <c r="M114" s="9">
        <v>74</v>
      </c>
      <c r="N114" s="9" t="str">
        <f>IFERROR(MID(VLOOKUP($B114,Seqs!$A:$B,2,0),O114,1),"")</f>
        <v>R</v>
      </c>
      <c r="O114" s="9">
        <v>104</v>
      </c>
      <c r="P114" s="9" t="str">
        <f>IFERROR(MID(VLOOKUP($B114,Seqs!$A:$B,2,0),Q114,1),"")</f>
        <v>T</v>
      </c>
      <c r="Q114" s="9">
        <v>106</v>
      </c>
      <c r="R114" s="9" t="str">
        <f>IFERROR(MID(VLOOKUP($B114,Seqs!$A:$B,2,0),S114,1),"")</f>
        <v>W</v>
      </c>
      <c r="S114" s="9">
        <v>109</v>
      </c>
      <c r="T114" s="9" t="str">
        <f>IFERROR(MID(VLOOKUP($B114,Seqs!$A:$B,2,0),U114,1),"")</f>
        <v>G</v>
      </c>
      <c r="U114" s="9">
        <v>110</v>
      </c>
      <c r="V114" s="9" t="str">
        <f>IFERROR(MID(VLOOKUP($B114,Seqs!$A:$B,2,0),W114,1),"")</f>
        <v>S</v>
      </c>
      <c r="W114" s="9">
        <v>145</v>
      </c>
      <c r="X114" s="9" t="str">
        <f>IFERROR(MID(VLOOKUP($B114,Seqs!$A:$B,2,0),Y114,1),"")</f>
        <v>P</v>
      </c>
      <c r="Y114" s="9">
        <v>146</v>
      </c>
      <c r="Z114" s="9" t="str">
        <f>IFERROR(MID(VLOOKUP($B114,Seqs!$A:$B,2,0),AA114,1),"")</f>
        <v>M</v>
      </c>
      <c r="AA114" s="9">
        <v>153</v>
      </c>
      <c r="AB114" s="9" t="str">
        <f>IFERROR(MID(VLOOKUP($B114,Seqs!$A:$B,2,0),AC114,1),"")</f>
        <v>T</v>
      </c>
      <c r="AC114" s="9">
        <v>154</v>
      </c>
      <c r="AD114" s="9" t="str">
        <f>IFERROR(MID(VLOOKUP($B114,Seqs!$A:$B,2,0),AE114,1),"")</f>
        <v>H</v>
      </c>
      <c r="AE114" s="9">
        <v>180</v>
      </c>
      <c r="AF114" s="9" t="str">
        <f>IFERROR(MID(VLOOKUP($B114,Seqs!$A:$B,2,0),AG114,1),"")</f>
        <v>C</v>
      </c>
      <c r="AG114" s="9">
        <v>199</v>
      </c>
      <c r="AH114" s="9" t="str">
        <f>IFERROR(MID(VLOOKUP($B114,Seqs!$A:$B,2,0),AI114,1),"")</f>
        <v>F</v>
      </c>
      <c r="AI114" s="9">
        <v>201</v>
      </c>
      <c r="AJ114" s="9" t="str">
        <f>IFERROR(MID(VLOOKUP($B114,Seqs!$A:$B,2,0),AK114,1),"")</f>
        <v>N</v>
      </c>
      <c r="AK114" s="9">
        <v>204</v>
      </c>
      <c r="AL114" s="9" t="str">
        <f>IFERROR(MID(VLOOKUP($B114,Seqs!$A:$B,2,0),AM114,1),"")</f>
        <v>S</v>
      </c>
      <c r="AM114" s="9">
        <v>273</v>
      </c>
      <c r="AN114" s="9" t="str">
        <f>IFERROR(MID(VLOOKUP($B114,Seqs!$A:$B,2,0),AO114,1),"")</f>
        <v>A</v>
      </c>
      <c r="AO114" s="9">
        <v>282</v>
      </c>
      <c r="AP114" s="9" t="str">
        <f>IFERROR(MID(VLOOKUP($B114,Seqs!$A:$B,2,0),AQ114,1),"")</f>
        <v>N</v>
      </c>
      <c r="AQ114" s="9">
        <v>316</v>
      </c>
      <c r="AR114" s="9" t="str">
        <f>IFERROR(MID(VLOOKUP($B114,Seqs!$A:$B,2,0),AS114,1),"")</f>
        <v>P</v>
      </c>
      <c r="AS114" s="9">
        <v>321</v>
      </c>
      <c r="AT114" s="9" t="str">
        <f>IFERROR(MID(VLOOKUP($B114,Seqs!$A:$B,2,0),AU114,1),"")</f>
        <v>R</v>
      </c>
      <c r="AU114" s="9">
        <v>345</v>
      </c>
      <c r="AV114" s="9" t="str">
        <f>IFERROR(MID(VLOOKUP($B114,Seqs!$A:$B,2,0),AW114,1),"")</f>
        <v>S</v>
      </c>
      <c r="AW114" s="9">
        <v>346</v>
      </c>
      <c r="AX114" s="9" t="str">
        <f>IFERROR(MID(VLOOKUP($B114,Seqs!$A:$B,2,0),AY114,1),"")</f>
        <v>L</v>
      </c>
      <c r="AY114" s="9">
        <v>357</v>
      </c>
      <c r="AZ114" s="110" t="str">
        <f>VLOOKUP(B114,Classification!A:D,2,0)</f>
        <v>A</v>
      </c>
      <c r="BA114" s="98" t="str">
        <f>VLOOKUP(B114,Classification!A:D,4,0)</f>
        <v>Adrenoceptors</v>
      </c>
      <c r="BB114" s="36" t="b">
        <f t="shared" ref="BB114" si="868">AND(E114&lt;G114,OR(G114&lt;I114,I114="-"),OR(I114&lt;K114,I114="-"),OR(K114&lt;M114,K114="-"),M114&lt;O114,OR(O114&lt;Q114,Q114="-"),OR(Q114&lt;S114,Q114="-"),OR(S114&lt;U114,S114="-"),U114&lt;W114,OR(W114&lt;Y114,Y114="-"),OR(Y114&lt;AA114,Y114="-"),OR(AA114&lt;AC114,AA114="-"),AC114&lt;AE114,OR(AE114&lt;AG114,AG114="-"),OR(AG114&lt;AI114,AG114="-"),OR(AI114&lt;AK114,AI114="-"),AK114&lt;AM114,AM114&lt;AO114,AO114&lt;AQ114,AQ114&lt;AS114,AS114&lt;AU114,OR(AU114&lt;AW114,AW114="-"),OR(AW114&lt;AY114,AW114="-"))</f>
        <v>1</v>
      </c>
      <c r="BC114" s="109">
        <f t="shared" ref="BC114" si="869">_xlfn.AGGREGATE(9,6,CH114:CS114)-_xlfn.AGGREGATE(9,6,BV114:CG114)+12</f>
        <v>285</v>
      </c>
      <c r="BD114" s="13" t="s">
        <v>23</v>
      </c>
      <c r="BE114" s="9" t="s">
        <v>1291</v>
      </c>
      <c r="BF114" s="119">
        <v>2.8</v>
      </c>
      <c r="BG114" s="51" t="s">
        <v>1</v>
      </c>
      <c r="BH114" s="51" t="s">
        <v>1</v>
      </c>
      <c r="BJ114" s="111" t="s">
        <v>1287</v>
      </c>
      <c r="BK114" s="112" t="s">
        <v>1287</v>
      </c>
      <c r="BL114" s="112" t="s">
        <v>1287</v>
      </c>
      <c r="BM114" s="112" t="s">
        <v>1287</v>
      </c>
      <c r="BN114" s="112" t="s">
        <v>1287</v>
      </c>
      <c r="BO114" s="112" t="s">
        <v>1287</v>
      </c>
      <c r="BP114" s="112" t="s">
        <v>1287</v>
      </c>
      <c r="BQ114" s="112" t="s">
        <v>1287</v>
      </c>
      <c r="BR114" s="112" t="s">
        <v>1287</v>
      </c>
      <c r="BS114" s="112" t="s">
        <v>1287</v>
      </c>
      <c r="BT114" s="112" t="s">
        <v>1287</v>
      </c>
      <c r="BU114" s="112" t="s">
        <v>1287</v>
      </c>
      <c r="BV114" s="111">
        <f t="shared" ref="BV114" si="870">E114</f>
        <v>40</v>
      </c>
      <c r="BW114" s="113">
        <f t="shared" ref="BW114" si="871">I114</f>
        <v>70</v>
      </c>
      <c r="BX114" s="114">
        <f t="shared" ref="BX114" si="872">M114</f>
        <v>74</v>
      </c>
      <c r="BY114" s="113">
        <f t="shared" ref="BY114" si="873">Q114</f>
        <v>106</v>
      </c>
      <c r="BZ114" s="114">
        <f t="shared" ref="BZ114" si="874">U114</f>
        <v>110</v>
      </c>
      <c r="CA114" s="113">
        <f t="shared" ref="CA114" si="875">Y114</f>
        <v>146</v>
      </c>
      <c r="CB114" s="114">
        <f t="shared" ref="CB114" si="876">AC114</f>
        <v>154</v>
      </c>
      <c r="CC114" s="113">
        <f t="shared" ref="CC114" si="877">AG114</f>
        <v>199</v>
      </c>
      <c r="CD114" s="114">
        <f t="shared" ref="CD114" si="878">AK114</f>
        <v>204</v>
      </c>
      <c r="CE114" s="113">
        <f t="shared" ref="CE114" si="879">AO114</f>
        <v>282</v>
      </c>
      <c r="CF114" s="114">
        <f t="shared" ref="CF114" si="880">AS114</f>
        <v>321</v>
      </c>
      <c r="CG114" s="113">
        <f t="shared" ref="CG114" si="881">AW114</f>
        <v>346</v>
      </c>
      <c r="CH114" s="111">
        <f t="shared" ref="CH114" si="882">G114</f>
        <v>69</v>
      </c>
      <c r="CI114" s="113">
        <f t="shared" ref="CI114" si="883">K114</f>
        <v>73</v>
      </c>
      <c r="CJ114" s="114">
        <f t="shared" ref="CJ114" si="884">O114</f>
        <v>104</v>
      </c>
      <c r="CK114" s="114">
        <f t="shared" ref="CK114" si="885">S114</f>
        <v>109</v>
      </c>
      <c r="CL114" s="114">
        <f t="shared" ref="CL114" si="886">W114</f>
        <v>145</v>
      </c>
      <c r="CM114" s="114">
        <f t="shared" ref="CM114" si="887">AA114</f>
        <v>153</v>
      </c>
      <c r="CN114" s="114">
        <f t="shared" ref="CN114" si="888">AE114</f>
        <v>180</v>
      </c>
      <c r="CO114" s="114">
        <f t="shared" ref="CO114" si="889">AI114</f>
        <v>201</v>
      </c>
      <c r="CP114" s="114">
        <f t="shared" ref="CP114" si="890">AM114</f>
        <v>273</v>
      </c>
      <c r="CQ114" s="114">
        <f t="shared" ref="CQ114" si="891">AQ114</f>
        <v>316</v>
      </c>
      <c r="CR114" s="114">
        <f t="shared" ref="CR114" si="892">AU114</f>
        <v>345</v>
      </c>
      <c r="CS114" s="114">
        <f t="shared" ref="CS114" si="893">AY114</f>
        <v>357</v>
      </c>
      <c r="CT114" s="109">
        <f t="shared" ref="CT114" si="894">M114-K114</f>
        <v>1</v>
      </c>
    </row>
    <row r="115" spans="1:1029" s="12" customFormat="1" x14ac:dyDescent="0.2">
      <c r="A115" s="9" t="str">
        <f t="shared" ref="A115" si="895">CONCATENATE(B115,"_",C115)</f>
        <v>adrb1_melga_6IBL</v>
      </c>
      <c r="B115" s="9" t="s">
        <v>911</v>
      </c>
      <c r="C115" s="9" t="s">
        <v>1550</v>
      </c>
      <c r="D115" s="9" t="str">
        <f>IFERROR(MID(VLOOKUP($B115,Seqs!$A:$B,2,0),E115,1),"")</f>
        <v>E</v>
      </c>
      <c r="E115" s="9">
        <v>41</v>
      </c>
      <c r="F115" s="9" t="str">
        <f>IFERROR(MID(VLOOKUP($B115,Seqs!$A:$B,2,0),G115,1),"")</f>
        <v>T</v>
      </c>
      <c r="G115" s="9">
        <v>69</v>
      </c>
      <c r="H115" s="9" t="str">
        <f>IFERROR(MID(VLOOKUP($B115,Seqs!$A:$B,2,0),I115,1),"")</f>
        <v>Q</v>
      </c>
      <c r="I115" s="109">
        <v>70</v>
      </c>
      <c r="J115" s="9" t="str">
        <f>IFERROR(MID(VLOOKUP($B115,Seqs!$A:$B,2,0),K115,1),"")</f>
        <v>Q</v>
      </c>
      <c r="K115" s="109">
        <v>73</v>
      </c>
      <c r="L115" s="9" t="str">
        <f>IFERROR(MID(VLOOKUP($B115,Seqs!$A:$B,2,0),M115,1),"")</f>
        <v>T</v>
      </c>
      <c r="M115" s="9">
        <v>74</v>
      </c>
      <c r="N115" s="9" t="str">
        <f>IFERROR(MID(VLOOKUP($B115,Seqs!$A:$B,2,0),O115,1),"")</f>
        <v>R</v>
      </c>
      <c r="O115" s="9">
        <v>104</v>
      </c>
      <c r="P115" s="9" t="str">
        <f>IFERROR(MID(VLOOKUP($B115,Seqs!$A:$B,2,0),Q115,1),"")</f>
        <v>T</v>
      </c>
      <c r="Q115" s="9">
        <v>106</v>
      </c>
      <c r="R115" s="9" t="str">
        <f>IFERROR(MID(VLOOKUP($B115,Seqs!$A:$B,2,0),S115,1),"")</f>
        <v>W</v>
      </c>
      <c r="S115" s="9">
        <v>109</v>
      </c>
      <c r="T115" s="9" t="str">
        <f>IFERROR(MID(VLOOKUP($B115,Seqs!$A:$B,2,0),U115,1),"")</f>
        <v>G</v>
      </c>
      <c r="U115" s="9">
        <v>110</v>
      </c>
      <c r="V115" s="9" t="str">
        <f>IFERROR(MID(VLOOKUP($B115,Seqs!$A:$B,2,0),W115,1),"")</f>
        <v>S</v>
      </c>
      <c r="W115" s="9">
        <v>145</v>
      </c>
      <c r="X115" s="9" t="str">
        <f>IFERROR(MID(VLOOKUP($B115,Seqs!$A:$B,2,0),Y115,1),"")</f>
        <v>P</v>
      </c>
      <c r="Y115" s="9">
        <v>146</v>
      </c>
      <c r="Z115" s="9" t="str">
        <f>IFERROR(MID(VLOOKUP($B115,Seqs!$A:$B,2,0),AA115,1),"")</f>
        <v>M</v>
      </c>
      <c r="AA115" s="9">
        <v>153</v>
      </c>
      <c r="AB115" s="9" t="str">
        <f>IFERROR(MID(VLOOKUP($B115,Seqs!$A:$B,2,0),AC115,1),"")</f>
        <v>T</v>
      </c>
      <c r="AC115" s="9">
        <v>154</v>
      </c>
      <c r="AD115" s="9" t="str">
        <f>IFERROR(MID(VLOOKUP($B115,Seqs!$A:$B,2,0),AE115,1),"")</f>
        <v>H</v>
      </c>
      <c r="AE115" s="9">
        <v>180</v>
      </c>
      <c r="AF115" s="9" t="str">
        <f>IFERROR(MID(VLOOKUP($B115,Seqs!$A:$B,2,0),AG115,1),"")</f>
        <v>C</v>
      </c>
      <c r="AG115" s="9">
        <v>199</v>
      </c>
      <c r="AH115" s="9" t="str">
        <f>IFERROR(MID(VLOOKUP($B115,Seqs!$A:$B,2,0),AI115,1),"")</f>
        <v>F</v>
      </c>
      <c r="AI115" s="9">
        <v>201</v>
      </c>
      <c r="AJ115" s="9" t="str">
        <f>IFERROR(MID(VLOOKUP($B115,Seqs!$A:$B,2,0),AK115,1),"")</f>
        <v>N</v>
      </c>
      <c r="AK115" s="9">
        <v>204</v>
      </c>
      <c r="AL115" s="9" t="str">
        <f>IFERROR(MID(VLOOKUP($B115,Seqs!$A:$B,2,0),AM115,1),"")</f>
        <v>S</v>
      </c>
      <c r="AM115" s="9">
        <v>273</v>
      </c>
      <c r="AN115" s="9" t="str">
        <f>IFERROR(MID(VLOOKUP($B115,Seqs!$A:$B,2,0),AO115,1),"")</f>
        <v>A</v>
      </c>
      <c r="AO115" s="9">
        <v>282</v>
      </c>
      <c r="AP115" s="9" t="str">
        <f>IFERROR(MID(VLOOKUP($B115,Seqs!$A:$B,2,0),AQ115,1),"")</f>
        <v>N</v>
      </c>
      <c r="AQ115" s="9">
        <v>316</v>
      </c>
      <c r="AR115" s="9" t="str">
        <f>IFERROR(MID(VLOOKUP($B115,Seqs!$A:$B,2,0),AS115,1),"")</f>
        <v>P</v>
      </c>
      <c r="AS115" s="9">
        <v>321</v>
      </c>
      <c r="AT115" s="9" t="str">
        <f>IFERROR(MID(VLOOKUP($B115,Seqs!$A:$B,2,0),AU115,1),"")</f>
        <v>C</v>
      </c>
      <c r="AU115" s="9">
        <v>344</v>
      </c>
      <c r="AV115" s="9" t="str">
        <f>IFERROR(MID(VLOOKUP($B115,Seqs!$A:$B,2,0),AW115,1),"")</f>
        <v>S</v>
      </c>
      <c r="AW115" s="9">
        <v>346</v>
      </c>
      <c r="AX115" s="9" t="str">
        <f>IFERROR(MID(VLOOKUP($B115,Seqs!$A:$B,2,0),AY115,1),"")</f>
        <v>L</v>
      </c>
      <c r="AY115" s="9">
        <v>357</v>
      </c>
      <c r="AZ115" s="110" t="str">
        <f>VLOOKUP(B115,Classification!A:D,2,0)</f>
        <v>A</v>
      </c>
      <c r="BA115" s="98" t="str">
        <f>VLOOKUP(B115,Classification!A:D,4,0)</f>
        <v>Adrenoceptors</v>
      </c>
      <c r="BB115" s="36" t="b">
        <f t="shared" ref="BB115" si="89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09">
        <f t="shared" ref="BC115" si="897">_xlfn.AGGREGATE(9,6,CH115:CS115)-_xlfn.AGGREGATE(9,6,BV115:CG115)+12</f>
        <v>283</v>
      </c>
      <c r="BD115" s="13" t="s">
        <v>23</v>
      </c>
      <c r="BE115" s="9" t="s">
        <v>1291</v>
      </c>
      <c r="BF115" s="119">
        <v>2.7</v>
      </c>
      <c r="BG115" s="51" t="s">
        <v>1</v>
      </c>
      <c r="BH115" s="51" t="s">
        <v>1</v>
      </c>
      <c r="BJ115" s="111" t="s">
        <v>1287</v>
      </c>
      <c r="BK115" s="112" t="s">
        <v>1287</v>
      </c>
      <c r="BL115" s="112" t="s">
        <v>1287</v>
      </c>
      <c r="BM115" s="112" t="s">
        <v>1287</v>
      </c>
      <c r="BN115" s="112" t="s">
        <v>1287</v>
      </c>
      <c r="BO115" s="112" t="s">
        <v>1287</v>
      </c>
      <c r="BP115" s="112" t="s">
        <v>1287</v>
      </c>
      <c r="BQ115" s="112" t="s">
        <v>1287</v>
      </c>
      <c r="BR115" s="112" t="s">
        <v>1287</v>
      </c>
      <c r="BS115" s="112" t="s">
        <v>1287</v>
      </c>
      <c r="BT115" s="112" t="s">
        <v>1287</v>
      </c>
      <c r="BU115" s="112" t="s">
        <v>1287</v>
      </c>
      <c r="BV115" s="111">
        <f t="shared" ref="BV115" si="898">E115</f>
        <v>41</v>
      </c>
      <c r="BW115" s="113">
        <f t="shared" ref="BW115" si="899">I115</f>
        <v>70</v>
      </c>
      <c r="BX115" s="114">
        <f t="shared" ref="BX115" si="900">M115</f>
        <v>74</v>
      </c>
      <c r="BY115" s="113">
        <f t="shared" ref="BY115" si="901">Q115</f>
        <v>106</v>
      </c>
      <c r="BZ115" s="114">
        <f t="shared" ref="BZ115" si="902">U115</f>
        <v>110</v>
      </c>
      <c r="CA115" s="113">
        <f t="shared" ref="CA115" si="903">Y115</f>
        <v>146</v>
      </c>
      <c r="CB115" s="114">
        <f t="shared" ref="CB115" si="904">AC115</f>
        <v>154</v>
      </c>
      <c r="CC115" s="113">
        <f t="shared" ref="CC115" si="905">AG115</f>
        <v>199</v>
      </c>
      <c r="CD115" s="114">
        <f t="shared" ref="CD115" si="906">AK115</f>
        <v>204</v>
      </c>
      <c r="CE115" s="113">
        <f t="shared" ref="CE115" si="907">AO115</f>
        <v>282</v>
      </c>
      <c r="CF115" s="114">
        <f t="shared" ref="CF115" si="908">AS115</f>
        <v>321</v>
      </c>
      <c r="CG115" s="113">
        <f t="shared" ref="CG115" si="909">AW115</f>
        <v>346</v>
      </c>
      <c r="CH115" s="111">
        <f t="shared" ref="CH115" si="910">G115</f>
        <v>69</v>
      </c>
      <c r="CI115" s="113">
        <f t="shared" ref="CI115" si="911">K115</f>
        <v>73</v>
      </c>
      <c r="CJ115" s="114">
        <f t="shared" ref="CJ115" si="912">O115</f>
        <v>104</v>
      </c>
      <c r="CK115" s="114">
        <f t="shared" ref="CK115" si="913">S115</f>
        <v>109</v>
      </c>
      <c r="CL115" s="114">
        <f t="shared" ref="CL115" si="914">W115</f>
        <v>145</v>
      </c>
      <c r="CM115" s="114">
        <f t="shared" ref="CM115" si="915">AA115</f>
        <v>153</v>
      </c>
      <c r="CN115" s="114">
        <f t="shared" ref="CN115" si="916">AE115</f>
        <v>180</v>
      </c>
      <c r="CO115" s="114">
        <f t="shared" ref="CO115" si="917">AI115</f>
        <v>201</v>
      </c>
      <c r="CP115" s="114">
        <f t="shared" ref="CP115" si="918">AM115</f>
        <v>273</v>
      </c>
      <c r="CQ115" s="114">
        <f t="shared" ref="CQ115" si="919">AQ115</f>
        <v>316</v>
      </c>
      <c r="CR115" s="114">
        <f t="shared" ref="CR115" si="920">AU115</f>
        <v>344</v>
      </c>
      <c r="CS115" s="114">
        <f t="shared" ref="CS115" si="921">AY115</f>
        <v>357</v>
      </c>
      <c r="CT115" s="109">
        <f t="shared" ref="CT115" si="922">M115-K115</f>
        <v>1</v>
      </c>
    </row>
    <row r="116" spans="1:1029" x14ac:dyDescent="0.2">
      <c r="A116" s="3" t="str">
        <f t="shared" si="503"/>
        <v>adrb2_human__wt</v>
      </c>
      <c r="B116" s="3" t="s">
        <v>126</v>
      </c>
      <c r="C116" s="3" t="s">
        <v>100</v>
      </c>
      <c r="D116" s="3" t="str">
        <f>IFERROR(MID(VLOOKUP($B116,Seqs!$A:$B,2,0),E116,1),"")</f>
        <v>Q</v>
      </c>
      <c r="E116" s="3">
        <v>26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>P</v>
      </c>
      <c r="Y116" s="3">
        <v>138</v>
      </c>
      <c r="Z116" s="3" t="str">
        <f>IFERROR(MID(VLOOKUP($B116,Seqs!$A:$B,2,0),AA116,1),"")</f>
        <v>L</v>
      </c>
      <c r="AA116" s="3">
        <v>145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E</v>
      </c>
      <c r="AM116" s="3">
        <v>237</v>
      </c>
      <c r="AN116" s="3" t="str">
        <f>IFERROR(MID(VLOOKUP($B116,Seqs!$A:$B,2,0),AO116,1),"")</f>
        <v>S</v>
      </c>
      <c r="AO116" s="3">
        <v>262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04"/>
        <v>1</v>
      </c>
      <c r="BC116" s="23">
        <f t="shared" si="729"/>
        <v>267</v>
      </c>
      <c r="BD116" s="56" t="s">
        <v>23</v>
      </c>
      <c r="BE116" s="3" t="s">
        <v>23</v>
      </c>
      <c r="BF116" s="118" t="s">
        <v>23</v>
      </c>
      <c r="BG116" s="49" t="s">
        <v>1372</v>
      </c>
      <c r="BH116" s="49" t="s">
        <v>1377</v>
      </c>
      <c r="BI116" s="3" t="s">
        <v>1165</v>
      </c>
      <c r="BJ116" s="70" t="s">
        <v>1287</v>
      </c>
      <c r="BK116" s="57" t="s">
        <v>1287</v>
      </c>
      <c r="BL116" s="57" t="s">
        <v>1287</v>
      </c>
      <c r="BM116" s="57" t="s">
        <v>1287</v>
      </c>
      <c r="BN116" s="57" t="s">
        <v>1287</v>
      </c>
      <c r="BO116" s="57" t="s">
        <v>1287</v>
      </c>
      <c r="BP116" s="57" t="s">
        <v>1287</v>
      </c>
      <c r="BQ116" s="57" t="s">
        <v>1287</v>
      </c>
      <c r="BR116" s="57" t="s">
        <v>1287</v>
      </c>
      <c r="BS116" s="57" t="s">
        <v>1287</v>
      </c>
      <c r="BT116" s="57" t="s">
        <v>1287</v>
      </c>
      <c r="BU116" s="57" t="s">
        <v>1287</v>
      </c>
      <c r="BV116" s="70">
        <f t="shared" si="730"/>
        <v>26</v>
      </c>
      <c r="BW116" s="71">
        <f t="shared" si="731"/>
        <v>62</v>
      </c>
      <c r="BX116" s="72">
        <f t="shared" si="732"/>
        <v>66</v>
      </c>
      <c r="BY116" s="71">
        <f t="shared" si="733"/>
        <v>98</v>
      </c>
      <c r="BZ116" s="72">
        <f t="shared" si="734"/>
        <v>102</v>
      </c>
      <c r="CA116" s="71">
        <f t="shared" si="735"/>
        <v>138</v>
      </c>
      <c r="CB116" s="72">
        <f t="shared" si="736"/>
        <v>146</v>
      </c>
      <c r="CC116" s="71">
        <f t="shared" si="737"/>
        <v>191</v>
      </c>
      <c r="CD116" s="72">
        <f t="shared" si="738"/>
        <v>196</v>
      </c>
      <c r="CE116" s="71">
        <f t="shared" si="739"/>
        <v>262</v>
      </c>
      <c r="CF116" s="72">
        <f t="shared" si="740"/>
        <v>304</v>
      </c>
      <c r="CG116" s="71">
        <f t="shared" si="741"/>
        <v>329</v>
      </c>
      <c r="CH116" s="70">
        <f t="shared" si="742"/>
        <v>61</v>
      </c>
      <c r="CI116" s="71">
        <f t="shared" si="743"/>
        <v>65</v>
      </c>
      <c r="CJ116" s="72">
        <f t="shared" si="744"/>
        <v>96</v>
      </c>
      <c r="CK116" s="72">
        <f t="shared" si="745"/>
        <v>101</v>
      </c>
      <c r="CL116" s="72">
        <f t="shared" si="746"/>
        <v>137</v>
      </c>
      <c r="CM116" s="72">
        <f t="shared" si="747"/>
        <v>145</v>
      </c>
      <c r="CN116" s="72">
        <f t="shared" si="748"/>
        <v>172</v>
      </c>
      <c r="CO116" s="72">
        <f t="shared" si="749"/>
        <v>193</v>
      </c>
      <c r="CP116" s="72">
        <f t="shared" si="750"/>
        <v>237</v>
      </c>
      <c r="CQ116" s="72">
        <f t="shared" si="751"/>
        <v>299</v>
      </c>
      <c r="CR116" s="72">
        <f t="shared" si="752"/>
        <v>328</v>
      </c>
      <c r="CS116" s="72">
        <f t="shared" si="753"/>
        <v>341</v>
      </c>
      <c r="CT116" s="23">
        <f t="shared" si="754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503"/>
        <v>adrb2_human_2RH1</v>
      </c>
      <c r="B117" s="3" t="s">
        <v>126</v>
      </c>
      <c r="C117" s="3" t="s">
        <v>75</v>
      </c>
      <c r="D117" s="3" t="str">
        <f>IFERROR(MID(VLOOKUP($B117,Seqs!$A:$B,2,0),E117,1),"")</f>
        <v>D</v>
      </c>
      <c r="E117" s="3">
        <v>29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S</v>
      </c>
      <c r="W117" s="3">
        <v>137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Q</v>
      </c>
      <c r="AM117" s="3">
        <v>229</v>
      </c>
      <c r="AN117" s="3" t="str">
        <f>IFERROR(MID(VLOOKUP($B117,Seqs!$A:$B,2,0),AO117,1),"")</f>
        <v>K</v>
      </c>
      <c r="AO117" s="3">
        <v>267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504"/>
        <v>1</v>
      </c>
      <c r="BC117" s="23">
        <f t="shared" si="729"/>
        <v>244</v>
      </c>
      <c r="BD117" s="4" t="s">
        <v>23</v>
      </c>
      <c r="BE117" s="3" t="s">
        <v>1374</v>
      </c>
      <c r="BF117" s="118">
        <v>2.4</v>
      </c>
      <c r="BG117" s="49" t="s">
        <v>1377</v>
      </c>
      <c r="BH117" s="49" t="s">
        <v>1377</v>
      </c>
      <c r="BI117" s="1"/>
      <c r="BJ117" s="70" t="s">
        <v>1287</v>
      </c>
      <c r="BK117" s="57" t="s">
        <v>1287</v>
      </c>
      <c r="BL117" s="57" t="s">
        <v>1287</v>
      </c>
      <c r="BM117" s="57" t="s">
        <v>1287</v>
      </c>
      <c r="BN117" s="57" t="s">
        <v>1287</v>
      </c>
      <c r="BO117" s="57" t="s">
        <v>1287</v>
      </c>
      <c r="BP117" s="57" t="s">
        <v>1287</v>
      </c>
      <c r="BQ117" s="57" t="s">
        <v>1287</v>
      </c>
      <c r="BR117" s="57" t="s">
        <v>1287</v>
      </c>
      <c r="BS117" s="57" t="s">
        <v>1287</v>
      </c>
      <c r="BT117" s="57" t="s">
        <v>1287</v>
      </c>
      <c r="BU117" s="57" t="s">
        <v>1287</v>
      </c>
      <c r="BV117" s="70">
        <f t="shared" si="730"/>
        <v>29</v>
      </c>
      <c r="BW117" s="71">
        <f t="shared" si="731"/>
        <v>62</v>
      </c>
      <c r="BX117" s="72">
        <f t="shared" si="732"/>
        <v>66</v>
      </c>
      <c r="BY117" s="71">
        <f t="shared" si="733"/>
        <v>98</v>
      </c>
      <c r="BZ117" s="72">
        <f t="shared" si="734"/>
        <v>102</v>
      </c>
      <c r="CA117" s="71" t="str">
        <f t="shared" si="735"/>
        <v>-</v>
      </c>
      <c r="CB117" s="72">
        <f t="shared" si="736"/>
        <v>146</v>
      </c>
      <c r="CC117" s="71">
        <f t="shared" si="737"/>
        <v>191</v>
      </c>
      <c r="CD117" s="72">
        <f t="shared" si="738"/>
        <v>196</v>
      </c>
      <c r="CE117" s="71">
        <f t="shared" si="739"/>
        <v>267</v>
      </c>
      <c r="CF117" s="72">
        <f t="shared" si="740"/>
        <v>304</v>
      </c>
      <c r="CG117" s="71">
        <f t="shared" si="741"/>
        <v>329</v>
      </c>
      <c r="CH117" s="70">
        <f t="shared" si="742"/>
        <v>61</v>
      </c>
      <c r="CI117" s="71">
        <f t="shared" si="743"/>
        <v>65</v>
      </c>
      <c r="CJ117" s="72">
        <f t="shared" si="744"/>
        <v>96</v>
      </c>
      <c r="CK117" s="72">
        <f t="shared" si="745"/>
        <v>101</v>
      </c>
      <c r="CL117" s="72">
        <f t="shared" si="746"/>
        <v>137</v>
      </c>
      <c r="CM117" s="72" t="str">
        <f t="shared" si="747"/>
        <v>-</v>
      </c>
      <c r="CN117" s="72">
        <f t="shared" si="748"/>
        <v>172</v>
      </c>
      <c r="CO117" s="72">
        <f t="shared" si="749"/>
        <v>193</v>
      </c>
      <c r="CP117" s="72">
        <f t="shared" si="750"/>
        <v>229</v>
      </c>
      <c r="CQ117" s="72">
        <f t="shared" si="751"/>
        <v>299</v>
      </c>
      <c r="CR117" s="72">
        <f t="shared" si="752"/>
        <v>328</v>
      </c>
      <c r="CS117" s="72">
        <f t="shared" si="753"/>
        <v>341</v>
      </c>
      <c r="CT117" s="23">
        <f t="shared" si="754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x14ac:dyDescent="0.2">
      <c r="A118" s="3" t="str">
        <f t="shared" si="503"/>
        <v>adrb2_human_3D4S</v>
      </c>
      <c r="B118" s="3" t="s">
        <v>126</v>
      </c>
      <c r="C118" s="3" t="s">
        <v>76</v>
      </c>
      <c r="D118" s="3" t="str">
        <f>IFERROR(MID(VLOOKUP($B118,Seqs!$A:$B,2,0),E118,1),"")</f>
        <v>W</v>
      </c>
      <c r="E118" s="3">
        <v>32</v>
      </c>
      <c r="F118" s="3" t="str">
        <f>IFERROR(MID(VLOOKUP($B118,Seqs!$A:$B,2,0),G118,1),"")</f>
        <v>F</v>
      </c>
      <c r="G118" s="3">
        <v>61</v>
      </c>
      <c r="H118" s="3" t="str">
        <f>IFERROR(MID(VLOOKUP($B118,Seqs!$A:$B,2,0),I118,1),"")</f>
        <v>E</v>
      </c>
      <c r="I118" s="23">
        <v>62</v>
      </c>
      <c r="J118" s="3" t="str">
        <f>IFERROR(MID(VLOOKUP($B118,Seqs!$A:$B,2,0),K118,1),"")</f>
        <v>Q</v>
      </c>
      <c r="K118" s="23">
        <v>65</v>
      </c>
      <c r="L118" s="3" t="str">
        <f>IFERROR(MID(VLOOKUP($B118,Seqs!$A:$B,2,0),M118,1),"")</f>
        <v>T</v>
      </c>
      <c r="M118" s="3">
        <v>66</v>
      </c>
      <c r="N118" s="3" t="str">
        <f>IFERROR(MID(VLOOKUP($B118,Seqs!$A:$B,2,0),O118,1),"")</f>
        <v>M</v>
      </c>
      <c r="O118" s="3">
        <v>96</v>
      </c>
      <c r="P118" s="3" t="str">
        <f>IFERROR(MID(VLOOKUP($B118,Seqs!$A:$B,2,0),Q118,1),"")</f>
        <v>M</v>
      </c>
      <c r="Q118" s="3">
        <v>98</v>
      </c>
      <c r="R118" s="3" t="str">
        <f>IFERROR(MID(VLOOKUP($B118,Seqs!$A:$B,2,0),S118,1),"")</f>
        <v>F</v>
      </c>
      <c r="S118" s="3">
        <v>101</v>
      </c>
      <c r="T118" s="3" t="str">
        <f>IFERROR(MID(VLOOKUP($B118,Seqs!$A:$B,2,0),U118,1),"")</f>
        <v>G</v>
      </c>
      <c r="U118" s="3">
        <v>102</v>
      </c>
      <c r="V118" s="3" t="str">
        <f>IFERROR(MID(VLOOKUP($B118,Seqs!$A:$B,2,0),W118,1),"")</f>
        <v>S</v>
      </c>
      <c r="W118" s="3">
        <v>137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146</v>
      </c>
      <c r="AD118" s="3" t="str">
        <f>IFERROR(MID(VLOOKUP($B118,Seqs!$A:$B,2,0),AE118,1),"")</f>
        <v>H</v>
      </c>
      <c r="AE118" s="3">
        <v>172</v>
      </c>
      <c r="AF118" s="3" t="str">
        <f>IFERROR(MID(VLOOKUP($B118,Seqs!$A:$B,2,0),AG118,1),"")</f>
        <v>C</v>
      </c>
      <c r="AG118" s="3">
        <v>191</v>
      </c>
      <c r="AH118" s="3" t="str">
        <f>IFERROR(MID(VLOOKUP($B118,Seqs!$A:$B,2,0),AI118,1),"")</f>
        <v>F</v>
      </c>
      <c r="AI118" s="3">
        <v>193</v>
      </c>
      <c r="AJ118" s="3" t="str">
        <f>IFERROR(MID(VLOOKUP($B118,Seqs!$A:$B,2,0),AK118,1),"")</f>
        <v>N</v>
      </c>
      <c r="AK118" s="3">
        <v>196</v>
      </c>
      <c r="AL118" s="3" t="str">
        <f>IFERROR(MID(VLOOKUP($B118,Seqs!$A:$B,2,0),AM118,1),"")</f>
        <v>Q</v>
      </c>
      <c r="AM118" s="3">
        <v>229</v>
      </c>
      <c r="AN118" s="3" t="str">
        <f>IFERROR(MID(VLOOKUP($B118,Seqs!$A:$B,2,0),AO118,1),"")</f>
        <v>K</v>
      </c>
      <c r="AO118" s="3">
        <v>267</v>
      </c>
      <c r="AP118" s="3" t="str">
        <f>IFERROR(MID(VLOOKUP($B118,Seqs!$A:$B,2,0),AQ118,1),"")</f>
        <v>Q</v>
      </c>
      <c r="AQ118" s="3">
        <v>299</v>
      </c>
      <c r="AR118" s="3" t="str">
        <f>IFERROR(MID(VLOOKUP($B118,Seqs!$A:$B,2,0),AS118,1),"")</f>
        <v>R</v>
      </c>
      <c r="AS118" s="3">
        <v>304</v>
      </c>
      <c r="AT118" s="3" t="str">
        <f>IFERROR(MID(VLOOKUP($B118,Seqs!$A:$B,2,0),AU118,1),"")</f>
        <v>R</v>
      </c>
      <c r="AU118" s="3">
        <v>328</v>
      </c>
      <c r="AV118" s="3" t="str">
        <f>IFERROR(MID(VLOOKUP($B118,Seqs!$A:$B,2,0),AW118,1),"")</f>
        <v>S</v>
      </c>
      <c r="AW118" s="3">
        <v>329</v>
      </c>
      <c r="AX118" s="3" t="str">
        <f>IFERROR(MID(VLOOKUP($B118,Seqs!$A:$B,2,0),AY118,1),"")</f>
        <v>C</v>
      </c>
      <c r="AY118" s="3">
        <v>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504"/>
        <v>1</v>
      </c>
      <c r="BC118" s="23">
        <f t="shared" si="729"/>
        <v>241</v>
      </c>
      <c r="BD118" s="4" t="s">
        <v>23</v>
      </c>
      <c r="BE118" s="3" t="s">
        <v>1374</v>
      </c>
      <c r="BF118" s="118">
        <v>2.8</v>
      </c>
      <c r="BG118" s="49" t="s">
        <v>1377</v>
      </c>
      <c r="BH118" s="49" t="s">
        <v>1377</v>
      </c>
      <c r="BI118" s="1"/>
      <c r="BJ118" s="70" t="s">
        <v>1287</v>
      </c>
      <c r="BK118" s="57" t="s">
        <v>1287</v>
      </c>
      <c r="BL118" s="57" t="s">
        <v>1287</v>
      </c>
      <c r="BM118" s="57" t="s">
        <v>1287</v>
      </c>
      <c r="BN118" s="57" t="s">
        <v>1287</v>
      </c>
      <c r="BO118" s="57" t="s">
        <v>1287</v>
      </c>
      <c r="BP118" s="57" t="s">
        <v>1287</v>
      </c>
      <c r="BQ118" s="57" t="s">
        <v>1287</v>
      </c>
      <c r="BR118" s="57" t="s">
        <v>1287</v>
      </c>
      <c r="BS118" s="57" t="s">
        <v>1287</v>
      </c>
      <c r="BT118" s="57" t="s">
        <v>1287</v>
      </c>
      <c r="BU118" s="57" t="s">
        <v>1287</v>
      </c>
      <c r="BV118" s="70">
        <f t="shared" si="730"/>
        <v>32</v>
      </c>
      <c r="BW118" s="71">
        <f t="shared" si="731"/>
        <v>62</v>
      </c>
      <c r="BX118" s="72">
        <f t="shared" si="732"/>
        <v>66</v>
      </c>
      <c r="BY118" s="71">
        <f t="shared" si="733"/>
        <v>98</v>
      </c>
      <c r="BZ118" s="72">
        <f t="shared" si="734"/>
        <v>102</v>
      </c>
      <c r="CA118" s="71" t="str">
        <f t="shared" si="735"/>
        <v>-</v>
      </c>
      <c r="CB118" s="72">
        <f t="shared" si="736"/>
        <v>146</v>
      </c>
      <c r="CC118" s="71">
        <f t="shared" si="737"/>
        <v>191</v>
      </c>
      <c r="CD118" s="72">
        <f t="shared" si="738"/>
        <v>196</v>
      </c>
      <c r="CE118" s="71">
        <f t="shared" si="739"/>
        <v>267</v>
      </c>
      <c r="CF118" s="72">
        <f t="shared" si="740"/>
        <v>304</v>
      </c>
      <c r="CG118" s="71">
        <f t="shared" si="741"/>
        <v>329</v>
      </c>
      <c r="CH118" s="70">
        <f t="shared" si="742"/>
        <v>61</v>
      </c>
      <c r="CI118" s="71">
        <f t="shared" si="743"/>
        <v>65</v>
      </c>
      <c r="CJ118" s="72">
        <f t="shared" si="744"/>
        <v>96</v>
      </c>
      <c r="CK118" s="72">
        <f t="shared" si="745"/>
        <v>101</v>
      </c>
      <c r="CL118" s="72">
        <f t="shared" si="746"/>
        <v>137</v>
      </c>
      <c r="CM118" s="72" t="str">
        <f t="shared" si="747"/>
        <v>-</v>
      </c>
      <c r="CN118" s="72">
        <f t="shared" si="748"/>
        <v>172</v>
      </c>
      <c r="CO118" s="72">
        <f t="shared" si="749"/>
        <v>193</v>
      </c>
      <c r="CP118" s="72">
        <f t="shared" si="750"/>
        <v>229</v>
      </c>
      <c r="CQ118" s="72">
        <f t="shared" si="751"/>
        <v>299</v>
      </c>
      <c r="CR118" s="72">
        <f t="shared" si="752"/>
        <v>328</v>
      </c>
      <c r="CS118" s="72">
        <f t="shared" si="753"/>
        <v>341</v>
      </c>
      <c r="CT118" s="23">
        <f t="shared" si="754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503"/>
        <v>adrb2_human_3NY8</v>
      </c>
      <c r="B119" s="3" t="s">
        <v>126</v>
      </c>
      <c r="C119" s="3" t="s">
        <v>1333</v>
      </c>
      <c r="D119" s="3" t="str">
        <f>IFERROR(MID(VLOOKUP($B119,Seqs!$A:$B,2,0),E119,1),"")</f>
        <v>W</v>
      </c>
      <c r="E119" s="3">
        <v>32</v>
      </c>
      <c r="F119" s="3" t="str">
        <f>IFERROR(MID(VLOOKUP($B119,Seqs!$A:$B,2,0),G119,1),"")</f>
        <v>F</v>
      </c>
      <c r="G119" s="3">
        <v>61</v>
      </c>
      <c r="H119" s="3" t="str">
        <f>IFERROR(MID(VLOOKUP($B119,Seqs!$A:$B,2,0),I119,1),"")</f>
        <v>E</v>
      </c>
      <c r="I119" s="23">
        <v>62</v>
      </c>
      <c r="J119" s="3" t="str">
        <f>IFERROR(MID(VLOOKUP($B119,Seqs!$A:$B,2,0),K119,1),"")</f>
        <v>Q</v>
      </c>
      <c r="K119" s="23">
        <v>65</v>
      </c>
      <c r="L119" s="3" t="str">
        <f>IFERROR(MID(VLOOKUP($B119,Seqs!$A:$B,2,0),M119,1),"")</f>
        <v>T</v>
      </c>
      <c r="M119" s="3">
        <v>66</v>
      </c>
      <c r="N119" s="3" t="str">
        <f>IFERROR(MID(VLOOKUP($B119,Seqs!$A:$B,2,0),O119,1),"")</f>
        <v>M</v>
      </c>
      <c r="O119" s="3">
        <v>96</v>
      </c>
      <c r="P119" s="3" t="str">
        <f>IFERROR(MID(VLOOKUP($B119,Seqs!$A:$B,2,0),Q119,1),"")</f>
        <v>M</v>
      </c>
      <c r="Q119" s="3">
        <v>98</v>
      </c>
      <c r="R119" s="3" t="str">
        <f>IFERROR(MID(VLOOKUP($B119,Seqs!$A:$B,2,0),S119,1),"")</f>
        <v>F</v>
      </c>
      <c r="S119" s="3">
        <v>101</v>
      </c>
      <c r="T119" s="3" t="str">
        <f>IFERROR(MID(VLOOKUP($B119,Seqs!$A:$B,2,0),U119,1),"")</f>
        <v>G</v>
      </c>
      <c r="U119" s="3">
        <v>102</v>
      </c>
      <c r="V119" s="3" t="str">
        <f>IFERROR(MID(VLOOKUP($B119,Seqs!$A:$B,2,0),W119,1),"")</f>
        <v>S</v>
      </c>
      <c r="W119" s="3">
        <v>137</v>
      </c>
      <c r="X119" s="3" t="str">
        <f>IFERROR(MID(VLOOKUP($B119,Seqs!$A:$B,2,0),Y119,1),"")</f>
        <v/>
      </c>
      <c r="Y119" s="3" t="s">
        <v>23</v>
      </c>
      <c r="Z119" s="3" t="str">
        <f>IFERROR(MID(VLOOKUP($B119,Seqs!$A:$B,2,0),AA119,1),"")</f>
        <v/>
      </c>
      <c r="AA119" s="3" t="s">
        <v>23</v>
      </c>
      <c r="AB119" s="3" t="str">
        <f>IFERROR(MID(VLOOKUP($B119,Seqs!$A:$B,2,0),AC119,1),"")</f>
        <v>T</v>
      </c>
      <c r="AC119" s="9">
        <v>146</v>
      </c>
      <c r="AD119" s="3" t="str">
        <f>IFERROR(MID(VLOOKUP($B119,Seqs!$A:$B,2,0),AE119,1),"")</f>
        <v>H</v>
      </c>
      <c r="AE119" s="3">
        <v>172</v>
      </c>
      <c r="AF119" s="3" t="str">
        <f>IFERROR(MID(VLOOKUP($B119,Seqs!$A:$B,2,0),AG119,1),"")</f>
        <v>C</v>
      </c>
      <c r="AG119" s="3">
        <v>191</v>
      </c>
      <c r="AH119" s="3" t="str">
        <f>IFERROR(MID(VLOOKUP($B119,Seqs!$A:$B,2,0),AI119,1),"")</f>
        <v>F</v>
      </c>
      <c r="AI119" s="3">
        <v>193</v>
      </c>
      <c r="AJ119" s="3" t="str">
        <f>IFERROR(MID(VLOOKUP($B119,Seqs!$A:$B,2,0),AK119,1),"")</f>
        <v>N</v>
      </c>
      <c r="AK119" s="3">
        <v>196</v>
      </c>
      <c r="AL119" s="3" t="str">
        <f>IFERROR(MID(VLOOKUP($B119,Seqs!$A:$B,2,0),AM119,1),"")</f>
        <v>Q</v>
      </c>
      <c r="AM119" s="3">
        <v>229</v>
      </c>
      <c r="AN119" s="3" t="str">
        <f>IFERROR(MID(VLOOKUP($B119,Seqs!$A:$B,2,0),AO119,1),"")</f>
        <v>K</v>
      </c>
      <c r="AO119" s="3">
        <v>267</v>
      </c>
      <c r="AP119" s="3" t="str">
        <f>IFERROR(MID(VLOOKUP($B119,Seqs!$A:$B,2,0),AQ119,1),"")</f>
        <v>Q</v>
      </c>
      <c r="AQ119" s="3">
        <v>299</v>
      </c>
      <c r="AR119" s="3" t="str">
        <f>IFERROR(MID(VLOOKUP($B119,Seqs!$A:$B,2,0),AS119,1),"")</f>
        <v>R</v>
      </c>
      <c r="AS119" s="3">
        <v>304</v>
      </c>
      <c r="AT119" s="3" t="str">
        <f>IFERROR(MID(VLOOKUP($B119,Seqs!$A:$B,2,0),AU119,1),"")</f>
        <v>R</v>
      </c>
      <c r="AU119" s="3">
        <v>328</v>
      </c>
      <c r="AV119" s="3" t="str">
        <f>IFERROR(MID(VLOOKUP($B119,Seqs!$A:$B,2,0),AW119,1),"")</f>
        <v>S</v>
      </c>
      <c r="AW119" s="3">
        <v>329</v>
      </c>
      <c r="AX119" s="3" t="str">
        <f>IFERROR(MID(VLOOKUP($B119,Seqs!$A:$B,2,0),AY119,1),"")</f>
        <v>C</v>
      </c>
      <c r="AY119" s="3">
        <v>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504"/>
        <v>1</v>
      </c>
      <c r="BC119" s="23">
        <f t="shared" si="729"/>
        <v>241</v>
      </c>
      <c r="BD119" s="4" t="s">
        <v>23</v>
      </c>
      <c r="BE119" s="3" t="s">
        <v>1374</v>
      </c>
      <c r="BF119" s="118">
        <v>2.84</v>
      </c>
      <c r="BG119" s="49" t="s">
        <v>1377</v>
      </c>
      <c r="BH119" s="49" t="s">
        <v>1377</v>
      </c>
      <c r="BI119" s="1"/>
      <c r="BJ119" s="70" t="s">
        <v>1287</v>
      </c>
      <c r="BK119" s="57" t="s">
        <v>1287</v>
      </c>
      <c r="BL119" s="57" t="s">
        <v>1287</v>
      </c>
      <c r="BM119" s="57" t="s">
        <v>1287</v>
      </c>
      <c r="BN119" s="57" t="s">
        <v>1287</v>
      </c>
      <c r="BO119" s="57" t="s">
        <v>1287</v>
      </c>
      <c r="BP119" s="57" t="s">
        <v>1287</v>
      </c>
      <c r="BQ119" s="57" t="s">
        <v>1287</v>
      </c>
      <c r="BR119" s="57" t="s">
        <v>1287</v>
      </c>
      <c r="BS119" s="57" t="s">
        <v>1287</v>
      </c>
      <c r="BT119" s="57" t="s">
        <v>1287</v>
      </c>
      <c r="BU119" s="57" t="s">
        <v>1287</v>
      </c>
      <c r="BV119" s="70">
        <f t="shared" si="730"/>
        <v>32</v>
      </c>
      <c r="BW119" s="71">
        <f t="shared" si="731"/>
        <v>62</v>
      </c>
      <c r="BX119" s="72">
        <f t="shared" si="732"/>
        <v>66</v>
      </c>
      <c r="BY119" s="71">
        <f t="shared" si="733"/>
        <v>98</v>
      </c>
      <c r="BZ119" s="72">
        <f t="shared" si="734"/>
        <v>102</v>
      </c>
      <c r="CA119" s="71" t="str">
        <f t="shared" si="735"/>
        <v>-</v>
      </c>
      <c r="CB119" s="72">
        <f t="shared" si="736"/>
        <v>146</v>
      </c>
      <c r="CC119" s="71">
        <f t="shared" si="737"/>
        <v>191</v>
      </c>
      <c r="CD119" s="72">
        <f t="shared" si="738"/>
        <v>196</v>
      </c>
      <c r="CE119" s="71">
        <f t="shared" si="739"/>
        <v>267</v>
      </c>
      <c r="CF119" s="72">
        <f t="shared" si="740"/>
        <v>304</v>
      </c>
      <c r="CG119" s="71">
        <f t="shared" si="741"/>
        <v>329</v>
      </c>
      <c r="CH119" s="70">
        <f t="shared" si="742"/>
        <v>61</v>
      </c>
      <c r="CI119" s="71">
        <f t="shared" si="743"/>
        <v>65</v>
      </c>
      <c r="CJ119" s="72">
        <f t="shared" si="744"/>
        <v>96</v>
      </c>
      <c r="CK119" s="72">
        <f t="shared" si="745"/>
        <v>101</v>
      </c>
      <c r="CL119" s="72">
        <f t="shared" si="746"/>
        <v>137</v>
      </c>
      <c r="CM119" s="72" t="str">
        <f t="shared" si="747"/>
        <v>-</v>
      </c>
      <c r="CN119" s="72">
        <f t="shared" si="748"/>
        <v>172</v>
      </c>
      <c r="CO119" s="72">
        <f t="shared" si="749"/>
        <v>193</v>
      </c>
      <c r="CP119" s="72">
        <f t="shared" si="750"/>
        <v>229</v>
      </c>
      <c r="CQ119" s="72">
        <f t="shared" si="751"/>
        <v>299</v>
      </c>
      <c r="CR119" s="72">
        <f t="shared" si="752"/>
        <v>328</v>
      </c>
      <c r="CS119" s="72">
        <f t="shared" si="753"/>
        <v>341</v>
      </c>
      <c r="CT119" s="23">
        <f t="shared" si="754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503"/>
        <v>adrb2_human_3NY9</v>
      </c>
      <c r="B120" s="3" t="s">
        <v>126</v>
      </c>
      <c r="C120" s="3" t="s">
        <v>1029</v>
      </c>
      <c r="D120" s="3" t="str">
        <f>IFERROR(MID(VLOOKUP($B120,Seqs!$A:$B,2,0),E120,1),"")</f>
        <v>W</v>
      </c>
      <c r="E120" s="3">
        <v>32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504"/>
        <v>1</v>
      </c>
      <c r="BC120" s="23">
        <f t="shared" si="729"/>
        <v>241</v>
      </c>
      <c r="BD120" s="4" t="s">
        <v>23</v>
      </c>
      <c r="BE120" s="3" t="s">
        <v>1374</v>
      </c>
      <c r="BF120" s="118">
        <v>2.84</v>
      </c>
      <c r="BG120" s="49" t="s">
        <v>1377</v>
      </c>
      <c r="BH120" s="49" t="s">
        <v>1377</v>
      </c>
      <c r="BI120" s="1"/>
      <c r="BJ120" s="70" t="s">
        <v>1287</v>
      </c>
      <c r="BK120" s="57" t="s">
        <v>1287</v>
      </c>
      <c r="BL120" s="57" t="s">
        <v>1287</v>
      </c>
      <c r="BM120" s="57" t="s">
        <v>1287</v>
      </c>
      <c r="BN120" s="57" t="s">
        <v>1287</v>
      </c>
      <c r="BO120" s="57" t="s">
        <v>1287</v>
      </c>
      <c r="BP120" s="57" t="s">
        <v>1287</v>
      </c>
      <c r="BQ120" s="57" t="s">
        <v>1287</v>
      </c>
      <c r="BR120" s="57" t="s">
        <v>1287</v>
      </c>
      <c r="BS120" s="57" t="s">
        <v>1287</v>
      </c>
      <c r="BT120" s="57" t="s">
        <v>1287</v>
      </c>
      <c r="BU120" s="57" t="s">
        <v>1287</v>
      </c>
      <c r="BV120" s="70">
        <f t="shared" si="730"/>
        <v>32</v>
      </c>
      <c r="BW120" s="71">
        <f t="shared" si="731"/>
        <v>62</v>
      </c>
      <c r="BX120" s="72">
        <f t="shared" si="732"/>
        <v>66</v>
      </c>
      <c r="BY120" s="71">
        <f t="shared" si="733"/>
        <v>98</v>
      </c>
      <c r="BZ120" s="72">
        <f t="shared" si="734"/>
        <v>102</v>
      </c>
      <c r="CA120" s="71" t="str">
        <f t="shared" si="735"/>
        <v>-</v>
      </c>
      <c r="CB120" s="72">
        <f t="shared" si="736"/>
        <v>146</v>
      </c>
      <c r="CC120" s="71">
        <f t="shared" si="737"/>
        <v>191</v>
      </c>
      <c r="CD120" s="72">
        <f t="shared" si="738"/>
        <v>196</v>
      </c>
      <c r="CE120" s="71">
        <f t="shared" si="739"/>
        <v>267</v>
      </c>
      <c r="CF120" s="72">
        <f t="shared" si="740"/>
        <v>304</v>
      </c>
      <c r="CG120" s="71">
        <f t="shared" si="741"/>
        <v>329</v>
      </c>
      <c r="CH120" s="70">
        <f t="shared" si="742"/>
        <v>61</v>
      </c>
      <c r="CI120" s="71">
        <f t="shared" si="743"/>
        <v>65</v>
      </c>
      <c r="CJ120" s="72">
        <f t="shared" si="744"/>
        <v>96</v>
      </c>
      <c r="CK120" s="72">
        <f t="shared" si="745"/>
        <v>101</v>
      </c>
      <c r="CL120" s="72">
        <f t="shared" si="746"/>
        <v>137</v>
      </c>
      <c r="CM120" s="72" t="str">
        <f t="shared" si="747"/>
        <v>-</v>
      </c>
      <c r="CN120" s="72">
        <f t="shared" si="748"/>
        <v>172</v>
      </c>
      <c r="CO120" s="72">
        <f t="shared" si="749"/>
        <v>193</v>
      </c>
      <c r="CP120" s="72">
        <f t="shared" si="750"/>
        <v>229</v>
      </c>
      <c r="CQ120" s="72">
        <f t="shared" si="751"/>
        <v>299</v>
      </c>
      <c r="CR120" s="72">
        <f t="shared" si="752"/>
        <v>328</v>
      </c>
      <c r="CS120" s="72">
        <f t="shared" si="753"/>
        <v>341</v>
      </c>
      <c r="CT120" s="23">
        <f t="shared" si="754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503"/>
        <v>adrb2_human_3NYA</v>
      </c>
      <c r="B121" s="3" t="s">
        <v>126</v>
      </c>
      <c r="C121" s="3" t="s">
        <v>1334</v>
      </c>
      <c r="D121" s="3" t="str">
        <f>IFERROR(MID(VLOOKUP($B121,Seqs!$A:$B,2,0),E121,1),"")</f>
        <v>W</v>
      </c>
      <c r="E121" s="3">
        <v>32</v>
      </c>
      <c r="F121" s="3" t="str">
        <f>IFERROR(MID(VLOOKUP($B121,Seqs!$A:$B,2,0),G121,1),"")</f>
        <v>F</v>
      </c>
      <c r="G121" s="3">
        <v>61</v>
      </c>
      <c r="H121" s="3" t="str">
        <f>IFERROR(MID(VLOOKUP($B121,Seqs!$A:$B,2,0),I121,1),"")</f>
        <v>E</v>
      </c>
      <c r="I121" s="23">
        <v>62</v>
      </c>
      <c r="J121" s="3" t="str">
        <f>IFERROR(MID(VLOOKUP($B121,Seqs!$A:$B,2,0),K121,1),"")</f>
        <v>Q</v>
      </c>
      <c r="K121" s="23">
        <v>65</v>
      </c>
      <c r="L121" s="3" t="str">
        <f>IFERROR(MID(VLOOKUP($B121,Seqs!$A:$B,2,0),M121,1),"")</f>
        <v>T</v>
      </c>
      <c r="M121" s="3">
        <v>66</v>
      </c>
      <c r="N121" s="3" t="str">
        <f>IFERROR(MID(VLOOKUP($B121,Seqs!$A:$B,2,0),O121,1),"")</f>
        <v>M</v>
      </c>
      <c r="O121" s="3">
        <v>96</v>
      </c>
      <c r="P121" s="3" t="str">
        <f>IFERROR(MID(VLOOKUP($B121,Seqs!$A:$B,2,0),Q121,1),"")</f>
        <v>M</v>
      </c>
      <c r="Q121" s="3">
        <v>98</v>
      </c>
      <c r="R121" s="3" t="str">
        <f>IFERROR(MID(VLOOKUP($B121,Seqs!$A:$B,2,0),S121,1),"")</f>
        <v>F</v>
      </c>
      <c r="S121" s="3">
        <v>101</v>
      </c>
      <c r="T121" s="3" t="str">
        <f>IFERROR(MID(VLOOKUP($B121,Seqs!$A:$B,2,0),U121,1),"")</f>
        <v>G</v>
      </c>
      <c r="U121" s="3">
        <v>102</v>
      </c>
      <c r="V121" s="3" t="str">
        <f>IFERROR(MID(VLOOKUP($B121,Seqs!$A:$B,2,0),W121,1),"")</f>
        <v>S</v>
      </c>
      <c r="W121" s="3">
        <v>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146</v>
      </c>
      <c r="AD121" s="3" t="str">
        <f>IFERROR(MID(VLOOKUP($B121,Seqs!$A:$B,2,0),AE121,1),"")</f>
        <v>H</v>
      </c>
      <c r="AE121" s="3">
        <v>172</v>
      </c>
      <c r="AF121" s="3" t="str">
        <f>IFERROR(MID(VLOOKUP($B121,Seqs!$A:$B,2,0),AG121,1),"")</f>
        <v>C</v>
      </c>
      <c r="AG121" s="3">
        <v>191</v>
      </c>
      <c r="AH121" s="3" t="str">
        <f>IFERROR(MID(VLOOKUP($B121,Seqs!$A:$B,2,0),AI121,1),"")</f>
        <v>F</v>
      </c>
      <c r="AI121" s="3">
        <v>193</v>
      </c>
      <c r="AJ121" s="3" t="str">
        <f>IFERROR(MID(VLOOKUP($B121,Seqs!$A:$B,2,0),AK121,1),"")</f>
        <v>N</v>
      </c>
      <c r="AK121" s="3">
        <v>196</v>
      </c>
      <c r="AL121" s="3" t="str">
        <f>IFERROR(MID(VLOOKUP($B121,Seqs!$A:$B,2,0),AM121,1),"")</f>
        <v>Q</v>
      </c>
      <c r="AM121" s="3">
        <v>229</v>
      </c>
      <c r="AN121" s="3" t="str">
        <f>IFERROR(MID(VLOOKUP($B121,Seqs!$A:$B,2,0),AO121,1),"")</f>
        <v>K</v>
      </c>
      <c r="AO121" s="3">
        <v>267</v>
      </c>
      <c r="AP121" s="3" t="str">
        <f>IFERROR(MID(VLOOKUP($B121,Seqs!$A:$B,2,0),AQ121,1),"")</f>
        <v>Q</v>
      </c>
      <c r="AQ121" s="3">
        <v>299</v>
      </c>
      <c r="AR121" s="3" t="str">
        <f>IFERROR(MID(VLOOKUP($B121,Seqs!$A:$B,2,0),AS121,1),"")</f>
        <v>R</v>
      </c>
      <c r="AS121" s="3">
        <v>304</v>
      </c>
      <c r="AT121" s="3" t="str">
        <f>IFERROR(MID(VLOOKUP($B121,Seqs!$A:$B,2,0),AU121,1),"")</f>
        <v>R</v>
      </c>
      <c r="AU121" s="3">
        <v>328</v>
      </c>
      <c r="AV121" s="3" t="str">
        <f>IFERROR(MID(VLOOKUP($B121,Seqs!$A:$B,2,0),AW121,1),"")</f>
        <v>S</v>
      </c>
      <c r="AW121" s="3">
        <v>329</v>
      </c>
      <c r="AX121" s="3" t="str">
        <f>IFERROR(MID(VLOOKUP($B121,Seqs!$A:$B,2,0),AY121,1),"")</f>
        <v>C</v>
      </c>
      <c r="AY121" s="3">
        <v>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504"/>
        <v>1</v>
      </c>
      <c r="BC121" s="23">
        <f t="shared" si="729"/>
        <v>241</v>
      </c>
      <c r="BD121" s="4" t="s">
        <v>23</v>
      </c>
      <c r="BE121" s="3" t="s">
        <v>1374</v>
      </c>
      <c r="BF121" s="118">
        <v>3.16</v>
      </c>
      <c r="BG121" s="49" t="s">
        <v>1377</v>
      </c>
      <c r="BH121" s="49" t="s">
        <v>1377</v>
      </c>
      <c r="BI121" s="1"/>
      <c r="BJ121" s="70" t="s">
        <v>1287</v>
      </c>
      <c r="BK121" s="57" t="s">
        <v>1287</v>
      </c>
      <c r="BL121" s="57" t="s">
        <v>1287</v>
      </c>
      <c r="BM121" s="57" t="s">
        <v>1287</v>
      </c>
      <c r="BN121" s="57" t="s">
        <v>1287</v>
      </c>
      <c r="BO121" s="57" t="s">
        <v>1287</v>
      </c>
      <c r="BP121" s="57" t="s">
        <v>1287</v>
      </c>
      <c r="BQ121" s="57" t="s">
        <v>1287</v>
      </c>
      <c r="BR121" s="57" t="s">
        <v>1287</v>
      </c>
      <c r="BS121" s="57" t="s">
        <v>1287</v>
      </c>
      <c r="BT121" s="57" t="s">
        <v>1287</v>
      </c>
      <c r="BU121" s="57" t="s">
        <v>1287</v>
      </c>
      <c r="BV121" s="70">
        <f t="shared" si="730"/>
        <v>32</v>
      </c>
      <c r="BW121" s="71">
        <f t="shared" si="731"/>
        <v>62</v>
      </c>
      <c r="BX121" s="72">
        <f t="shared" si="732"/>
        <v>66</v>
      </c>
      <c r="BY121" s="71">
        <f t="shared" si="733"/>
        <v>98</v>
      </c>
      <c r="BZ121" s="72">
        <f t="shared" si="734"/>
        <v>102</v>
      </c>
      <c r="CA121" s="71" t="str">
        <f t="shared" si="735"/>
        <v>-</v>
      </c>
      <c r="CB121" s="72">
        <f t="shared" si="736"/>
        <v>146</v>
      </c>
      <c r="CC121" s="71">
        <f t="shared" si="737"/>
        <v>191</v>
      </c>
      <c r="CD121" s="72">
        <f t="shared" si="738"/>
        <v>196</v>
      </c>
      <c r="CE121" s="71">
        <f t="shared" si="739"/>
        <v>267</v>
      </c>
      <c r="CF121" s="72">
        <f t="shared" si="740"/>
        <v>304</v>
      </c>
      <c r="CG121" s="71">
        <f t="shared" si="741"/>
        <v>329</v>
      </c>
      <c r="CH121" s="70">
        <f t="shared" si="742"/>
        <v>61</v>
      </c>
      <c r="CI121" s="71">
        <f t="shared" si="743"/>
        <v>65</v>
      </c>
      <c r="CJ121" s="72">
        <f t="shared" si="744"/>
        <v>96</v>
      </c>
      <c r="CK121" s="72">
        <f t="shared" si="745"/>
        <v>101</v>
      </c>
      <c r="CL121" s="72">
        <f t="shared" si="746"/>
        <v>137</v>
      </c>
      <c r="CM121" s="72" t="str">
        <f t="shared" si="747"/>
        <v>-</v>
      </c>
      <c r="CN121" s="72">
        <f t="shared" si="748"/>
        <v>172</v>
      </c>
      <c r="CO121" s="72">
        <f t="shared" si="749"/>
        <v>193</v>
      </c>
      <c r="CP121" s="72">
        <f t="shared" si="750"/>
        <v>229</v>
      </c>
      <c r="CQ121" s="72">
        <f t="shared" si="751"/>
        <v>299</v>
      </c>
      <c r="CR121" s="72">
        <f t="shared" si="752"/>
        <v>328</v>
      </c>
      <c r="CS121" s="72">
        <f t="shared" si="753"/>
        <v>341</v>
      </c>
      <c r="CT121" s="23">
        <f t="shared" si="754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 t="shared" si="503"/>
        <v>adrb2_human_3P0G</v>
      </c>
      <c r="B122" s="3" t="s">
        <v>126</v>
      </c>
      <c r="C122" s="3" t="s">
        <v>66</v>
      </c>
      <c r="D122" s="3" t="str">
        <f>IFERROR(MID(VLOOKUP($B122,Seqs!$A:$B,2,0),E122,1),"")</f>
        <v>Q</v>
      </c>
      <c r="E122" s="3">
        <v>26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S</v>
      </c>
      <c r="W122" s="3">
        <v>137</v>
      </c>
      <c r="X122" s="3" t="str">
        <f>IFERROR(MID(VLOOKUP($B122,Seqs!$A:$B,2,0),Y122,1),"")</f>
        <v>P</v>
      </c>
      <c r="Y122" s="3">
        <v>138</v>
      </c>
      <c r="Z122" s="3" t="str">
        <f>IFERROR(MID(VLOOKUP($B122,Seqs!$A:$B,2,0),AA122,1),"")</f>
        <v>L</v>
      </c>
      <c r="AA122" s="3">
        <v>145</v>
      </c>
      <c r="AB122" s="3" t="str">
        <f>IFERROR(MID(VLOOKUP($B122,Seqs!$A:$B,2,0),AC122,1),"")</f>
        <v>T</v>
      </c>
      <c r="AC122" s="9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A</v>
      </c>
      <c r="AM122" s="3">
        <v>226</v>
      </c>
      <c r="AN122" s="3" t="str">
        <f>IFERROR(MID(VLOOKUP($B122,Seqs!$A:$B,2,0),AO122,1),"")</f>
        <v>H</v>
      </c>
      <c r="AO122" s="3">
        <v>269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 t="shared" si="504"/>
        <v>1</v>
      </c>
      <c r="BC122" s="23">
        <f t="shared" si="729"/>
        <v>249</v>
      </c>
      <c r="BD122" s="16" t="s">
        <v>23</v>
      </c>
      <c r="BE122" s="3" t="s">
        <v>1291</v>
      </c>
      <c r="BF122" s="118">
        <v>3.5</v>
      </c>
      <c r="BG122" s="49" t="s">
        <v>1377</v>
      </c>
      <c r="BH122" s="49" t="s">
        <v>1377</v>
      </c>
      <c r="BI122" s="1"/>
      <c r="BJ122" s="70" t="s">
        <v>1287</v>
      </c>
      <c r="BK122" s="57" t="s">
        <v>1287</v>
      </c>
      <c r="BL122" s="57" t="s">
        <v>1287</v>
      </c>
      <c r="BM122" s="57" t="s">
        <v>1287</v>
      </c>
      <c r="BN122" s="57" t="s">
        <v>1287</v>
      </c>
      <c r="BO122" s="57" t="s">
        <v>1287</v>
      </c>
      <c r="BP122" s="57" t="s">
        <v>1287</v>
      </c>
      <c r="BQ122" s="57" t="s">
        <v>1287</v>
      </c>
      <c r="BR122" s="57" t="s">
        <v>1287</v>
      </c>
      <c r="BS122" s="57" t="s">
        <v>1287</v>
      </c>
      <c r="BT122" s="57" t="s">
        <v>1287</v>
      </c>
      <c r="BU122" s="57" t="s">
        <v>1287</v>
      </c>
      <c r="BV122" s="70">
        <f t="shared" si="730"/>
        <v>26</v>
      </c>
      <c r="BW122" s="71">
        <f t="shared" si="731"/>
        <v>62</v>
      </c>
      <c r="BX122" s="72">
        <f t="shared" si="732"/>
        <v>66</v>
      </c>
      <c r="BY122" s="71">
        <f t="shared" si="733"/>
        <v>98</v>
      </c>
      <c r="BZ122" s="72">
        <f t="shared" si="734"/>
        <v>102</v>
      </c>
      <c r="CA122" s="71">
        <f t="shared" si="735"/>
        <v>138</v>
      </c>
      <c r="CB122" s="72">
        <f t="shared" si="736"/>
        <v>146</v>
      </c>
      <c r="CC122" s="71">
        <f t="shared" si="737"/>
        <v>191</v>
      </c>
      <c r="CD122" s="72">
        <f t="shared" si="738"/>
        <v>196</v>
      </c>
      <c r="CE122" s="71">
        <f t="shared" si="739"/>
        <v>269</v>
      </c>
      <c r="CF122" s="72">
        <f t="shared" si="740"/>
        <v>304</v>
      </c>
      <c r="CG122" s="71">
        <f t="shared" si="741"/>
        <v>329</v>
      </c>
      <c r="CH122" s="70">
        <f t="shared" si="742"/>
        <v>61</v>
      </c>
      <c r="CI122" s="71">
        <f t="shared" si="743"/>
        <v>65</v>
      </c>
      <c r="CJ122" s="72">
        <f t="shared" si="744"/>
        <v>96</v>
      </c>
      <c r="CK122" s="72">
        <f t="shared" si="745"/>
        <v>101</v>
      </c>
      <c r="CL122" s="72">
        <f t="shared" si="746"/>
        <v>137</v>
      </c>
      <c r="CM122" s="72">
        <f t="shared" si="747"/>
        <v>145</v>
      </c>
      <c r="CN122" s="72">
        <f t="shared" si="748"/>
        <v>172</v>
      </c>
      <c r="CO122" s="72">
        <f t="shared" si="749"/>
        <v>193</v>
      </c>
      <c r="CP122" s="72">
        <f t="shared" si="750"/>
        <v>226</v>
      </c>
      <c r="CQ122" s="72">
        <f t="shared" si="751"/>
        <v>299</v>
      </c>
      <c r="CR122" s="72">
        <f t="shared" si="752"/>
        <v>328</v>
      </c>
      <c r="CS122" s="72">
        <f t="shared" si="753"/>
        <v>341</v>
      </c>
      <c r="CT122" s="23">
        <f t="shared" si="754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si="503"/>
        <v>adrb2_human_3PDS</v>
      </c>
      <c r="B123" s="3" t="s">
        <v>126</v>
      </c>
      <c r="C123" s="3" t="s">
        <v>1335</v>
      </c>
      <c r="D123" s="3" t="str">
        <f>IFERROR(MID(VLOOKUP($B123,Seqs!$A:$B,2,0),E123,1),"")</f>
        <v>D</v>
      </c>
      <c r="E123" s="3">
        <v>29</v>
      </c>
      <c r="F123" s="3" t="str">
        <f>IFERROR(MID(VLOOKUP($B123,Seqs!$A:$B,2,0),G123,1),"")</f>
        <v>F</v>
      </c>
      <c r="G123" s="3">
        <v>61</v>
      </c>
      <c r="H123" s="3" t="str">
        <f>IFERROR(MID(VLOOKUP($B123,Seqs!$A:$B,2,0),I123,1),"")</f>
        <v>E</v>
      </c>
      <c r="I123" s="23">
        <v>62</v>
      </c>
      <c r="J123" s="3" t="str">
        <f>IFERROR(MID(VLOOKUP($B123,Seqs!$A:$B,2,0),K123,1),"")</f>
        <v>Q</v>
      </c>
      <c r="K123" s="23">
        <v>65</v>
      </c>
      <c r="L123" s="3" t="str">
        <f>IFERROR(MID(VLOOKUP($B123,Seqs!$A:$B,2,0),M123,1),"")</f>
        <v>T</v>
      </c>
      <c r="M123" s="3">
        <v>66</v>
      </c>
      <c r="N123" s="3" t="str">
        <f>IFERROR(MID(VLOOKUP($B123,Seqs!$A:$B,2,0),O123,1),"")</f>
        <v>M</v>
      </c>
      <c r="O123" s="3">
        <v>96</v>
      </c>
      <c r="P123" s="3" t="str">
        <f>IFERROR(MID(VLOOKUP($B123,Seqs!$A:$B,2,0),Q123,1),"")</f>
        <v>M</v>
      </c>
      <c r="Q123" s="3">
        <v>98</v>
      </c>
      <c r="R123" s="3" t="str">
        <f>IFERROR(MID(VLOOKUP($B123,Seqs!$A:$B,2,0),S123,1),"")</f>
        <v>F</v>
      </c>
      <c r="S123" s="3">
        <v>101</v>
      </c>
      <c r="T123" s="3" t="str">
        <f>IFERROR(MID(VLOOKUP($B123,Seqs!$A:$B,2,0),U123,1),"")</f>
        <v>G</v>
      </c>
      <c r="U123" s="3">
        <v>102</v>
      </c>
      <c r="V123" s="3" t="str">
        <f>IFERROR(MID(VLOOKUP($B123,Seqs!$A:$B,2,0),W123,1),"")</f>
        <v>S</v>
      </c>
      <c r="W123" s="3">
        <v>137</v>
      </c>
      <c r="X123" s="3" t="str">
        <f>IFERROR(MID(VLOOKUP($B123,Seqs!$A:$B,2,0),Y123,1),"")</f>
        <v/>
      </c>
      <c r="Y123" s="3" t="s">
        <v>23</v>
      </c>
      <c r="Z123" s="3" t="str">
        <f>IFERROR(MID(VLOOKUP($B123,Seqs!$A:$B,2,0),AA123,1),"")</f>
        <v/>
      </c>
      <c r="AA123" s="3" t="s">
        <v>23</v>
      </c>
      <c r="AB123" s="3" t="str">
        <f>IFERROR(MID(VLOOKUP($B123,Seqs!$A:$B,2,0),AC123,1),"")</f>
        <v>T</v>
      </c>
      <c r="AC123" s="9">
        <v>146</v>
      </c>
      <c r="AD123" s="3" t="str">
        <f>IFERROR(MID(VLOOKUP($B123,Seqs!$A:$B,2,0),AE123,1),"")</f>
        <v>H</v>
      </c>
      <c r="AE123" s="3">
        <v>172</v>
      </c>
      <c r="AF123" s="3" t="str">
        <f>IFERROR(MID(VLOOKUP($B123,Seqs!$A:$B,2,0),AG123,1),"")</f>
        <v>C</v>
      </c>
      <c r="AG123" s="3">
        <v>191</v>
      </c>
      <c r="AH123" s="3" t="str">
        <f>IFERROR(MID(VLOOKUP($B123,Seqs!$A:$B,2,0),AI123,1),"")</f>
        <v>F</v>
      </c>
      <c r="AI123" s="3">
        <v>193</v>
      </c>
      <c r="AJ123" s="3" t="str">
        <f>IFERROR(MID(VLOOKUP($B123,Seqs!$A:$B,2,0),AK123,1),"")</f>
        <v>N</v>
      </c>
      <c r="AK123" s="3">
        <v>196</v>
      </c>
      <c r="AL123" s="3" t="str">
        <f>IFERROR(MID(VLOOKUP($B123,Seqs!$A:$B,2,0),AM123,1),"")</f>
        <v>Q</v>
      </c>
      <c r="AM123" s="3">
        <v>229</v>
      </c>
      <c r="AN123" s="3" t="str">
        <f>IFERROR(MID(VLOOKUP($B123,Seqs!$A:$B,2,0),AO123,1),"")</f>
        <v>L</v>
      </c>
      <c r="AO123" s="3">
        <v>266</v>
      </c>
      <c r="AP123" s="3" t="str">
        <f>IFERROR(MID(VLOOKUP($B123,Seqs!$A:$B,2,0),AQ123,1),"")</f>
        <v>Q</v>
      </c>
      <c r="AQ123" s="3">
        <v>299</v>
      </c>
      <c r="AR123" s="3" t="str">
        <f>IFERROR(MID(VLOOKUP($B123,Seqs!$A:$B,2,0),AS123,1),"")</f>
        <v>R</v>
      </c>
      <c r="AS123" s="3">
        <v>304</v>
      </c>
      <c r="AT123" s="3" t="str">
        <f>IFERROR(MID(VLOOKUP($B123,Seqs!$A:$B,2,0),AU123,1),"")</f>
        <v>R</v>
      </c>
      <c r="AU123" s="3">
        <v>328</v>
      </c>
      <c r="AV123" s="3" t="str">
        <f>IFERROR(MID(VLOOKUP($B123,Seqs!$A:$B,2,0),AW123,1),"")</f>
        <v>S</v>
      </c>
      <c r="AW123" s="3">
        <v>329</v>
      </c>
      <c r="AX123" s="3" t="str">
        <f>IFERROR(MID(VLOOKUP($B123,Seqs!$A:$B,2,0),AY123,1),"")</f>
        <v>C</v>
      </c>
      <c r="AY123" s="3">
        <v>341</v>
      </c>
      <c r="AZ123" s="77" t="str">
        <f>VLOOKUP(B123,Classification!A:D,2,0)</f>
        <v>A</v>
      </c>
      <c r="BA123" s="94" t="str">
        <f>VLOOKUP(B123,Classification!A:D,4,0)</f>
        <v>Adrenoceptors</v>
      </c>
      <c r="BB123" s="27" t="b">
        <f t="shared" si="504"/>
        <v>1</v>
      </c>
      <c r="BC123" s="23">
        <f t="shared" si="729"/>
        <v>245</v>
      </c>
      <c r="BD123" s="5" t="s">
        <v>23</v>
      </c>
      <c r="BE123" s="3" t="s">
        <v>1374</v>
      </c>
      <c r="BF123" s="118">
        <v>3.5</v>
      </c>
      <c r="BG123" s="49" t="s">
        <v>1377</v>
      </c>
      <c r="BH123" s="49" t="s">
        <v>1377</v>
      </c>
      <c r="BI123" s="1"/>
      <c r="BJ123" s="70" t="s">
        <v>1287</v>
      </c>
      <c r="BK123" s="57" t="s">
        <v>1287</v>
      </c>
      <c r="BL123" s="57" t="s">
        <v>1287</v>
      </c>
      <c r="BM123" s="57" t="s">
        <v>1287</v>
      </c>
      <c r="BN123" s="57" t="s">
        <v>1287</v>
      </c>
      <c r="BO123" s="57" t="s">
        <v>1287</v>
      </c>
      <c r="BP123" s="57" t="s">
        <v>1287</v>
      </c>
      <c r="BQ123" s="57" t="s">
        <v>1287</v>
      </c>
      <c r="BR123" s="57" t="s">
        <v>1287</v>
      </c>
      <c r="BS123" s="57" t="s">
        <v>1287</v>
      </c>
      <c r="BT123" s="57" t="s">
        <v>1287</v>
      </c>
      <c r="BU123" s="57" t="s">
        <v>1287</v>
      </c>
      <c r="BV123" s="70">
        <f t="shared" si="730"/>
        <v>29</v>
      </c>
      <c r="BW123" s="71">
        <f t="shared" si="731"/>
        <v>62</v>
      </c>
      <c r="BX123" s="72">
        <f t="shared" si="732"/>
        <v>66</v>
      </c>
      <c r="BY123" s="71">
        <f t="shared" si="733"/>
        <v>98</v>
      </c>
      <c r="BZ123" s="72">
        <f t="shared" si="734"/>
        <v>102</v>
      </c>
      <c r="CA123" s="71" t="str">
        <f t="shared" si="735"/>
        <v>-</v>
      </c>
      <c r="CB123" s="72">
        <f t="shared" si="736"/>
        <v>146</v>
      </c>
      <c r="CC123" s="71">
        <f t="shared" si="737"/>
        <v>191</v>
      </c>
      <c r="CD123" s="72">
        <f t="shared" si="738"/>
        <v>196</v>
      </c>
      <c r="CE123" s="71">
        <f t="shared" si="739"/>
        <v>266</v>
      </c>
      <c r="CF123" s="72">
        <f t="shared" si="740"/>
        <v>304</v>
      </c>
      <c r="CG123" s="71">
        <f t="shared" si="741"/>
        <v>329</v>
      </c>
      <c r="CH123" s="70">
        <f t="shared" si="742"/>
        <v>61</v>
      </c>
      <c r="CI123" s="71">
        <f t="shared" si="743"/>
        <v>65</v>
      </c>
      <c r="CJ123" s="72">
        <f t="shared" si="744"/>
        <v>96</v>
      </c>
      <c r="CK123" s="72">
        <f t="shared" si="745"/>
        <v>101</v>
      </c>
      <c r="CL123" s="72">
        <f t="shared" si="746"/>
        <v>137</v>
      </c>
      <c r="CM123" s="72" t="str">
        <f t="shared" si="747"/>
        <v>-</v>
      </c>
      <c r="CN123" s="72">
        <f t="shared" si="748"/>
        <v>172</v>
      </c>
      <c r="CO123" s="72">
        <f t="shared" si="749"/>
        <v>193</v>
      </c>
      <c r="CP123" s="72">
        <f t="shared" si="750"/>
        <v>229</v>
      </c>
      <c r="CQ123" s="72">
        <f t="shared" si="751"/>
        <v>299</v>
      </c>
      <c r="CR123" s="72">
        <f t="shared" si="752"/>
        <v>328</v>
      </c>
      <c r="CS123" s="72">
        <f t="shared" si="753"/>
        <v>341</v>
      </c>
      <c r="CT123" s="23">
        <f t="shared" si="754"/>
        <v>1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ht="17" customHeight="1" x14ac:dyDescent="0.2">
      <c r="A124" s="3" t="str">
        <f t="shared" si="503"/>
        <v>adrb2_human_3SN6</v>
      </c>
      <c r="B124" s="3" t="s">
        <v>126</v>
      </c>
      <c r="C124" s="3" t="s">
        <v>85</v>
      </c>
      <c r="D124" s="3" t="str">
        <f>IFERROR(MID(VLOOKUP($B124,Seqs!$A:$B,2,0),E124,1),"")</f>
        <v>D</v>
      </c>
      <c r="E124" s="3">
        <v>29</v>
      </c>
      <c r="F124" s="3" t="str">
        <f>IFERROR(MID(VLOOKUP($B124,Seqs!$A:$B,2,0),G124,1),"")</f>
        <v>F</v>
      </c>
      <c r="G124" s="3">
        <v>61</v>
      </c>
      <c r="H124" s="3" t="str">
        <f>IFERROR(MID(VLOOKUP($B124,Seqs!$A:$B,2,0),I124,1),"")</f>
        <v>E</v>
      </c>
      <c r="I124" s="23">
        <v>62</v>
      </c>
      <c r="J124" s="3" t="str">
        <f>IFERROR(MID(VLOOKUP($B124,Seqs!$A:$B,2,0),K124,1),"")</f>
        <v>Q</v>
      </c>
      <c r="K124" s="23">
        <v>65</v>
      </c>
      <c r="L124" s="3" t="str">
        <f>IFERROR(MID(VLOOKUP($B124,Seqs!$A:$B,2,0),M124,1),"")</f>
        <v>T</v>
      </c>
      <c r="M124" s="3">
        <v>66</v>
      </c>
      <c r="N124" s="3" t="str">
        <f>IFERROR(MID(VLOOKUP($B124,Seqs!$A:$B,2,0),O124,1),"")</f>
        <v>M</v>
      </c>
      <c r="O124" s="3">
        <v>96</v>
      </c>
      <c r="P124" s="3" t="str">
        <f>IFERROR(MID(VLOOKUP($B124,Seqs!$A:$B,2,0),Q124,1),"")</f>
        <v>M</v>
      </c>
      <c r="Q124" s="3">
        <v>98</v>
      </c>
      <c r="R124" s="3" t="str">
        <f>IFERROR(MID(VLOOKUP($B124,Seqs!$A:$B,2,0),S124,1),"")</f>
        <v>F</v>
      </c>
      <c r="S124" s="3">
        <v>101</v>
      </c>
      <c r="T124" s="3" t="str">
        <f>IFERROR(MID(VLOOKUP($B124,Seqs!$A:$B,2,0),U124,1),"")</f>
        <v>G</v>
      </c>
      <c r="U124" s="3">
        <v>102</v>
      </c>
      <c r="V124" s="3" t="str">
        <f>IFERROR(MID(VLOOKUP($B124,Seqs!$A:$B,2,0),W124,1),"")</f>
        <v>S</v>
      </c>
      <c r="W124" s="3">
        <v>137</v>
      </c>
      <c r="X124" s="3" t="str">
        <f>IFERROR(MID(VLOOKUP($B124,Seqs!$A:$B,2,0),Y124,1),"")</f>
        <v>P</v>
      </c>
      <c r="Y124" s="3">
        <v>138</v>
      </c>
      <c r="Z124" s="3" t="str">
        <f>IFERROR(MID(VLOOKUP($B124,Seqs!$A:$B,2,0),AA124,1),"")</f>
        <v>L</v>
      </c>
      <c r="AA124" s="3">
        <v>145</v>
      </c>
      <c r="AB124" s="3" t="str">
        <f>IFERROR(MID(VLOOKUP($B124,Seqs!$A:$B,2,0),AC124,1),"")</f>
        <v>T</v>
      </c>
      <c r="AC124" s="9">
        <v>146</v>
      </c>
      <c r="AD124" s="3" t="str">
        <f>IFERROR(MID(VLOOKUP($B124,Seqs!$A:$B,2,0),AE124,1),"")</f>
        <v>H</v>
      </c>
      <c r="AE124" s="3">
        <v>172</v>
      </c>
      <c r="AF124" s="3" t="str">
        <f>IFERROR(MID(VLOOKUP($B124,Seqs!$A:$B,2,0),AG124,1),"")</f>
        <v>C</v>
      </c>
      <c r="AG124" s="3">
        <v>191</v>
      </c>
      <c r="AH124" s="3" t="str">
        <f>IFERROR(MID(VLOOKUP($B124,Seqs!$A:$B,2,0),AI124,1),"")</f>
        <v>F</v>
      </c>
      <c r="AI124" s="3">
        <v>193</v>
      </c>
      <c r="AJ124" s="3" t="str">
        <f>IFERROR(MID(VLOOKUP($B124,Seqs!$A:$B,2,0),AK124,1),"")</f>
        <v>N</v>
      </c>
      <c r="AK124" s="3">
        <v>196</v>
      </c>
      <c r="AL124" s="3" t="str">
        <f>IFERROR(MID(VLOOKUP($B124,Seqs!$A:$B,2,0),AM124,1),"")</f>
        <v>E</v>
      </c>
      <c r="AM124" s="3">
        <v>237</v>
      </c>
      <c r="AN124" s="3" t="str">
        <f>IFERROR(MID(VLOOKUP($B124,Seqs!$A:$B,2,0),AO124,1),"")</f>
        <v>C</v>
      </c>
      <c r="AO124" s="3">
        <v>265</v>
      </c>
      <c r="AP124" s="3" t="str">
        <f>IFERROR(MID(VLOOKUP($B124,Seqs!$A:$B,2,0),AQ124,1),"")</f>
        <v>Q</v>
      </c>
      <c r="AQ124" s="3">
        <v>299</v>
      </c>
      <c r="AR124" s="3" t="str">
        <f>IFERROR(MID(VLOOKUP($B124,Seqs!$A:$B,2,0),AS124,1),"")</f>
        <v>R</v>
      </c>
      <c r="AS124" s="3">
        <v>304</v>
      </c>
      <c r="AT124" s="3" t="str">
        <f>IFERROR(MID(VLOOKUP($B124,Seqs!$A:$B,2,0),AU124,1),"")</f>
        <v>R</v>
      </c>
      <c r="AU124" s="3">
        <v>328</v>
      </c>
      <c r="AV124" s="3" t="str">
        <f>IFERROR(MID(VLOOKUP($B124,Seqs!$A:$B,2,0),AW124,1),"")</f>
        <v>S</v>
      </c>
      <c r="AW124" s="3">
        <v>329</v>
      </c>
      <c r="AX124" s="3" t="str">
        <f>IFERROR(MID(VLOOKUP($B124,Seqs!$A:$B,2,0),AY124,1),"")</f>
        <v>C</v>
      </c>
      <c r="AY124" s="3">
        <v>341</v>
      </c>
      <c r="AZ124" s="77" t="str">
        <f>VLOOKUP(B124,Classification!A:D,2,0)</f>
        <v>A</v>
      </c>
      <c r="BA124" s="94" t="str">
        <f>VLOOKUP(B124,Classification!A:D,4,0)</f>
        <v>Adrenoceptors</v>
      </c>
      <c r="BB124" s="27" t="b">
        <f t="shared" si="504"/>
        <v>1</v>
      </c>
      <c r="BC124" s="23">
        <f t="shared" si="729"/>
        <v>261</v>
      </c>
      <c r="BD124" s="4" t="s">
        <v>1375</v>
      </c>
      <c r="BE124" s="3" t="s">
        <v>1291</v>
      </c>
      <c r="BF124" s="118">
        <v>3.2</v>
      </c>
      <c r="BG124" s="49" t="s">
        <v>1377</v>
      </c>
      <c r="BH124" s="49" t="s">
        <v>1377</v>
      </c>
      <c r="BI124" s="1"/>
      <c r="BJ124" s="70" t="s">
        <v>1287</v>
      </c>
      <c r="BK124" s="57" t="s">
        <v>1287</v>
      </c>
      <c r="BL124" s="57" t="s">
        <v>1287</v>
      </c>
      <c r="BM124" s="57" t="s">
        <v>1287</v>
      </c>
      <c r="BN124" s="57" t="s">
        <v>1287</v>
      </c>
      <c r="BO124" s="57" t="s">
        <v>1287</v>
      </c>
      <c r="BP124" s="57" t="s">
        <v>1287</v>
      </c>
      <c r="BQ124" s="57" t="s">
        <v>1287</v>
      </c>
      <c r="BR124" s="57" t="s">
        <v>1287</v>
      </c>
      <c r="BS124" s="57" t="s">
        <v>1287</v>
      </c>
      <c r="BT124" s="57" t="s">
        <v>1287</v>
      </c>
      <c r="BU124" s="57" t="s">
        <v>1287</v>
      </c>
      <c r="BV124" s="70">
        <f t="shared" si="730"/>
        <v>29</v>
      </c>
      <c r="BW124" s="71">
        <f t="shared" si="731"/>
        <v>62</v>
      </c>
      <c r="BX124" s="72">
        <f t="shared" si="732"/>
        <v>66</v>
      </c>
      <c r="BY124" s="71">
        <f t="shared" si="733"/>
        <v>98</v>
      </c>
      <c r="BZ124" s="72">
        <f t="shared" si="734"/>
        <v>102</v>
      </c>
      <c r="CA124" s="71">
        <f t="shared" si="735"/>
        <v>138</v>
      </c>
      <c r="CB124" s="72">
        <f t="shared" si="736"/>
        <v>146</v>
      </c>
      <c r="CC124" s="71">
        <f t="shared" si="737"/>
        <v>191</v>
      </c>
      <c r="CD124" s="72">
        <f t="shared" si="738"/>
        <v>196</v>
      </c>
      <c r="CE124" s="71">
        <f t="shared" si="739"/>
        <v>265</v>
      </c>
      <c r="CF124" s="72">
        <f t="shared" si="740"/>
        <v>304</v>
      </c>
      <c r="CG124" s="71">
        <f t="shared" si="741"/>
        <v>329</v>
      </c>
      <c r="CH124" s="70">
        <f t="shared" si="742"/>
        <v>61</v>
      </c>
      <c r="CI124" s="71">
        <f t="shared" si="743"/>
        <v>65</v>
      </c>
      <c r="CJ124" s="72">
        <f t="shared" si="744"/>
        <v>96</v>
      </c>
      <c r="CK124" s="72">
        <f t="shared" si="745"/>
        <v>101</v>
      </c>
      <c r="CL124" s="72">
        <f t="shared" si="746"/>
        <v>137</v>
      </c>
      <c r="CM124" s="72">
        <f t="shared" si="747"/>
        <v>145</v>
      </c>
      <c r="CN124" s="72">
        <f t="shared" si="748"/>
        <v>172</v>
      </c>
      <c r="CO124" s="72">
        <f t="shared" si="749"/>
        <v>193</v>
      </c>
      <c r="CP124" s="72">
        <f t="shared" si="750"/>
        <v>237</v>
      </c>
      <c r="CQ124" s="72">
        <f t="shared" si="751"/>
        <v>299</v>
      </c>
      <c r="CR124" s="72">
        <f t="shared" si="752"/>
        <v>328</v>
      </c>
      <c r="CS124" s="72">
        <f t="shared" si="753"/>
        <v>341</v>
      </c>
      <c r="CT124" s="23">
        <f t="shared" si="754"/>
        <v>1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s="12" customFormat="1" ht="17" customHeight="1" x14ac:dyDescent="0.2">
      <c r="A125" s="9" t="str">
        <f t="shared" ref="A125" si="923">CONCATENATE(B125,"_",C125)</f>
        <v>adrb2_human_4GBR</v>
      </c>
      <c r="B125" s="9" t="s">
        <v>126</v>
      </c>
      <c r="C125" s="9" t="s">
        <v>1106</v>
      </c>
      <c r="D125" s="9" t="str">
        <f>IFERROR(MID(VLOOKUP($B125,Seqs!$A:$B,2,0),E125,1),"")</f>
        <v>D</v>
      </c>
      <c r="E125" s="9">
        <v>29</v>
      </c>
      <c r="F125" s="9" t="str">
        <f>IFERROR(MID(VLOOKUP($B125,Seqs!$A:$B,2,0),G125,1),"")</f>
        <v>F</v>
      </c>
      <c r="G125" s="9">
        <v>61</v>
      </c>
      <c r="H125" s="9" t="str">
        <f>IFERROR(MID(VLOOKUP($B125,Seqs!$A:$B,2,0),I125,1),"")</f>
        <v>E</v>
      </c>
      <c r="I125" s="109">
        <v>62</v>
      </c>
      <c r="J125" s="9" t="str">
        <f>IFERROR(MID(VLOOKUP($B125,Seqs!$A:$B,2,0),K125,1),"")</f>
        <v>Q</v>
      </c>
      <c r="K125" s="109">
        <v>65</v>
      </c>
      <c r="L125" s="9" t="str">
        <f>IFERROR(MID(VLOOKUP($B125,Seqs!$A:$B,2,0),M125,1),"")</f>
        <v>T</v>
      </c>
      <c r="M125" s="9">
        <v>66</v>
      </c>
      <c r="N125" s="9" t="str">
        <f>IFERROR(MID(VLOOKUP($B125,Seqs!$A:$B,2,0),O125,1),"")</f>
        <v>M</v>
      </c>
      <c r="O125" s="9">
        <v>96</v>
      </c>
      <c r="P125" s="9" t="str">
        <f>IFERROR(MID(VLOOKUP($B125,Seqs!$A:$B,2,0),Q125,1),"")</f>
        <v>M</v>
      </c>
      <c r="Q125" s="9">
        <v>98</v>
      </c>
      <c r="R125" s="9" t="str">
        <f>IFERROR(MID(VLOOKUP($B125,Seqs!$A:$B,2,0),S125,1),"")</f>
        <v>F</v>
      </c>
      <c r="S125" s="9">
        <v>101</v>
      </c>
      <c r="T125" s="9" t="str">
        <f>IFERROR(MID(VLOOKUP($B125,Seqs!$A:$B,2,0),U125,1),"")</f>
        <v>G</v>
      </c>
      <c r="U125" s="9">
        <v>102</v>
      </c>
      <c r="V125" s="9" t="str">
        <f>IFERROR(MID(VLOOKUP($B125,Seqs!$A:$B,2,0),W125,1),"")</f>
        <v>T</v>
      </c>
      <c r="W125" s="9">
        <v>136</v>
      </c>
      <c r="X125" s="9" t="str">
        <f>IFERROR(MID(VLOOKUP($B125,Seqs!$A:$B,2,0),Y125,1),"")</f>
        <v/>
      </c>
      <c r="Y125" s="9" t="s">
        <v>23</v>
      </c>
      <c r="Z125" s="9" t="str">
        <f>IFERROR(MID(VLOOKUP($B125,Seqs!$A:$B,2,0),AA125,1),"")</f>
        <v/>
      </c>
      <c r="AA125" s="9" t="s">
        <v>23</v>
      </c>
      <c r="AB125" s="9" t="str">
        <f>IFERROR(MID(VLOOKUP($B125,Seqs!$A:$B,2,0),AC125,1),"")</f>
        <v>T</v>
      </c>
      <c r="AC125" s="9">
        <v>146</v>
      </c>
      <c r="AD125" s="9" t="str">
        <f>IFERROR(MID(VLOOKUP($B125,Seqs!$A:$B,2,0),AE125,1),"")</f>
        <v>H</v>
      </c>
      <c r="AE125" s="9">
        <v>172</v>
      </c>
      <c r="AF125" s="9" t="str">
        <f>IFERROR(MID(VLOOKUP($B125,Seqs!$A:$B,2,0),AG125,1),"")</f>
        <v>C</v>
      </c>
      <c r="AG125" s="9">
        <v>191</v>
      </c>
      <c r="AH125" s="9" t="str">
        <f>IFERROR(MID(VLOOKUP($B125,Seqs!$A:$B,2,0),AI125,1),"")</f>
        <v>F</v>
      </c>
      <c r="AI125" s="9">
        <v>193</v>
      </c>
      <c r="AJ125" s="9" t="str">
        <f>IFERROR(MID(VLOOKUP($B125,Seqs!$A:$B,2,0),AK125,1),"")</f>
        <v>N</v>
      </c>
      <c r="AK125" s="9">
        <v>196</v>
      </c>
      <c r="AL125" s="9" t="str">
        <f>IFERROR(MID(VLOOKUP($B125,Seqs!$A:$B,2,0),AM125,1),"")</f>
        <v>K</v>
      </c>
      <c r="AM125" s="9">
        <v>232</v>
      </c>
      <c r="AN125" s="9" t="str">
        <f>IFERROR(MID(VLOOKUP($B125,Seqs!$A:$B,2,0),AO125,1),"")</f>
        <v>E</v>
      </c>
      <c r="AO125" s="9">
        <v>237</v>
      </c>
      <c r="AP125" s="9" t="str">
        <f>IFERROR(MID(VLOOKUP($B125,Seqs!$A:$B,2,0),AQ125,1),"")</f>
        <v>A</v>
      </c>
      <c r="AQ125" s="9">
        <v>271</v>
      </c>
      <c r="AR125" s="9" t="str">
        <f>IFERROR(MID(VLOOKUP($B125,Seqs!$A:$B,2,0),AS125,1),"")</f>
        <v>G</v>
      </c>
      <c r="AS125" s="9">
        <v>276</v>
      </c>
      <c r="AT125" s="9" t="str">
        <f>IFERROR(MID(VLOOKUP($B125,Seqs!$A:$B,2,0),AU125,1),"")</f>
        <v>D</v>
      </c>
      <c r="AU125" s="9">
        <v>300</v>
      </c>
      <c r="AV125" s="9" t="str">
        <f>IFERROR(MID(VLOOKUP($B125,Seqs!$A:$B,2,0),AW125,1),"")</f>
        <v>N</v>
      </c>
      <c r="AW125" s="9">
        <v>301</v>
      </c>
      <c r="AX125" s="9" t="str">
        <f>IFERROR(MID(VLOOKUP($B125,Seqs!$A:$B,2,0),AY125,1),"")</f>
        <v>W</v>
      </c>
      <c r="AY125" s="9">
        <v>313</v>
      </c>
      <c r="AZ125" s="110" t="str">
        <f>VLOOKUP(B125,Classification!A:D,2,0)</f>
        <v>A</v>
      </c>
      <c r="BA125" s="98" t="str">
        <f>VLOOKUP(B125,Classification!A:D,4,0)</f>
        <v>Adrenoceptors</v>
      </c>
      <c r="BB125" s="36" t="b">
        <f t="shared" ref="BB125" si="924">AND(E125&lt;G125,OR(G125&lt;I125,I125="-"),OR(I125&lt;K125,I125="-"),OR(K125&lt;M125,K125="-"),M125&lt;O125,OR(O125&lt;Q125,Q125="-"),OR(Q125&lt;S125,Q125="-"),OR(S125&lt;U125,S125="-"),U125&lt;W125,OR(W125&lt;Y125,Y125="-"),OR(Y125&lt;AA125,Y125="-"),OR(AA125&lt;AC125,AA125="-"),AC125&lt;AE125,OR(AE125&lt;AG125,AG125="-"),OR(AG125&lt;AI125,AG125="-"),OR(AI125&lt;AK125,AI125="-"),AK125&lt;AM125,AM125&lt;AO125,AO125&lt;AQ125,AQ125&lt;AS125,AS125&lt;AU125,OR(AU125&lt;AW125,AW125="-"),OR(AW125&lt;AY125,AW125="-"))</f>
        <v>1</v>
      </c>
      <c r="BC125" s="109">
        <f t="shared" ref="BC125" si="925">_xlfn.AGGREGATE(9,6,CH125:CS125)-_xlfn.AGGREGATE(9,6,BV125:CG125)+12</f>
        <v>248</v>
      </c>
      <c r="BD125" s="11" t="s">
        <v>23</v>
      </c>
      <c r="BE125" s="9" t="s">
        <v>1374</v>
      </c>
      <c r="BF125" s="119">
        <v>3.99</v>
      </c>
      <c r="BG125" s="51" t="s">
        <v>1</v>
      </c>
      <c r="BH125" s="51" t="s">
        <v>1</v>
      </c>
      <c r="BJ125" s="111" t="s">
        <v>1287</v>
      </c>
      <c r="BK125" s="112" t="s">
        <v>1287</v>
      </c>
      <c r="BL125" s="112" t="s">
        <v>1287</v>
      </c>
      <c r="BM125" s="112" t="s">
        <v>1287</v>
      </c>
      <c r="BN125" s="112" t="s">
        <v>1287</v>
      </c>
      <c r="BO125" s="112" t="s">
        <v>1287</v>
      </c>
      <c r="BP125" s="112" t="s">
        <v>1287</v>
      </c>
      <c r="BQ125" s="112" t="s">
        <v>1287</v>
      </c>
      <c r="BR125" s="112" t="s">
        <v>1287</v>
      </c>
      <c r="BS125" s="112" t="s">
        <v>1287</v>
      </c>
      <c r="BT125" s="112" t="s">
        <v>1287</v>
      </c>
      <c r="BU125" s="112" t="s">
        <v>1287</v>
      </c>
      <c r="BV125" s="111">
        <f t="shared" ref="BV125" si="926">E125</f>
        <v>29</v>
      </c>
      <c r="BW125" s="113">
        <f t="shared" ref="BW125" si="927">I125</f>
        <v>62</v>
      </c>
      <c r="BX125" s="114">
        <f t="shared" ref="BX125" si="928">M125</f>
        <v>66</v>
      </c>
      <c r="BY125" s="113">
        <f t="shared" ref="BY125" si="929">Q125</f>
        <v>98</v>
      </c>
      <c r="BZ125" s="114">
        <f t="shared" ref="BZ125" si="930">U125</f>
        <v>102</v>
      </c>
      <c r="CA125" s="113" t="str">
        <f t="shared" ref="CA125" si="931">Y125</f>
        <v>-</v>
      </c>
      <c r="CB125" s="114">
        <f t="shared" ref="CB125" si="932">AC125</f>
        <v>146</v>
      </c>
      <c r="CC125" s="113">
        <f t="shared" ref="CC125" si="933">AG125</f>
        <v>191</v>
      </c>
      <c r="CD125" s="114">
        <f t="shared" ref="CD125" si="934">AK125</f>
        <v>196</v>
      </c>
      <c r="CE125" s="113">
        <f t="shared" ref="CE125" si="935">AO125</f>
        <v>237</v>
      </c>
      <c r="CF125" s="114">
        <f t="shared" ref="CF125" si="936">AS125</f>
        <v>276</v>
      </c>
      <c r="CG125" s="113">
        <f t="shared" ref="CG125" si="937">AW125</f>
        <v>301</v>
      </c>
      <c r="CH125" s="111">
        <f t="shared" ref="CH125" si="938">G125</f>
        <v>61</v>
      </c>
      <c r="CI125" s="113">
        <f t="shared" ref="CI125" si="939">K125</f>
        <v>65</v>
      </c>
      <c r="CJ125" s="114">
        <f t="shared" ref="CJ125" si="940">O125</f>
        <v>96</v>
      </c>
      <c r="CK125" s="114">
        <f t="shared" ref="CK125" si="941">S125</f>
        <v>101</v>
      </c>
      <c r="CL125" s="114">
        <f t="shared" ref="CL125" si="942">W125</f>
        <v>136</v>
      </c>
      <c r="CM125" s="114" t="str">
        <f t="shared" ref="CM125" si="943">AA125</f>
        <v>-</v>
      </c>
      <c r="CN125" s="114">
        <f t="shared" ref="CN125" si="944">AE125</f>
        <v>172</v>
      </c>
      <c r="CO125" s="114">
        <f t="shared" ref="CO125" si="945">AI125</f>
        <v>193</v>
      </c>
      <c r="CP125" s="114">
        <f t="shared" ref="CP125" si="946">AM125</f>
        <v>232</v>
      </c>
      <c r="CQ125" s="114">
        <f t="shared" ref="CQ125" si="947">AQ125</f>
        <v>271</v>
      </c>
      <c r="CR125" s="114">
        <f t="shared" ref="CR125" si="948">AU125</f>
        <v>300</v>
      </c>
      <c r="CS125" s="114">
        <f t="shared" ref="CS125" si="949">AY125</f>
        <v>313</v>
      </c>
      <c r="CT125" s="109">
        <f t="shared" ref="CT125" si="950">M125-K125</f>
        <v>1</v>
      </c>
    </row>
    <row r="126" spans="1:1029" x14ac:dyDescent="0.2">
      <c r="A126" s="3" t="str">
        <f t="shared" ref="A126:A220" si="951">CONCATENATE(B126,"_",C126)</f>
        <v>adrb2_human_4LDE</v>
      </c>
      <c r="B126" s="3" t="s">
        <v>126</v>
      </c>
      <c r="C126" s="3" t="s">
        <v>77</v>
      </c>
      <c r="D126" s="3" t="str">
        <f>IFERROR(MID(VLOOKUP($B126,Seqs!$A:$B,2,0),E126,1),"")</f>
        <v/>
      </c>
      <c r="E126" s="3">
        <v>1029</v>
      </c>
      <c r="F126" s="3" t="str">
        <f>IFERROR(MID(VLOOKUP($B126,Seqs!$A:$B,2,0),G126,1),"")</f>
        <v/>
      </c>
      <c r="G126" s="3">
        <v>1061</v>
      </c>
      <c r="H126" s="3" t="str">
        <f>IFERROR(MID(VLOOKUP($B126,Seqs!$A:$B,2,0),I126,1),"")</f>
        <v/>
      </c>
      <c r="I126" s="23">
        <v>1062</v>
      </c>
      <c r="J126" s="3" t="str">
        <f>IFERROR(MID(VLOOKUP($B126,Seqs!$A:$B,2,0),K126,1),"")</f>
        <v/>
      </c>
      <c r="K126" s="23">
        <v>1065</v>
      </c>
      <c r="L126" s="3" t="str">
        <f>IFERROR(MID(VLOOKUP($B126,Seqs!$A:$B,2,0),M126,1),"")</f>
        <v/>
      </c>
      <c r="M126" s="3">
        <v>1066</v>
      </c>
      <c r="N126" s="3" t="str">
        <f>IFERROR(MID(VLOOKUP($B126,Seqs!$A:$B,2,0),O126,1),"")</f>
        <v/>
      </c>
      <c r="O126" s="3">
        <v>1096</v>
      </c>
      <c r="P126" s="3" t="str">
        <f>IFERROR(MID(VLOOKUP($B126,Seqs!$A:$B,2,0),Q126,1),"")</f>
        <v/>
      </c>
      <c r="Q126" s="3">
        <v>1098</v>
      </c>
      <c r="R126" s="3" t="str">
        <f>IFERROR(MID(VLOOKUP($B126,Seqs!$A:$B,2,0),S126,1),"")</f>
        <v/>
      </c>
      <c r="S126" s="3">
        <v>1101</v>
      </c>
      <c r="T126" s="3" t="str">
        <f>IFERROR(MID(VLOOKUP($B126,Seqs!$A:$B,2,0),U126,1),"")</f>
        <v/>
      </c>
      <c r="U126" s="3">
        <v>1102</v>
      </c>
      <c r="V126" s="3" t="str">
        <f>IFERROR(MID(VLOOKUP($B126,Seqs!$A:$B,2,0),W126,1),"")</f>
        <v/>
      </c>
      <c r="W126" s="3">
        <v>1137</v>
      </c>
      <c r="X126" s="3" t="str">
        <f>IFERROR(MID(VLOOKUP($B126,Seqs!$A:$B,2,0),Y126,1),"")</f>
        <v/>
      </c>
      <c r="Y126" s="3">
        <v>1138</v>
      </c>
      <c r="Z126" s="3" t="str">
        <f>IFERROR(MID(VLOOKUP($B126,Seqs!$A:$B,2,0),AA126,1),"")</f>
        <v/>
      </c>
      <c r="AA126" s="3">
        <v>1145</v>
      </c>
      <c r="AB126" s="3" t="str">
        <f>IFERROR(MID(VLOOKUP($B126,Seqs!$A:$B,2,0),AC126,1),"")</f>
        <v/>
      </c>
      <c r="AC126" s="9">
        <v>1146</v>
      </c>
      <c r="AD126" s="3" t="str">
        <f>IFERROR(MID(VLOOKUP($B126,Seqs!$A:$B,2,0),AE126,1),"")</f>
        <v/>
      </c>
      <c r="AE126" s="3">
        <v>1172</v>
      </c>
      <c r="AF126" s="3" t="str">
        <f>IFERROR(MID(VLOOKUP($B126,Seqs!$A:$B,2,0),AG126,1),"")</f>
        <v/>
      </c>
      <c r="AG126" s="3">
        <v>1191</v>
      </c>
      <c r="AH126" s="3" t="str">
        <f>IFERROR(MID(VLOOKUP($B126,Seqs!$A:$B,2,0),AI126,1),"")</f>
        <v/>
      </c>
      <c r="AI126" s="3">
        <v>1193</v>
      </c>
      <c r="AJ126" s="3" t="str">
        <f>IFERROR(MID(VLOOKUP($B126,Seqs!$A:$B,2,0),AK126,1),"")</f>
        <v/>
      </c>
      <c r="AK126" s="3">
        <v>1196</v>
      </c>
      <c r="AL126" s="3" t="str">
        <f>IFERROR(MID(VLOOKUP($B126,Seqs!$A:$B,2,0),AM126,1),"")</f>
        <v/>
      </c>
      <c r="AM126" s="3">
        <v>1225</v>
      </c>
      <c r="AN126" s="3" t="str">
        <f>IFERROR(MID(VLOOKUP($B126,Seqs!$A:$B,2,0),AO126,1),"")</f>
        <v/>
      </c>
      <c r="AO126" s="3">
        <v>1266</v>
      </c>
      <c r="AP126" s="3" t="str">
        <f>IFERROR(MID(VLOOKUP($B126,Seqs!$A:$B,2,0),AQ126,1),"")</f>
        <v/>
      </c>
      <c r="AQ126" s="3">
        <v>1299</v>
      </c>
      <c r="AR126" s="3" t="str">
        <f>IFERROR(MID(VLOOKUP($B126,Seqs!$A:$B,2,0),AS126,1),"")</f>
        <v/>
      </c>
      <c r="AS126" s="3">
        <v>1304</v>
      </c>
      <c r="AT126" s="3" t="str">
        <f>IFERROR(MID(VLOOKUP($B126,Seqs!$A:$B,2,0),AU126,1),"")</f>
        <v/>
      </c>
      <c r="AU126" s="3">
        <v>1328</v>
      </c>
      <c r="AV126" s="3" t="str">
        <f>IFERROR(MID(VLOOKUP($B126,Seqs!$A:$B,2,0),AW126,1),"")</f>
        <v/>
      </c>
      <c r="AW126" s="3">
        <v>1329</v>
      </c>
      <c r="AX126" s="3" t="str">
        <f>IFERROR(MID(VLOOKUP($B126,Seqs!$A:$B,2,0),AY126,1),"")</f>
        <v/>
      </c>
      <c r="AY126" s="3">
        <v>1341</v>
      </c>
      <c r="AZ126" s="77" t="str">
        <f>VLOOKUP(B126,Classification!A:D,2,0)</f>
        <v>A</v>
      </c>
      <c r="BA126" s="94" t="str">
        <f>VLOOKUP(B126,Classification!A:D,4,0)</f>
        <v>Adrenoceptors</v>
      </c>
      <c r="BB126" s="27" t="b">
        <f t="shared" ref="BB126:BB220" si="952">AND(E126&lt;G126,OR(G126&lt;I126,I126="-"),OR(I126&lt;K126,I126="-"),OR(K126&lt;M126,K126="-"),M126&lt;O126,OR(O126&lt;Q126,Q126="-"),OR(Q126&lt;S126,Q126="-"),OR(S126&lt;U126,S126="-"),U126&lt;W126,OR(W126&lt;Y126,Y126="-"),OR(Y126&lt;AA126,Y126="-"),OR(AA126&lt;AC126,AA126="-"),AC126&lt;AE126,OR(AE126&lt;AG126,AG126="-"),OR(AG126&lt;AI126,AG126="-"),OR(AI126&lt;AK126,AI126="-"),AK126&lt;AM126,AM126&lt;AO126,AO126&lt;AQ126,AQ126&lt;AS126,AS126&lt;AU126,OR(AU126&lt;AW126,AW126="-"),OR(AW126&lt;AY126,AW126="-"))</f>
        <v>1</v>
      </c>
      <c r="BC126" s="23">
        <f t="shared" si="729"/>
        <v>248</v>
      </c>
      <c r="BD126" s="4" t="s">
        <v>23</v>
      </c>
      <c r="BE126" s="3" t="s">
        <v>1291</v>
      </c>
      <c r="BF126" s="118">
        <v>2.79</v>
      </c>
      <c r="BG126" s="49" t="s">
        <v>1377</v>
      </c>
      <c r="BH126" s="49" t="s">
        <v>1377</v>
      </c>
      <c r="BI126" s="1"/>
      <c r="BJ126" s="70" t="s">
        <v>1287</v>
      </c>
      <c r="BK126" s="57" t="s">
        <v>1287</v>
      </c>
      <c r="BL126" s="57" t="s">
        <v>1287</v>
      </c>
      <c r="BM126" s="57" t="s">
        <v>1287</v>
      </c>
      <c r="BN126" s="57" t="s">
        <v>1287</v>
      </c>
      <c r="BO126" s="57" t="s">
        <v>1287</v>
      </c>
      <c r="BP126" s="57" t="s">
        <v>1287</v>
      </c>
      <c r="BQ126" s="57" t="s">
        <v>1287</v>
      </c>
      <c r="BR126" s="57" t="s">
        <v>1287</v>
      </c>
      <c r="BS126" s="57" t="s">
        <v>1287</v>
      </c>
      <c r="BT126" s="57" t="s">
        <v>1287</v>
      </c>
      <c r="BU126" s="57" t="s">
        <v>1287</v>
      </c>
      <c r="BV126" s="70">
        <f t="shared" si="730"/>
        <v>1029</v>
      </c>
      <c r="BW126" s="71">
        <f t="shared" si="731"/>
        <v>1062</v>
      </c>
      <c r="BX126" s="72">
        <f t="shared" si="732"/>
        <v>1066</v>
      </c>
      <c r="BY126" s="71">
        <f t="shared" si="733"/>
        <v>1098</v>
      </c>
      <c r="BZ126" s="72">
        <f t="shared" si="734"/>
        <v>1102</v>
      </c>
      <c r="CA126" s="71">
        <f t="shared" si="735"/>
        <v>1138</v>
      </c>
      <c r="CB126" s="72">
        <f t="shared" si="736"/>
        <v>1146</v>
      </c>
      <c r="CC126" s="71">
        <f t="shared" si="737"/>
        <v>1191</v>
      </c>
      <c r="CD126" s="72">
        <f t="shared" si="738"/>
        <v>1196</v>
      </c>
      <c r="CE126" s="71">
        <f t="shared" si="739"/>
        <v>1266</v>
      </c>
      <c r="CF126" s="72">
        <f t="shared" si="740"/>
        <v>1304</v>
      </c>
      <c r="CG126" s="71">
        <f t="shared" si="741"/>
        <v>1329</v>
      </c>
      <c r="CH126" s="70">
        <f t="shared" si="742"/>
        <v>1061</v>
      </c>
      <c r="CI126" s="71">
        <f t="shared" si="743"/>
        <v>1065</v>
      </c>
      <c r="CJ126" s="72">
        <f t="shared" si="744"/>
        <v>1096</v>
      </c>
      <c r="CK126" s="72">
        <f t="shared" si="745"/>
        <v>1101</v>
      </c>
      <c r="CL126" s="72">
        <f t="shared" si="746"/>
        <v>1137</v>
      </c>
      <c r="CM126" s="72">
        <f t="shared" si="747"/>
        <v>1145</v>
      </c>
      <c r="CN126" s="72">
        <f t="shared" si="748"/>
        <v>1172</v>
      </c>
      <c r="CO126" s="72">
        <f t="shared" si="749"/>
        <v>1193</v>
      </c>
      <c r="CP126" s="72">
        <f t="shared" si="750"/>
        <v>1225</v>
      </c>
      <c r="CQ126" s="72">
        <f t="shared" si="751"/>
        <v>1299</v>
      </c>
      <c r="CR126" s="72">
        <f t="shared" si="752"/>
        <v>1328</v>
      </c>
      <c r="CS126" s="72">
        <f t="shared" si="753"/>
        <v>1341</v>
      </c>
      <c r="CT126" s="23">
        <f t="shared" si="754"/>
        <v>1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x14ac:dyDescent="0.2">
      <c r="A127" s="3" t="str">
        <f t="shared" si="951"/>
        <v>adrb2_human_4LDL</v>
      </c>
      <c r="B127" s="3" t="s">
        <v>126</v>
      </c>
      <c r="C127" s="3" t="s">
        <v>1044</v>
      </c>
      <c r="D127" s="3" t="str">
        <f>IFERROR(MID(VLOOKUP($B127,Seqs!$A:$B,2,0),E127,1),"")</f>
        <v/>
      </c>
      <c r="E127" s="3">
        <v>1029</v>
      </c>
      <c r="F127" s="3" t="str">
        <f>IFERROR(MID(VLOOKUP($B127,Seqs!$A:$B,2,0),G127,1),"")</f>
        <v/>
      </c>
      <c r="G127" s="3">
        <v>1061</v>
      </c>
      <c r="H127" s="3" t="str">
        <f>IFERROR(MID(VLOOKUP($B127,Seqs!$A:$B,2,0),I127,1),"")</f>
        <v/>
      </c>
      <c r="I127" s="23">
        <v>1062</v>
      </c>
      <c r="J127" s="3" t="str">
        <f>IFERROR(MID(VLOOKUP($B127,Seqs!$A:$B,2,0),K127,1),"")</f>
        <v/>
      </c>
      <c r="K127" s="23">
        <v>1065</v>
      </c>
      <c r="L127" s="3" t="str">
        <f>IFERROR(MID(VLOOKUP($B127,Seqs!$A:$B,2,0),M127,1),"")</f>
        <v/>
      </c>
      <c r="M127" s="3">
        <v>1066</v>
      </c>
      <c r="N127" s="3" t="str">
        <f>IFERROR(MID(VLOOKUP($B127,Seqs!$A:$B,2,0),O127,1),"")</f>
        <v/>
      </c>
      <c r="O127" s="3">
        <v>1096</v>
      </c>
      <c r="P127" s="3" t="str">
        <f>IFERROR(MID(VLOOKUP($B127,Seqs!$A:$B,2,0),Q127,1),"")</f>
        <v/>
      </c>
      <c r="Q127" s="3">
        <v>1098</v>
      </c>
      <c r="R127" s="3" t="str">
        <f>IFERROR(MID(VLOOKUP($B127,Seqs!$A:$B,2,0),S127,1),"")</f>
        <v/>
      </c>
      <c r="S127" s="3">
        <v>1101</v>
      </c>
      <c r="T127" s="3" t="str">
        <f>IFERROR(MID(VLOOKUP($B127,Seqs!$A:$B,2,0),U127,1),"")</f>
        <v/>
      </c>
      <c r="U127" s="3">
        <v>1102</v>
      </c>
      <c r="V127" s="3" t="str">
        <f>IFERROR(MID(VLOOKUP($B127,Seqs!$A:$B,2,0),W127,1),"")</f>
        <v/>
      </c>
      <c r="W127" s="3">
        <v>1137</v>
      </c>
      <c r="X127" s="3" t="str">
        <f>IFERROR(MID(VLOOKUP($B127,Seqs!$A:$B,2,0),Y127,1),"")</f>
        <v/>
      </c>
      <c r="Y127" s="3">
        <v>1138</v>
      </c>
      <c r="Z127" s="3" t="str">
        <f>IFERROR(MID(VLOOKUP($B127,Seqs!$A:$B,2,0),AA127,1),"")</f>
        <v/>
      </c>
      <c r="AA127" s="3">
        <v>1145</v>
      </c>
      <c r="AB127" s="3" t="str">
        <f>IFERROR(MID(VLOOKUP($B127,Seqs!$A:$B,2,0),AC127,1),"")</f>
        <v/>
      </c>
      <c r="AC127" s="9">
        <v>1146</v>
      </c>
      <c r="AD127" s="3" t="str">
        <f>IFERROR(MID(VLOOKUP($B127,Seqs!$A:$B,2,0),AE127,1),"")</f>
        <v/>
      </c>
      <c r="AE127" s="3">
        <v>1172</v>
      </c>
      <c r="AF127" s="3" t="str">
        <f>IFERROR(MID(VLOOKUP($B127,Seqs!$A:$B,2,0),AG127,1),"")</f>
        <v/>
      </c>
      <c r="AG127" s="3">
        <v>1191</v>
      </c>
      <c r="AH127" s="3" t="str">
        <f>IFERROR(MID(VLOOKUP($B127,Seqs!$A:$B,2,0),AI127,1),"")</f>
        <v/>
      </c>
      <c r="AI127" s="3">
        <v>1193</v>
      </c>
      <c r="AJ127" s="3" t="str">
        <f>IFERROR(MID(VLOOKUP($B127,Seqs!$A:$B,2,0),AK127,1),"")</f>
        <v/>
      </c>
      <c r="AK127" s="3">
        <v>1196</v>
      </c>
      <c r="AL127" s="3" t="str">
        <f>IFERROR(MID(VLOOKUP($B127,Seqs!$A:$B,2,0),AM127,1),"")</f>
        <v/>
      </c>
      <c r="AM127" s="3">
        <v>1225</v>
      </c>
      <c r="AN127" s="3" t="str">
        <f>IFERROR(MID(VLOOKUP($B127,Seqs!$A:$B,2,0),AO127,1),"")</f>
        <v/>
      </c>
      <c r="AO127" s="3">
        <v>1266</v>
      </c>
      <c r="AP127" s="3" t="str">
        <f>IFERROR(MID(VLOOKUP($B127,Seqs!$A:$B,2,0),AQ127,1),"")</f>
        <v/>
      </c>
      <c r="AQ127" s="3">
        <v>1299</v>
      </c>
      <c r="AR127" s="3" t="str">
        <f>IFERROR(MID(VLOOKUP($B127,Seqs!$A:$B,2,0),AS127,1),"")</f>
        <v/>
      </c>
      <c r="AS127" s="3">
        <v>1304</v>
      </c>
      <c r="AT127" s="3" t="str">
        <f>IFERROR(MID(VLOOKUP($B127,Seqs!$A:$B,2,0),AU127,1),"")</f>
        <v/>
      </c>
      <c r="AU127" s="3">
        <v>1328</v>
      </c>
      <c r="AV127" s="3" t="str">
        <f>IFERROR(MID(VLOOKUP($B127,Seqs!$A:$B,2,0),AW127,1),"")</f>
        <v/>
      </c>
      <c r="AW127" s="3">
        <v>1329</v>
      </c>
      <c r="AX127" s="3" t="str">
        <f>IFERROR(MID(VLOOKUP($B127,Seqs!$A:$B,2,0),AY127,1),"")</f>
        <v/>
      </c>
      <c r="AY127" s="3">
        <v>1341</v>
      </c>
      <c r="AZ127" s="77" t="str">
        <f>VLOOKUP(B127,Classification!A:D,2,0)</f>
        <v>A</v>
      </c>
      <c r="BA127" s="94" t="str">
        <f>VLOOKUP(B127,Classification!A:D,4,0)</f>
        <v>Adrenoceptors</v>
      </c>
      <c r="BB127" s="27" t="b">
        <f t="shared" si="952"/>
        <v>1</v>
      </c>
      <c r="BC127" s="23">
        <f t="shared" si="729"/>
        <v>248</v>
      </c>
      <c r="BD127" s="4" t="s">
        <v>23</v>
      </c>
      <c r="BE127" s="3" t="s">
        <v>1291</v>
      </c>
      <c r="BF127" s="118">
        <v>3.1</v>
      </c>
      <c r="BG127" s="49" t="s">
        <v>1377</v>
      </c>
      <c r="BH127" s="49" t="s">
        <v>1377</v>
      </c>
      <c r="BI127" s="1"/>
      <c r="BJ127" s="70" t="s">
        <v>1287</v>
      </c>
      <c r="BK127" s="57" t="s">
        <v>1287</v>
      </c>
      <c r="BL127" s="57" t="s">
        <v>1287</v>
      </c>
      <c r="BM127" s="57" t="s">
        <v>1287</v>
      </c>
      <c r="BN127" s="57" t="s">
        <v>1287</v>
      </c>
      <c r="BO127" s="57" t="s">
        <v>1287</v>
      </c>
      <c r="BP127" s="57" t="s">
        <v>1287</v>
      </c>
      <c r="BQ127" s="57" t="s">
        <v>1287</v>
      </c>
      <c r="BR127" s="57" t="s">
        <v>1287</v>
      </c>
      <c r="BS127" s="57" t="s">
        <v>1287</v>
      </c>
      <c r="BT127" s="57" t="s">
        <v>1287</v>
      </c>
      <c r="BU127" s="57" t="s">
        <v>1287</v>
      </c>
      <c r="BV127" s="70">
        <f t="shared" si="730"/>
        <v>1029</v>
      </c>
      <c r="BW127" s="71">
        <f t="shared" si="731"/>
        <v>1062</v>
      </c>
      <c r="BX127" s="72">
        <f t="shared" si="732"/>
        <v>1066</v>
      </c>
      <c r="BY127" s="71">
        <f t="shared" si="733"/>
        <v>1098</v>
      </c>
      <c r="BZ127" s="72">
        <f t="shared" si="734"/>
        <v>1102</v>
      </c>
      <c r="CA127" s="71">
        <f t="shared" si="735"/>
        <v>1138</v>
      </c>
      <c r="CB127" s="72">
        <f t="shared" si="736"/>
        <v>1146</v>
      </c>
      <c r="CC127" s="71">
        <f t="shared" si="737"/>
        <v>1191</v>
      </c>
      <c r="CD127" s="72">
        <f t="shared" si="738"/>
        <v>1196</v>
      </c>
      <c r="CE127" s="71">
        <f t="shared" si="739"/>
        <v>1266</v>
      </c>
      <c r="CF127" s="72">
        <f t="shared" si="740"/>
        <v>1304</v>
      </c>
      <c r="CG127" s="71">
        <f t="shared" si="741"/>
        <v>1329</v>
      </c>
      <c r="CH127" s="70">
        <f t="shared" si="742"/>
        <v>1061</v>
      </c>
      <c r="CI127" s="71">
        <f t="shared" si="743"/>
        <v>1065</v>
      </c>
      <c r="CJ127" s="72">
        <f t="shared" si="744"/>
        <v>1096</v>
      </c>
      <c r="CK127" s="72">
        <f t="shared" si="745"/>
        <v>1101</v>
      </c>
      <c r="CL127" s="72">
        <f t="shared" si="746"/>
        <v>1137</v>
      </c>
      <c r="CM127" s="72">
        <f t="shared" si="747"/>
        <v>1145</v>
      </c>
      <c r="CN127" s="72">
        <f t="shared" si="748"/>
        <v>1172</v>
      </c>
      <c r="CO127" s="72">
        <f t="shared" si="749"/>
        <v>1193</v>
      </c>
      <c r="CP127" s="72">
        <f t="shared" si="750"/>
        <v>1225</v>
      </c>
      <c r="CQ127" s="72">
        <f t="shared" si="751"/>
        <v>1299</v>
      </c>
      <c r="CR127" s="72">
        <f t="shared" si="752"/>
        <v>1328</v>
      </c>
      <c r="CS127" s="72">
        <f t="shared" si="753"/>
        <v>1341</v>
      </c>
      <c r="CT127" s="23">
        <f t="shared" si="754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ht="17" customHeight="1" x14ac:dyDescent="0.2">
      <c r="A128" s="3" t="str">
        <f t="shared" si="951"/>
        <v>adrb2_human_4LDO</v>
      </c>
      <c r="B128" s="3" t="s">
        <v>126</v>
      </c>
      <c r="C128" s="3" t="s">
        <v>1045</v>
      </c>
      <c r="D128" s="3" t="str">
        <f>IFERROR(MID(VLOOKUP($B128,Seqs!$A:$B,2,0),E128,1),"")</f>
        <v/>
      </c>
      <c r="E128" s="3">
        <v>1029</v>
      </c>
      <c r="F128" s="3" t="str">
        <f>IFERROR(MID(VLOOKUP($B128,Seqs!$A:$B,2,0),G128,1),"")</f>
        <v/>
      </c>
      <c r="G128" s="3">
        <v>1061</v>
      </c>
      <c r="H128" s="3" t="str">
        <f>IFERROR(MID(VLOOKUP($B128,Seqs!$A:$B,2,0),I128,1),"")</f>
        <v/>
      </c>
      <c r="I128" s="23">
        <v>1062</v>
      </c>
      <c r="J128" s="3" t="str">
        <f>IFERROR(MID(VLOOKUP($B128,Seqs!$A:$B,2,0),K128,1),"")</f>
        <v/>
      </c>
      <c r="K128" s="23">
        <v>1065</v>
      </c>
      <c r="L128" s="3" t="str">
        <f>IFERROR(MID(VLOOKUP($B128,Seqs!$A:$B,2,0),M128,1),"")</f>
        <v/>
      </c>
      <c r="M128" s="3">
        <v>1066</v>
      </c>
      <c r="N128" s="3" t="str">
        <f>IFERROR(MID(VLOOKUP($B128,Seqs!$A:$B,2,0),O128,1),"")</f>
        <v/>
      </c>
      <c r="O128" s="3">
        <v>1096</v>
      </c>
      <c r="P128" s="3" t="str">
        <f>IFERROR(MID(VLOOKUP($B128,Seqs!$A:$B,2,0),Q128,1),"")</f>
        <v/>
      </c>
      <c r="Q128" s="3">
        <v>1098</v>
      </c>
      <c r="R128" s="3" t="str">
        <f>IFERROR(MID(VLOOKUP($B128,Seqs!$A:$B,2,0),S128,1),"")</f>
        <v/>
      </c>
      <c r="S128" s="3">
        <v>1101</v>
      </c>
      <c r="T128" s="3" t="str">
        <f>IFERROR(MID(VLOOKUP($B128,Seqs!$A:$B,2,0),U128,1),"")</f>
        <v/>
      </c>
      <c r="U128" s="3">
        <v>1102</v>
      </c>
      <c r="V128" s="3" t="str">
        <f>IFERROR(MID(VLOOKUP($B128,Seqs!$A:$B,2,0),W128,1),"")</f>
        <v/>
      </c>
      <c r="W128" s="3">
        <v>1137</v>
      </c>
      <c r="X128" s="3" t="str">
        <f>IFERROR(MID(VLOOKUP($B128,Seqs!$A:$B,2,0),Y128,1),"")</f>
        <v/>
      </c>
      <c r="Y128" s="3">
        <v>1138</v>
      </c>
      <c r="Z128" s="3" t="str">
        <f>IFERROR(MID(VLOOKUP($B128,Seqs!$A:$B,2,0),AA128,1),"")</f>
        <v/>
      </c>
      <c r="AA128" s="3">
        <v>1145</v>
      </c>
      <c r="AB128" s="3" t="str">
        <f>IFERROR(MID(VLOOKUP($B128,Seqs!$A:$B,2,0),AC128,1),"")</f>
        <v/>
      </c>
      <c r="AC128" s="9">
        <v>1146</v>
      </c>
      <c r="AD128" s="3" t="str">
        <f>IFERROR(MID(VLOOKUP($B128,Seqs!$A:$B,2,0),AE128,1),"")</f>
        <v/>
      </c>
      <c r="AE128" s="3">
        <v>1172</v>
      </c>
      <c r="AF128" s="3" t="str">
        <f>IFERROR(MID(VLOOKUP($B128,Seqs!$A:$B,2,0),AG128,1),"")</f>
        <v/>
      </c>
      <c r="AG128" s="3">
        <v>1191</v>
      </c>
      <c r="AH128" s="3" t="str">
        <f>IFERROR(MID(VLOOKUP($B128,Seqs!$A:$B,2,0),AI128,1),"")</f>
        <v/>
      </c>
      <c r="AI128" s="3">
        <v>1193</v>
      </c>
      <c r="AJ128" s="3" t="str">
        <f>IFERROR(MID(VLOOKUP($B128,Seqs!$A:$B,2,0),AK128,1),"")</f>
        <v/>
      </c>
      <c r="AK128" s="3">
        <v>1196</v>
      </c>
      <c r="AL128" s="3" t="str">
        <f>IFERROR(MID(VLOOKUP($B128,Seqs!$A:$B,2,0),AM128,1),"")</f>
        <v/>
      </c>
      <c r="AM128" s="3">
        <v>1225</v>
      </c>
      <c r="AN128" s="3" t="str">
        <f>IFERROR(MID(VLOOKUP($B128,Seqs!$A:$B,2,0),AO128,1),"")</f>
        <v/>
      </c>
      <c r="AO128" s="3">
        <v>1266</v>
      </c>
      <c r="AP128" s="3" t="str">
        <f>IFERROR(MID(VLOOKUP($B128,Seqs!$A:$B,2,0),AQ128,1),"")</f>
        <v/>
      </c>
      <c r="AQ128" s="3">
        <v>1299</v>
      </c>
      <c r="AR128" s="3" t="str">
        <f>IFERROR(MID(VLOOKUP($B128,Seqs!$A:$B,2,0),AS128,1),"")</f>
        <v/>
      </c>
      <c r="AS128" s="3">
        <v>1304</v>
      </c>
      <c r="AT128" s="3" t="str">
        <f>IFERROR(MID(VLOOKUP($B128,Seqs!$A:$B,2,0),AU128,1),"")</f>
        <v/>
      </c>
      <c r="AU128" s="3">
        <v>1328</v>
      </c>
      <c r="AV128" s="3" t="str">
        <f>IFERROR(MID(VLOOKUP($B128,Seqs!$A:$B,2,0),AW128,1),"")</f>
        <v/>
      </c>
      <c r="AW128" s="3">
        <v>1329</v>
      </c>
      <c r="AX128" s="3" t="str">
        <f>IFERROR(MID(VLOOKUP($B128,Seqs!$A:$B,2,0),AY128,1),"")</f>
        <v/>
      </c>
      <c r="AY128" s="3">
        <v>1341</v>
      </c>
      <c r="AZ128" s="77" t="str">
        <f>VLOOKUP(B128,Classification!A:D,2,0)</f>
        <v>A</v>
      </c>
      <c r="BA128" s="94" t="str">
        <f>VLOOKUP(B128,Classification!A:D,4,0)</f>
        <v>Adrenoceptors</v>
      </c>
      <c r="BB128" s="27" t="b">
        <f t="shared" si="952"/>
        <v>1</v>
      </c>
      <c r="BC128" s="23">
        <f t="shared" si="729"/>
        <v>248</v>
      </c>
      <c r="BD128" s="4" t="s">
        <v>23</v>
      </c>
      <c r="BE128" s="3" t="s">
        <v>1291</v>
      </c>
      <c r="BF128" s="118">
        <v>3.2</v>
      </c>
      <c r="BG128" s="49" t="s">
        <v>1377</v>
      </c>
      <c r="BH128" s="49" t="s">
        <v>1377</v>
      </c>
      <c r="BI128" s="1"/>
      <c r="BJ128" s="70" t="s">
        <v>1287</v>
      </c>
      <c r="BK128" s="57" t="s">
        <v>1287</v>
      </c>
      <c r="BL128" s="57" t="s">
        <v>1287</v>
      </c>
      <c r="BM128" s="57" t="s">
        <v>1287</v>
      </c>
      <c r="BN128" s="57" t="s">
        <v>1287</v>
      </c>
      <c r="BO128" s="57" t="s">
        <v>1287</v>
      </c>
      <c r="BP128" s="57" t="s">
        <v>1287</v>
      </c>
      <c r="BQ128" s="57" t="s">
        <v>1287</v>
      </c>
      <c r="BR128" s="57" t="s">
        <v>1287</v>
      </c>
      <c r="BS128" s="57" t="s">
        <v>1287</v>
      </c>
      <c r="BT128" s="57" t="s">
        <v>1287</v>
      </c>
      <c r="BU128" s="57" t="s">
        <v>1287</v>
      </c>
      <c r="BV128" s="70">
        <f t="shared" si="730"/>
        <v>1029</v>
      </c>
      <c r="BW128" s="71">
        <f t="shared" si="731"/>
        <v>1062</v>
      </c>
      <c r="BX128" s="72">
        <f t="shared" si="732"/>
        <v>1066</v>
      </c>
      <c r="BY128" s="71">
        <f t="shared" si="733"/>
        <v>1098</v>
      </c>
      <c r="BZ128" s="72">
        <f t="shared" si="734"/>
        <v>1102</v>
      </c>
      <c r="CA128" s="71">
        <f t="shared" si="735"/>
        <v>1138</v>
      </c>
      <c r="CB128" s="72">
        <f t="shared" si="736"/>
        <v>1146</v>
      </c>
      <c r="CC128" s="71">
        <f t="shared" si="737"/>
        <v>1191</v>
      </c>
      <c r="CD128" s="72">
        <f t="shared" si="738"/>
        <v>1196</v>
      </c>
      <c r="CE128" s="71">
        <f t="shared" si="739"/>
        <v>1266</v>
      </c>
      <c r="CF128" s="72">
        <f t="shared" si="740"/>
        <v>1304</v>
      </c>
      <c r="CG128" s="71">
        <f t="shared" si="741"/>
        <v>1329</v>
      </c>
      <c r="CH128" s="70">
        <f t="shared" si="742"/>
        <v>1061</v>
      </c>
      <c r="CI128" s="71">
        <f t="shared" si="743"/>
        <v>1065</v>
      </c>
      <c r="CJ128" s="72">
        <f t="shared" si="744"/>
        <v>1096</v>
      </c>
      <c r="CK128" s="72">
        <f t="shared" si="745"/>
        <v>1101</v>
      </c>
      <c r="CL128" s="72">
        <f t="shared" si="746"/>
        <v>1137</v>
      </c>
      <c r="CM128" s="72">
        <f t="shared" si="747"/>
        <v>1145</v>
      </c>
      <c r="CN128" s="72">
        <f t="shared" si="748"/>
        <v>1172</v>
      </c>
      <c r="CO128" s="72">
        <f t="shared" si="749"/>
        <v>1193</v>
      </c>
      <c r="CP128" s="72">
        <f t="shared" si="750"/>
        <v>1225</v>
      </c>
      <c r="CQ128" s="72">
        <f t="shared" si="751"/>
        <v>1299</v>
      </c>
      <c r="CR128" s="72">
        <f t="shared" si="752"/>
        <v>1328</v>
      </c>
      <c r="CS128" s="72">
        <f t="shared" si="753"/>
        <v>1341</v>
      </c>
      <c r="CT128" s="23">
        <f t="shared" si="754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x14ac:dyDescent="0.2">
      <c r="A129" s="3" t="str">
        <f t="shared" si="951"/>
        <v>adrb2_human_4QKX</v>
      </c>
      <c r="B129" s="3" t="s">
        <v>126</v>
      </c>
      <c r="C129" s="3" t="s">
        <v>78</v>
      </c>
      <c r="D129" s="3" t="str">
        <f>IFERROR(MID(VLOOKUP($B129,Seqs!$A:$B,2,0),E129,1),"")</f>
        <v/>
      </c>
      <c r="E129" s="3">
        <v>1029</v>
      </c>
      <c r="F129" s="3" t="str">
        <f>IFERROR(MID(VLOOKUP($B129,Seqs!$A:$B,2,0),G129,1),"")</f>
        <v/>
      </c>
      <c r="G129" s="3">
        <v>1061</v>
      </c>
      <c r="H129" s="3" t="str">
        <f>IFERROR(MID(VLOOKUP($B129,Seqs!$A:$B,2,0),I129,1),"")</f>
        <v/>
      </c>
      <c r="I129" s="23">
        <v>1062</v>
      </c>
      <c r="J129" s="3" t="str">
        <f>IFERROR(MID(VLOOKUP($B129,Seqs!$A:$B,2,0),K129,1),"")</f>
        <v/>
      </c>
      <c r="K129" s="23">
        <v>1065</v>
      </c>
      <c r="L129" s="3" t="str">
        <f>IFERROR(MID(VLOOKUP($B129,Seqs!$A:$B,2,0),M129,1),"")</f>
        <v/>
      </c>
      <c r="M129" s="3">
        <v>1066</v>
      </c>
      <c r="N129" s="3" t="str">
        <f>IFERROR(MID(VLOOKUP($B129,Seqs!$A:$B,2,0),O129,1),"")</f>
        <v/>
      </c>
      <c r="O129" s="3">
        <v>1096</v>
      </c>
      <c r="P129" s="3" t="str">
        <f>IFERROR(MID(VLOOKUP($B129,Seqs!$A:$B,2,0),Q129,1),"")</f>
        <v/>
      </c>
      <c r="Q129" s="3">
        <v>1098</v>
      </c>
      <c r="R129" s="3" t="str">
        <f>IFERROR(MID(VLOOKUP($B129,Seqs!$A:$B,2,0),S129,1),"")</f>
        <v/>
      </c>
      <c r="S129" s="3">
        <v>1101</v>
      </c>
      <c r="T129" s="3" t="str">
        <f>IFERROR(MID(VLOOKUP($B129,Seqs!$A:$B,2,0),U129,1),"")</f>
        <v/>
      </c>
      <c r="U129" s="3">
        <v>1102</v>
      </c>
      <c r="V129" s="3" t="str">
        <f>IFERROR(MID(VLOOKUP($B129,Seqs!$A:$B,2,0),W129,1),"")</f>
        <v/>
      </c>
      <c r="W129" s="3">
        <v>1137</v>
      </c>
      <c r="X129" s="3" t="str">
        <f>IFERROR(MID(VLOOKUP($B129,Seqs!$A:$B,2,0),Y129,1),"")</f>
        <v/>
      </c>
      <c r="Y129" s="3">
        <v>1138</v>
      </c>
      <c r="Z129" s="3" t="str">
        <f>IFERROR(MID(VLOOKUP($B129,Seqs!$A:$B,2,0),AA129,1),"")</f>
        <v/>
      </c>
      <c r="AA129" s="3">
        <v>1145</v>
      </c>
      <c r="AB129" s="3" t="str">
        <f>IFERROR(MID(VLOOKUP($B129,Seqs!$A:$B,2,0),AC129,1),"")</f>
        <v/>
      </c>
      <c r="AC129" s="9">
        <v>1146</v>
      </c>
      <c r="AD129" s="3" t="str">
        <f>IFERROR(MID(VLOOKUP($B129,Seqs!$A:$B,2,0),AE129,1),"")</f>
        <v/>
      </c>
      <c r="AE129" s="3">
        <v>1172</v>
      </c>
      <c r="AF129" s="3" t="str">
        <f>IFERROR(MID(VLOOKUP($B129,Seqs!$A:$B,2,0),AG129,1),"")</f>
        <v/>
      </c>
      <c r="AG129" s="3">
        <v>1191</v>
      </c>
      <c r="AH129" s="3" t="str">
        <f>IFERROR(MID(VLOOKUP($B129,Seqs!$A:$B,2,0),AI129,1),"")</f>
        <v/>
      </c>
      <c r="AI129" s="3">
        <v>1193</v>
      </c>
      <c r="AJ129" s="3" t="str">
        <f>IFERROR(MID(VLOOKUP($B129,Seqs!$A:$B,2,0),AK129,1),"")</f>
        <v/>
      </c>
      <c r="AK129" s="3">
        <v>1196</v>
      </c>
      <c r="AL129" s="3" t="str">
        <f>IFERROR(MID(VLOOKUP($B129,Seqs!$A:$B,2,0),AM129,1),"")</f>
        <v/>
      </c>
      <c r="AM129" s="3">
        <v>1225</v>
      </c>
      <c r="AN129" s="3" t="str">
        <f>IFERROR(MID(VLOOKUP($B129,Seqs!$A:$B,2,0),AO129,1),"")</f>
        <v/>
      </c>
      <c r="AO129" s="3">
        <v>1266</v>
      </c>
      <c r="AP129" s="3" t="str">
        <f>IFERROR(MID(VLOOKUP($B129,Seqs!$A:$B,2,0),AQ129,1),"")</f>
        <v/>
      </c>
      <c r="AQ129" s="3">
        <v>1299</v>
      </c>
      <c r="AR129" s="3" t="str">
        <f>IFERROR(MID(VLOOKUP($B129,Seqs!$A:$B,2,0),AS129,1),"")</f>
        <v/>
      </c>
      <c r="AS129" s="3">
        <v>1304</v>
      </c>
      <c r="AT129" s="3" t="str">
        <f>IFERROR(MID(VLOOKUP($B129,Seqs!$A:$B,2,0),AU129,1),"")</f>
        <v/>
      </c>
      <c r="AU129" s="3">
        <v>1328</v>
      </c>
      <c r="AV129" s="3" t="str">
        <f>IFERROR(MID(VLOOKUP($B129,Seqs!$A:$B,2,0),AW129,1),"")</f>
        <v/>
      </c>
      <c r="AW129" s="3">
        <v>1329</v>
      </c>
      <c r="AX129" s="3" t="str">
        <f>IFERROR(MID(VLOOKUP($B129,Seqs!$A:$B,2,0),AY129,1),"")</f>
        <v/>
      </c>
      <c r="AY129" s="3">
        <v>1341</v>
      </c>
      <c r="AZ129" s="77" t="str">
        <f>VLOOKUP(B129,Classification!A:D,2,0)</f>
        <v>A</v>
      </c>
      <c r="BA129" s="94" t="str">
        <f>VLOOKUP(B129,Classification!A:D,4,0)</f>
        <v>Adrenoceptors</v>
      </c>
      <c r="BB129" s="27" t="b">
        <f t="shared" si="952"/>
        <v>1</v>
      </c>
      <c r="BC129" s="23">
        <f t="shared" si="729"/>
        <v>248</v>
      </c>
      <c r="BD129" s="4" t="s">
        <v>23</v>
      </c>
      <c r="BE129" s="3" t="s">
        <v>1291</v>
      </c>
      <c r="BF129" s="118">
        <v>3.3</v>
      </c>
      <c r="BG129" s="49" t="s">
        <v>1377</v>
      </c>
      <c r="BH129" s="49" t="s">
        <v>1377</v>
      </c>
      <c r="BI129" s="1"/>
      <c r="BJ129" s="70" t="s">
        <v>1287</v>
      </c>
      <c r="BK129" s="57" t="s">
        <v>1287</v>
      </c>
      <c r="BL129" s="57" t="s">
        <v>1287</v>
      </c>
      <c r="BM129" s="57" t="s">
        <v>1287</v>
      </c>
      <c r="BN129" s="57" t="s">
        <v>1287</v>
      </c>
      <c r="BO129" s="57" t="s">
        <v>1287</v>
      </c>
      <c r="BP129" s="57" t="s">
        <v>1287</v>
      </c>
      <c r="BQ129" s="57" t="s">
        <v>1287</v>
      </c>
      <c r="BR129" s="57" t="s">
        <v>1287</v>
      </c>
      <c r="BS129" s="57" t="s">
        <v>1287</v>
      </c>
      <c r="BT129" s="57" t="s">
        <v>1287</v>
      </c>
      <c r="BU129" s="57" t="s">
        <v>1287</v>
      </c>
      <c r="BV129" s="70">
        <f t="shared" si="730"/>
        <v>1029</v>
      </c>
      <c r="BW129" s="71">
        <f t="shared" si="731"/>
        <v>1062</v>
      </c>
      <c r="BX129" s="72">
        <f t="shared" si="732"/>
        <v>1066</v>
      </c>
      <c r="BY129" s="71">
        <f t="shared" si="733"/>
        <v>1098</v>
      </c>
      <c r="BZ129" s="72">
        <f t="shared" si="734"/>
        <v>1102</v>
      </c>
      <c r="CA129" s="71">
        <f t="shared" si="735"/>
        <v>1138</v>
      </c>
      <c r="CB129" s="72">
        <f t="shared" si="736"/>
        <v>1146</v>
      </c>
      <c r="CC129" s="71">
        <f t="shared" si="737"/>
        <v>1191</v>
      </c>
      <c r="CD129" s="72">
        <f t="shared" si="738"/>
        <v>1196</v>
      </c>
      <c r="CE129" s="71">
        <f t="shared" si="739"/>
        <v>1266</v>
      </c>
      <c r="CF129" s="72">
        <f t="shared" si="740"/>
        <v>1304</v>
      </c>
      <c r="CG129" s="71">
        <f t="shared" si="741"/>
        <v>1329</v>
      </c>
      <c r="CH129" s="70">
        <f t="shared" si="742"/>
        <v>1061</v>
      </c>
      <c r="CI129" s="71">
        <f t="shared" si="743"/>
        <v>1065</v>
      </c>
      <c r="CJ129" s="72">
        <f t="shared" si="744"/>
        <v>1096</v>
      </c>
      <c r="CK129" s="72">
        <f t="shared" si="745"/>
        <v>1101</v>
      </c>
      <c r="CL129" s="72">
        <f t="shared" si="746"/>
        <v>1137</v>
      </c>
      <c r="CM129" s="72">
        <f t="shared" si="747"/>
        <v>1145</v>
      </c>
      <c r="CN129" s="72">
        <f t="shared" si="748"/>
        <v>1172</v>
      </c>
      <c r="CO129" s="72">
        <f t="shared" si="749"/>
        <v>1193</v>
      </c>
      <c r="CP129" s="72">
        <f t="shared" si="750"/>
        <v>1225</v>
      </c>
      <c r="CQ129" s="72">
        <f t="shared" si="751"/>
        <v>1299</v>
      </c>
      <c r="CR129" s="72">
        <f t="shared" si="752"/>
        <v>1328</v>
      </c>
      <c r="CS129" s="72">
        <f t="shared" si="753"/>
        <v>1341</v>
      </c>
      <c r="CT129" s="23">
        <f t="shared" si="754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951"/>
        <v>adrb2_human_5D6L</v>
      </c>
      <c r="B130" s="3" t="s">
        <v>126</v>
      </c>
      <c r="C130" s="3" t="s">
        <v>1343</v>
      </c>
      <c r="D130" s="3" t="str">
        <f>IFERROR(MID(VLOOKUP($B130,Seqs!$A:$B,2,0),E130,1),"")</f>
        <v>D</v>
      </c>
      <c r="E130" s="3">
        <v>29</v>
      </c>
      <c r="F130" s="3" t="str">
        <f>IFERROR(MID(VLOOKUP($B130,Seqs!$A:$B,2,0),G130,1),"")</f>
        <v>F</v>
      </c>
      <c r="G130" s="3">
        <v>61</v>
      </c>
      <c r="H130" s="3" t="str">
        <f>IFERROR(MID(VLOOKUP($B130,Seqs!$A:$B,2,0),I130,1),"")</f>
        <v>E</v>
      </c>
      <c r="I130" s="23">
        <v>62</v>
      </c>
      <c r="J130" s="3" t="str">
        <f>IFERROR(MID(VLOOKUP($B130,Seqs!$A:$B,2,0),K130,1),"")</f>
        <v>Q</v>
      </c>
      <c r="K130" s="23">
        <v>65</v>
      </c>
      <c r="L130" s="3" t="str">
        <f>IFERROR(MID(VLOOKUP($B130,Seqs!$A:$B,2,0),M130,1),"")</f>
        <v>T</v>
      </c>
      <c r="M130" s="3">
        <v>66</v>
      </c>
      <c r="N130" s="3" t="str">
        <f>IFERROR(MID(VLOOKUP($B130,Seqs!$A:$B,2,0),O130,1),"")</f>
        <v>M</v>
      </c>
      <c r="O130" s="3">
        <v>96</v>
      </c>
      <c r="P130" s="3" t="str">
        <f>IFERROR(MID(VLOOKUP($B130,Seqs!$A:$B,2,0),Q130,1),"")</f>
        <v>M</v>
      </c>
      <c r="Q130" s="3">
        <v>98</v>
      </c>
      <c r="R130" s="3" t="str">
        <f>IFERROR(MID(VLOOKUP($B130,Seqs!$A:$B,2,0),S130,1),"")</f>
        <v>F</v>
      </c>
      <c r="S130" s="3">
        <v>101</v>
      </c>
      <c r="T130" s="3" t="str">
        <f>IFERROR(MID(VLOOKUP($B130,Seqs!$A:$B,2,0),U130,1),"")</f>
        <v>G</v>
      </c>
      <c r="U130" s="3">
        <v>102</v>
      </c>
      <c r="V130" s="3" t="str">
        <f>IFERROR(MID(VLOOKUP($B130,Seqs!$A:$B,2,0),W130,1),"")</f>
        <v>S</v>
      </c>
      <c r="W130" s="3">
        <v>137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T</v>
      </c>
      <c r="AC130" s="9">
        <v>146</v>
      </c>
      <c r="AD130" s="3" t="str">
        <f>IFERROR(MID(VLOOKUP($B130,Seqs!$A:$B,2,0),AE130,1),"")</f>
        <v>H</v>
      </c>
      <c r="AE130" s="3">
        <v>172</v>
      </c>
      <c r="AF130" s="3" t="str">
        <f>IFERROR(MID(VLOOKUP($B130,Seqs!$A:$B,2,0),AG130,1),"")</f>
        <v>C</v>
      </c>
      <c r="AG130" s="3">
        <v>191</v>
      </c>
      <c r="AH130" s="3" t="str">
        <f>IFERROR(MID(VLOOKUP($B130,Seqs!$A:$B,2,0),AI130,1),"")</f>
        <v>F</v>
      </c>
      <c r="AI130" s="3">
        <v>193</v>
      </c>
      <c r="AJ130" s="3" t="str">
        <f>IFERROR(MID(VLOOKUP($B130,Seqs!$A:$B,2,0),AK130,1),"")</f>
        <v>N</v>
      </c>
      <c r="AK130" s="3">
        <v>196</v>
      </c>
      <c r="AL130" s="3" t="str">
        <f>IFERROR(MID(VLOOKUP($B130,Seqs!$A:$B,2,0),AM130,1),"")</f>
        <v>Q</v>
      </c>
      <c r="AM130" s="3">
        <v>229</v>
      </c>
      <c r="AN130" s="3" t="str">
        <f>IFERROR(MID(VLOOKUP($B130,Seqs!$A:$B,2,0),AO130,1),"")</f>
        <v>K</v>
      </c>
      <c r="AO130" s="3">
        <v>267</v>
      </c>
      <c r="AP130" s="3" t="str">
        <f>IFERROR(MID(VLOOKUP($B130,Seqs!$A:$B,2,0),AQ130,1),"")</f>
        <v>Q</v>
      </c>
      <c r="AQ130" s="3">
        <v>299</v>
      </c>
      <c r="AR130" s="3" t="str">
        <f>IFERROR(MID(VLOOKUP($B130,Seqs!$A:$B,2,0),AS130,1),"")</f>
        <v>R</v>
      </c>
      <c r="AS130" s="3">
        <v>304</v>
      </c>
      <c r="AT130" s="3" t="str">
        <f>IFERROR(MID(VLOOKUP($B130,Seqs!$A:$B,2,0),AU130,1),"")</f>
        <v>R</v>
      </c>
      <c r="AU130" s="3">
        <v>328</v>
      </c>
      <c r="AV130" s="3" t="str">
        <f>IFERROR(MID(VLOOKUP($B130,Seqs!$A:$B,2,0),AW130,1),"")</f>
        <v>S</v>
      </c>
      <c r="AW130" s="3">
        <v>329</v>
      </c>
      <c r="AX130" s="3" t="str">
        <f>IFERROR(MID(VLOOKUP($B130,Seqs!$A:$B,2,0),AY130,1),"")</f>
        <v>C</v>
      </c>
      <c r="AY130" s="3">
        <v>341</v>
      </c>
      <c r="AZ130" s="77" t="str">
        <f>VLOOKUP(B130,Classification!A:D,2,0)</f>
        <v>A</v>
      </c>
      <c r="BA130" s="94" t="str">
        <f>VLOOKUP(B130,Classification!A:D,4,0)</f>
        <v>Adrenoceptors</v>
      </c>
      <c r="BB130" s="27" t="b">
        <f t="shared" si="952"/>
        <v>1</v>
      </c>
      <c r="BC130" s="23">
        <f t="shared" si="729"/>
        <v>244</v>
      </c>
      <c r="BD130" s="4" t="s">
        <v>23</v>
      </c>
      <c r="BE130" s="3" t="s">
        <v>1374</v>
      </c>
      <c r="BF130" s="118">
        <v>3.2</v>
      </c>
      <c r="BG130" s="49" t="s">
        <v>1</v>
      </c>
      <c r="BH130" s="49" t="s">
        <v>1377</v>
      </c>
      <c r="BI130" s="1"/>
      <c r="BJ130" s="70" t="s">
        <v>1287</v>
      </c>
      <c r="BK130" s="57" t="s">
        <v>1287</v>
      </c>
      <c r="BL130" s="57" t="s">
        <v>1287</v>
      </c>
      <c r="BM130" s="57" t="s">
        <v>1287</v>
      </c>
      <c r="BN130" s="57" t="s">
        <v>1287</v>
      </c>
      <c r="BO130" s="57" t="s">
        <v>1287</v>
      </c>
      <c r="BP130" s="57" t="s">
        <v>1287</v>
      </c>
      <c r="BQ130" s="57" t="s">
        <v>1287</v>
      </c>
      <c r="BR130" s="57" t="s">
        <v>1287</v>
      </c>
      <c r="BS130" s="57" t="s">
        <v>1287</v>
      </c>
      <c r="BT130" s="57" t="s">
        <v>1287</v>
      </c>
      <c r="BU130" s="57" t="s">
        <v>1287</v>
      </c>
      <c r="BV130" s="70">
        <f t="shared" si="730"/>
        <v>29</v>
      </c>
      <c r="BW130" s="71">
        <f t="shared" si="731"/>
        <v>62</v>
      </c>
      <c r="BX130" s="72">
        <f t="shared" si="732"/>
        <v>66</v>
      </c>
      <c r="BY130" s="71">
        <f t="shared" si="733"/>
        <v>98</v>
      </c>
      <c r="BZ130" s="72">
        <f t="shared" si="734"/>
        <v>102</v>
      </c>
      <c r="CA130" s="71" t="str">
        <f t="shared" si="735"/>
        <v>-</v>
      </c>
      <c r="CB130" s="72">
        <f t="shared" si="736"/>
        <v>146</v>
      </c>
      <c r="CC130" s="71">
        <f t="shared" si="737"/>
        <v>191</v>
      </c>
      <c r="CD130" s="72">
        <f t="shared" si="738"/>
        <v>196</v>
      </c>
      <c r="CE130" s="71">
        <f t="shared" si="739"/>
        <v>267</v>
      </c>
      <c r="CF130" s="72">
        <f t="shared" si="740"/>
        <v>304</v>
      </c>
      <c r="CG130" s="71">
        <f t="shared" si="741"/>
        <v>329</v>
      </c>
      <c r="CH130" s="70">
        <f t="shared" si="742"/>
        <v>61</v>
      </c>
      <c r="CI130" s="71">
        <f t="shared" si="743"/>
        <v>65</v>
      </c>
      <c r="CJ130" s="72">
        <f t="shared" si="744"/>
        <v>96</v>
      </c>
      <c r="CK130" s="72">
        <f t="shared" si="745"/>
        <v>101</v>
      </c>
      <c r="CL130" s="72">
        <f t="shared" si="746"/>
        <v>137</v>
      </c>
      <c r="CM130" s="72" t="str">
        <f t="shared" si="747"/>
        <v>-</v>
      </c>
      <c r="CN130" s="72">
        <f t="shared" si="748"/>
        <v>172</v>
      </c>
      <c r="CO130" s="72">
        <f t="shared" si="749"/>
        <v>193</v>
      </c>
      <c r="CP130" s="72">
        <f t="shared" si="750"/>
        <v>229</v>
      </c>
      <c r="CQ130" s="72">
        <f t="shared" si="751"/>
        <v>299</v>
      </c>
      <c r="CR130" s="72">
        <f t="shared" si="752"/>
        <v>328</v>
      </c>
      <c r="CS130" s="72">
        <f t="shared" si="753"/>
        <v>341</v>
      </c>
      <c r="CT130" s="23">
        <f t="shared" si="754"/>
        <v>1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29" x14ac:dyDescent="0.2">
      <c r="A131" s="3" t="str">
        <f t="shared" si="951"/>
        <v>adrb2_human_5JQH</v>
      </c>
      <c r="B131" s="3" t="s">
        <v>126</v>
      </c>
      <c r="C131" s="3" t="s">
        <v>1344</v>
      </c>
      <c r="D131" s="3" t="str">
        <f>IFERROR(MID(VLOOKUP($B131,Seqs!$A:$B,2,0),E131,1),"")</f>
        <v/>
      </c>
      <c r="E131" s="3">
        <v>1023</v>
      </c>
      <c r="F131" s="3" t="str">
        <f>IFERROR(MID(VLOOKUP($B131,Seqs!$A:$B,2,0),G131,1),"")</f>
        <v/>
      </c>
      <c r="G131" s="3">
        <v>1061</v>
      </c>
      <c r="H131" s="3" t="str">
        <f>IFERROR(MID(VLOOKUP($B131,Seqs!$A:$B,2,0),I131,1),"")</f>
        <v/>
      </c>
      <c r="I131" s="23">
        <v>1062</v>
      </c>
      <c r="J131" s="3" t="str">
        <f>IFERROR(MID(VLOOKUP($B131,Seqs!$A:$B,2,0),K131,1),"")</f>
        <v/>
      </c>
      <c r="K131" s="23">
        <v>1065</v>
      </c>
      <c r="L131" s="3" t="str">
        <f>IFERROR(MID(VLOOKUP($B131,Seqs!$A:$B,2,0),M131,1),"")</f>
        <v/>
      </c>
      <c r="M131" s="3">
        <v>1066</v>
      </c>
      <c r="N131" s="3" t="str">
        <f>IFERROR(MID(VLOOKUP($B131,Seqs!$A:$B,2,0),O131,1),"")</f>
        <v/>
      </c>
      <c r="O131" s="3">
        <v>1096</v>
      </c>
      <c r="P131" s="3" t="str">
        <f>IFERROR(MID(VLOOKUP($B131,Seqs!$A:$B,2,0),Q131,1),"")</f>
        <v/>
      </c>
      <c r="Q131" s="3">
        <v>1098</v>
      </c>
      <c r="R131" s="3" t="str">
        <f>IFERROR(MID(VLOOKUP($B131,Seqs!$A:$B,2,0),S131,1),"")</f>
        <v/>
      </c>
      <c r="S131" s="3">
        <v>1101</v>
      </c>
      <c r="T131" s="3" t="str">
        <f>IFERROR(MID(VLOOKUP($B131,Seqs!$A:$B,2,0),U131,1),"")</f>
        <v/>
      </c>
      <c r="U131" s="3">
        <v>1102</v>
      </c>
      <c r="V131" s="3" t="str">
        <f>IFERROR(MID(VLOOKUP($B131,Seqs!$A:$B,2,0),W131,1),"")</f>
        <v/>
      </c>
      <c r="W131" s="3">
        <v>1137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/>
      </c>
      <c r="AC131" s="9">
        <v>1146</v>
      </c>
      <c r="AD131" s="3" t="str">
        <f>IFERROR(MID(VLOOKUP($B131,Seqs!$A:$B,2,0),AE131,1),"")</f>
        <v/>
      </c>
      <c r="AE131" s="3">
        <v>1172</v>
      </c>
      <c r="AF131" s="3" t="str">
        <f>IFERROR(MID(VLOOKUP($B131,Seqs!$A:$B,2,0),AG131,1),"")</f>
        <v/>
      </c>
      <c r="AG131" s="3">
        <v>1191</v>
      </c>
      <c r="AH131" s="3" t="str">
        <f>IFERROR(MID(VLOOKUP($B131,Seqs!$A:$B,2,0),AI131,1),"")</f>
        <v/>
      </c>
      <c r="AI131" s="3">
        <v>1193</v>
      </c>
      <c r="AJ131" s="3" t="str">
        <f>IFERROR(MID(VLOOKUP($B131,Seqs!$A:$B,2,0),AK131,1),"")</f>
        <v/>
      </c>
      <c r="AK131" s="3">
        <v>1196</v>
      </c>
      <c r="AL131" s="3" t="str">
        <f>IFERROR(MID(VLOOKUP($B131,Seqs!$A:$B,2,0),AM131,1),"")</f>
        <v/>
      </c>
      <c r="AM131" s="3">
        <v>1230</v>
      </c>
      <c r="AN131" s="3" t="str">
        <f>IFERROR(MID(VLOOKUP($B131,Seqs!$A:$B,2,0),AO131,1),"")</f>
        <v/>
      </c>
      <c r="AO131" s="3">
        <v>1271</v>
      </c>
      <c r="AP131" s="3" t="str">
        <f>IFERROR(MID(VLOOKUP($B131,Seqs!$A:$B,2,0),AQ131,1),"")</f>
        <v/>
      </c>
      <c r="AQ131" s="3">
        <v>1299</v>
      </c>
      <c r="AR131" s="3" t="str">
        <f>IFERROR(MID(VLOOKUP($B131,Seqs!$A:$B,2,0),AS131,1),"")</f>
        <v/>
      </c>
      <c r="AS131" s="3">
        <v>1304</v>
      </c>
      <c r="AT131" s="3" t="str">
        <f>IFERROR(MID(VLOOKUP($B131,Seqs!$A:$B,2,0),AU131,1),"")</f>
        <v/>
      </c>
      <c r="AU131" s="3">
        <v>1328</v>
      </c>
      <c r="AV131" s="3" t="str">
        <f>IFERROR(MID(VLOOKUP($B131,Seqs!$A:$B,2,0),AW131,1),"")</f>
        <v/>
      </c>
      <c r="AW131" s="3">
        <v>1329</v>
      </c>
      <c r="AX131" s="3" t="str">
        <f>IFERROR(MID(VLOOKUP($B131,Seqs!$A:$B,2,0),AY131,1),"")</f>
        <v/>
      </c>
      <c r="AY131" s="3">
        <v>1341</v>
      </c>
      <c r="AZ131" s="77" t="str">
        <f>VLOOKUP(B131,Classification!A:D,2,0)</f>
        <v>A</v>
      </c>
      <c r="BA131" s="94" t="str">
        <f>VLOOKUP(B131,Classification!A:D,4,0)</f>
        <v>Adrenoceptors</v>
      </c>
      <c r="BB131" s="27" t="b">
        <f t="shared" si="952"/>
        <v>1</v>
      </c>
      <c r="BC131" s="23">
        <f t="shared" si="729"/>
        <v>247</v>
      </c>
      <c r="BD131" s="74" t="s">
        <v>1376</v>
      </c>
      <c r="BE131" s="3" t="s">
        <v>1374</v>
      </c>
      <c r="BF131" s="118">
        <v>3.2</v>
      </c>
      <c r="BG131" s="49" t="s">
        <v>1281</v>
      </c>
      <c r="BH131" s="49" t="s">
        <v>1377</v>
      </c>
      <c r="BI131" s="1"/>
      <c r="BJ131" s="70" t="s">
        <v>1287</v>
      </c>
      <c r="BK131" s="57" t="s">
        <v>1287</v>
      </c>
      <c r="BL131" s="57" t="s">
        <v>1287</v>
      </c>
      <c r="BM131" s="57" t="s">
        <v>1287</v>
      </c>
      <c r="BN131" s="57" t="s">
        <v>1287</v>
      </c>
      <c r="BO131" s="57" t="s">
        <v>1287</v>
      </c>
      <c r="BP131" s="57" t="s">
        <v>1287</v>
      </c>
      <c r="BQ131" s="57" t="s">
        <v>1287</v>
      </c>
      <c r="BR131" s="57" t="s">
        <v>1287</v>
      </c>
      <c r="BS131" s="57" t="s">
        <v>1287</v>
      </c>
      <c r="BT131" s="57" t="s">
        <v>1287</v>
      </c>
      <c r="BU131" s="57" t="s">
        <v>1287</v>
      </c>
      <c r="BV131" s="70">
        <f t="shared" si="730"/>
        <v>1023</v>
      </c>
      <c r="BW131" s="71">
        <f t="shared" si="731"/>
        <v>1062</v>
      </c>
      <c r="BX131" s="72">
        <f t="shared" si="732"/>
        <v>1066</v>
      </c>
      <c r="BY131" s="71">
        <f t="shared" si="733"/>
        <v>1098</v>
      </c>
      <c r="BZ131" s="72">
        <f t="shared" si="734"/>
        <v>1102</v>
      </c>
      <c r="CA131" s="71" t="str">
        <f t="shared" si="735"/>
        <v>-</v>
      </c>
      <c r="CB131" s="72">
        <f t="shared" si="736"/>
        <v>1146</v>
      </c>
      <c r="CC131" s="71">
        <f t="shared" si="737"/>
        <v>1191</v>
      </c>
      <c r="CD131" s="72">
        <f t="shared" si="738"/>
        <v>1196</v>
      </c>
      <c r="CE131" s="71">
        <f t="shared" si="739"/>
        <v>1271</v>
      </c>
      <c r="CF131" s="72">
        <f t="shared" si="740"/>
        <v>1304</v>
      </c>
      <c r="CG131" s="71">
        <f t="shared" si="741"/>
        <v>1329</v>
      </c>
      <c r="CH131" s="70">
        <f t="shared" si="742"/>
        <v>1061</v>
      </c>
      <c r="CI131" s="71">
        <f t="shared" si="743"/>
        <v>1065</v>
      </c>
      <c r="CJ131" s="72">
        <f t="shared" si="744"/>
        <v>1096</v>
      </c>
      <c r="CK131" s="72">
        <f t="shared" si="745"/>
        <v>1101</v>
      </c>
      <c r="CL131" s="72">
        <f t="shared" si="746"/>
        <v>1137</v>
      </c>
      <c r="CM131" s="72" t="str">
        <f t="shared" si="747"/>
        <v>-</v>
      </c>
      <c r="CN131" s="72">
        <f t="shared" si="748"/>
        <v>1172</v>
      </c>
      <c r="CO131" s="72">
        <f t="shared" si="749"/>
        <v>1193</v>
      </c>
      <c r="CP131" s="72">
        <f t="shared" si="750"/>
        <v>1230</v>
      </c>
      <c r="CQ131" s="72">
        <f t="shared" si="751"/>
        <v>1299</v>
      </c>
      <c r="CR131" s="72">
        <f t="shared" si="752"/>
        <v>1328</v>
      </c>
      <c r="CS131" s="72">
        <f t="shared" si="753"/>
        <v>1341</v>
      </c>
      <c r="CT131" s="23">
        <f t="shared" si="754"/>
        <v>1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29" x14ac:dyDescent="0.2">
      <c r="A132" s="3" t="str">
        <f t="shared" ref="A132:A144" si="953">CONCATENATE(B132,"_",C132)</f>
        <v>adrb2_human_5X7D</v>
      </c>
      <c r="B132" s="3" t="s">
        <v>126</v>
      </c>
      <c r="C132" s="3" t="s">
        <v>1437</v>
      </c>
      <c r="D132" s="3" t="str">
        <f>IFERROR(MID(VLOOKUP($B132,Seqs!$A:$B,2,0),E132,1),"")</f>
        <v>V</v>
      </c>
      <c r="E132" s="3">
        <v>33</v>
      </c>
      <c r="F132" s="3" t="str">
        <f>IFERROR(MID(VLOOKUP($B132,Seqs!$A:$B,2,0),G132,1),"")</f>
        <v>F</v>
      </c>
      <c r="G132" s="3">
        <v>61</v>
      </c>
      <c r="H132" s="3" t="str">
        <f>IFERROR(MID(VLOOKUP($B132,Seqs!$A:$B,2,0),I132,1),"")</f>
        <v>E</v>
      </c>
      <c r="I132" s="23">
        <v>62</v>
      </c>
      <c r="J132" s="3" t="str">
        <f>IFERROR(MID(VLOOKUP($B132,Seqs!$A:$B,2,0),K132,1),"")</f>
        <v>Q</v>
      </c>
      <c r="K132" s="23">
        <v>65</v>
      </c>
      <c r="L132" s="3" t="str">
        <f>IFERROR(MID(VLOOKUP($B132,Seqs!$A:$B,2,0),M132,1),"")</f>
        <v>T</v>
      </c>
      <c r="M132" s="3">
        <v>66</v>
      </c>
      <c r="N132" s="3" t="str">
        <f>IFERROR(MID(VLOOKUP($B132,Seqs!$A:$B,2,0),O132,1),"")</f>
        <v>M</v>
      </c>
      <c r="O132" s="3">
        <v>96</v>
      </c>
      <c r="P132" s="3" t="str">
        <f>IFERROR(MID(VLOOKUP($B132,Seqs!$A:$B,2,0),Q132,1),"")</f>
        <v>M</v>
      </c>
      <c r="Q132" s="3">
        <v>98</v>
      </c>
      <c r="R132" s="3" t="str">
        <f>IFERROR(MID(VLOOKUP($B132,Seqs!$A:$B,2,0),S132,1),"")</f>
        <v>F</v>
      </c>
      <c r="S132" s="3">
        <v>101</v>
      </c>
      <c r="T132" s="3" t="str">
        <f>IFERROR(MID(VLOOKUP($B132,Seqs!$A:$B,2,0),U132,1),"")</f>
        <v>G</v>
      </c>
      <c r="U132" s="3">
        <v>102</v>
      </c>
      <c r="V132" s="3" t="str">
        <f>IFERROR(MID(VLOOKUP($B132,Seqs!$A:$B,2,0),W132,1),"")</f>
        <v>T</v>
      </c>
      <c r="W132" s="3">
        <v>136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T</v>
      </c>
      <c r="AC132" s="3">
        <v>146</v>
      </c>
      <c r="AD132" s="3" t="str">
        <f>IFERROR(MID(VLOOKUP($B132,Seqs!$A:$B,2,0),AE132,1),"")</f>
        <v>H</v>
      </c>
      <c r="AE132" s="3">
        <v>172</v>
      </c>
      <c r="AF132" s="3" t="str">
        <f>IFERROR(MID(VLOOKUP($B132,Seqs!$A:$B,2,0),AG132,1),"")</f>
        <v>C</v>
      </c>
      <c r="AG132" s="3">
        <v>191</v>
      </c>
      <c r="AH132" s="3" t="str">
        <f>IFERROR(MID(VLOOKUP($B132,Seqs!$A:$B,2,0),AI132,1),"")</f>
        <v>F</v>
      </c>
      <c r="AI132" s="3">
        <v>193</v>
      </c>
      <c r="AJ132" s="3" t="str">
        <f>IFERROR(MID(VLOOKUP($B132,Seqs!$A:$B,2,0),AK132,1),"")</f>
        <v>N</v>
      </c>
      <c r="AK132" s="3">
        <v>196</v>
      </c>
      <c r="AL132" s="3" t="str">
        <f>IFERROR(MID(VLOOKUP($B132,Seqs!$A:$B,2,0),AM132,1),"")</f>
        <v>L</v>
      </c>
      <c r="AM132" s="3">
        <v>230</v>
      </c>
      <c r="AN132" s="3" t="str">
        <f>IFERROR(MID(VLOOKUP($B132,Seqs!$A:$B,2,0),AO132,1),"")</f>
        <v>A</v>
      </c>
      <c r="AO132" s="3">
        <v>271</v>
      </c>
      <c r="AP132" s="3" t="str">
        <f>IFERROR(MID(VLOOKUP($B132,Seqs!$A:$B,2,0),AQ132,1),"")</f>
        <v>Q</v>
      </c>
      <c r="AQ132" s="3">
        <v>299</v>
      </c>
      <c r="AR132" s="3" t="str">
        <f>IFERROR(MID(VLOOKUP($B132,Seqs!$A:$B,2,0),AS132,1),"")</f>
        <v>R</v>
      </c>
      <c r="AS132" s="3">
        <v>304</v>
      </c>
      <c r="AT132" s="3" t="str">
        <f>IFERROR(MID(VLOOKUP($B132,Seqs!$A:$B,2,0),AU132,1),"")</f>
        <v>R</v>
      </c>
      <c r="AU132" s="3">
        <v>328</v>
      </c>
      <c r="AV132" s="3" t="str">
        <f>IFERROR(MID(VLOOKUP($B132,Seqs!$A:$B,2,0),AW132,1),"")</f>
        <v>S</v>
      </c>
      <c r="AW132" s="3">
        <v>329</v>
      </c>
      <c r="AX132" s="3" t="str">
        <f>IFERROR(MID(VLOOKUP($B132,Seqs!$A:$B,2,0),AY132,1),"")</f>
        <v>C</v>
      </c>
      <c r="AY132" s="3">
        <v>341</v>
      </c>
      <c r="AZ132" s="77" t="str">
        <f>VLOOKUP(B132,Classification!A:D,2,0)</f>
        <v>A</v>
      </c>
      <c r="BA132" s="94" t="str">
        <f>VLOOKUP(B132,Classification!A:D,4,0)</f>
        <v>Adrenoceptors</v>
      </c>
      <c r="BB132" s="27" t="b">
        <f t="shared" ref="BB132:BB144" si="954">AND(E132&lt;G132,OR(G132&lt;I132,I132="-"),OR(I132&lt;K132,I132="-"),OR(K132&lt;M132,K132="-"),M132&lt;O132,OR(O132&lt;Q132,Q132="-"),OR(Q132&lt;S132,Q132="-"),OR(S132&lt;U132,S132="-"),U132&lt;W132,OR(W132&lt;Y132,Y132="-"),OR(Y132&lt;AA132,Y132="-"),OR(AA132&lt;AC132,AA132="-"),AC132&lt;AE132,OR(AE132&lt;AG132,AG132="-"),OR(AG132&lt;AI132,AG132="-"),OR(AI132&lt;AK132,AI132="-"),AK132&lt;AM132,AM132&lt;AO132,AO132&lt;AQ132,AQ132&lt;AS132,AS132&lt;AU132,OR(AU132&lt;AW132,AW132="-"),OR(AW132&lt;AY132,AW132="-"))</f>
        <v>1</v>
      </c>
      <c r="BC132" s="23">
        <f t="shared" ref="BC132:BC144" si="955">_xlfn.AGGREGATE(9,6,CH132:CS132)-_xlfn.AGGREGATE(9,6,BV132:CG132)+12</f>
        <v>236</v>
      </c>
      <c r="BD132" s="74" t="s">
        <v>23</v>
      </c>
      <c r="BE132" s="3" t="s">
        <v>1374</v>
      </c>
      <c r="BF132" s="118">
        <v>4.2</v>
      </c>
      <c r="BG132" s="49" t="s">
        <v>1281</v>
      </c>
      <c r="BH132" s="49" t="s">
        <v>1377</v>
      </c>
      <c r="BI132" s="1"/>
      <c r="BJ132" s="70" t="s">
        <v>1287</v>
      </c>
      <c r="BK132" s="57" t="s">
        <v>1287</v>
      </c>
      <c r="BL132" s="57" t="s">
        <v>1287</v>
      </c>
      <c r="BM132" s="57" t="s">
        <v>1287</v>
      </c>
      <c r="BN132" s="57" t="s">
        <v>1287</v>
      </c>
      <c r="BO132" s="57" t="s">
        <v>1287</v>
      </c>
      <c r="BP132" s="57" t="s">
        <v>1287</v>
      </c>
      <c r="BQ132" s="57" t="s">
        <v>1287</v>
      </c>
      <c r="BR132" s="57" t="s">
        <v>1287</v>
      </c>
      <c r="BS132" s="57" t="s">
        <v>1287</v>
      </c>
      <c r="BT132" s="57" t="s">
        <v>1287</v>
      </c>
      <c r="BU132" s="57" t="s">
        <v>1287</v>
      </c>
      <c r="BV132" s="70">
        <f t="shared" ref="BV132:BV144" si="956">E132</f>
        <v>33</v>
      </c>
      <c r="BW132" s="71">
        <f t="shared" ref="BW132:BW144" si="957">I132</f>
        <v>62</v>
      </c>
      <c r="BX132" s="72">
        <f t="shared" ref="BX132:BX144" si="958">M132</f>
        <v>66</v>
      </c>
      <c r="BY132" s="71">
        <f t="shared" ref="BY132:BY144" si="959">Q132</f>
        <v>98</v>
      </c>
      <c r="BZ132" s="72">
        <f t="shared" ref="BZ132:BZ144" si="960">U132</f>
        <v>102</v>
      </c>
      <c r="CA132" s="71" t="str">
        <f t="shared" ref="CA132:CA144" si="961">Y132</f>
        <v>-</v>
      </c>
      <c r="CB132" s="72">
        <f t="shared" ref="CB132:CB144" si="962">AC132</f>
        <v>146</v>
      </c>
      <c r="CC132" s="71">
        <f t="shared" ref="CC132:CC144" si="963">AG132</f>
        <v>191</v>
      </c>
      <c r="CD132" s="72">
        <f t="shared" ref="CD132:CD144" si="964">AK132</f>
        <v>196</v>
      </c>
      <c r="CE132" s="71">
        <f t="shared" ref="CE132:CE144" si="965">AO132</f>
        <v>271</v>
      </c>
      <c r="CF132" s="72">
        <f t="shared" ref="CF132:CF144" si="966">AS132</f>
        <v>304</v>
      </c>
      <c r="CG132" s="71">
        <f t="shared" ref="CG132:CG144" si="967">AW132</f>
        <v>329</v>
      </c>
      <c r="CH132" s="70">
        <f t="shared" ref="CH132:CH144" si="968">G132</f>
        <v>61</v>
      </c>
      <c r="CI132" s="71">
        <f t="shared" ref="CI132:CI144" si="969">K132</f>
        <v>65</v>
      </c>
      <c r="CJ132" s="72">
        <f t="shared" ref="CJ132:CJ144" si="970">O132</f>
        <v>96</v>
      </c>
      <c r="CK132" s="72">
        <f t="shared" ref="CK132:CK144" si="971">S132</f>
        <v>101</v>
      </c>
      <c r="CL132" s="72">
        <f t="shared" ref="CL132:CL144" si="972">W132</f>
        <v>136</v>
      </c>
      <c r="CM132" s="72" t="str">
        <f t="shared" ref="CM132:CM144" si="973">AA132</f>
        <v>-</v>
      </c>
      <c r="CN132" s="72">
        <f t="shared" ref="CN132:CN144" si="974">AE132</f>
        <v>172</v>
      </c>
      <c r="CO132" s="72">
        <f t="shared" ref="CO132:CO144" si="975">AI132</f>
        <v>193</v>
      </c>
      <c r="CP132" s="72">
        <f t="shared" ref="CP132:CP144" si="976">AM132</f>
        <v>230</v>
      </c>
      <c r="CQ132" s="72">
        <f t="shared" ref="CQ132:CQ144" si="977">AQ132</f>
        <v>299</v>
      </c>
      <c r="CR132" s="72">
        <f t="shared" ref="CR132:CR144" si="978">AU132</f>
        <v>328</v>
      </c>
      <c r="CS132" s="72">
        <f t="shared" ref="CS132:CS144" si="979">AY132</f>
        <v>341</v>
      </c>
      <c r="CT132" s="23">
        <f t="shared" ref="CT132:CT144" si="980">M132-K132</f>
        <v>1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29" x14ac:dyDescent="0.2">
      <c r="A133" s="9" t="str">
        <f t="shared" si="953"/>
        <v>adrb2_human_6E67</v>
      </c>
      <c r="B133" s="9" t="s">
        <v>126</v>
      </c>
      <c r="C133" s="130" t="s">
        <v>1579</v>
      </c>
      <c r="D133" s="9" t="str">
        <f>IFERROR(MID(VLOOKUP($B133,Seqs!$A:$B,2,0),E133,1),"")</f>
        <v>D</v>
      </c>
      <c r="E133" s="9">
        <v>29</v>
      </c>
      <c r="F133" s="9" t="str">
        <f>IFERROR(MID(VLOOKUP($B133,Seqs!$A:$B,2,0),G133,1),"")</f>
        <v>K</v>
      </c>
      <c r="G133" s="9">
        <v>60</v>
      </c>
      <c r="H133" s="9" t="str">
        <f>IFERROR(MID(VLOOKUP($B133,Seqs!$A:$B,2,0),I133,1),"")</f>
        <v>E</v>
      </c>
      <c r="I133" s="109">
        <v>62</v>
      </c>
      <c r="J133" s="9" t="str">
        <f>IFERROR(MID(VLOOKUP($B133,Seqs!$A:$B,2,0),K133,1),"")</f>
        <v>Q</v>
      </c>
      <c r="K133" s="109">
        <v>65</v>
      </c>
      <c r="L133" s="9" t="str">
        <f>IFERROR(MID(VLOOKUP($B133,Seqs!$A:$B,2,0),M133,1),"")</f>
        <v>T</v>
      </c>
      <c r="M133" s="9">
        <v>66</v>
      </c>
      <c r="N133" s="9" t="str">
        <f>IFERROR(MID(VLOOKUP($B133,Seqs!$A:$B,2,0),O133,1),"")</f>
        <v>K</v>
      </c>
      <c r="O133" s="9">
        <v>97</v>
      </c>
      <c r="P133" s="9" t="str">
        <f>IFERROR(MID(VLOOKUP($B133,Seqs!$A:$B,2,0),Q133,1),"")</f>
        <v>M</v>
      </c>
      <c r="Q133" s="9">
        <v>98</v>
      </c>
      <c r="R133" s="9" t="str">
        <f>IFERROR(MID(VLOOKUP($B133,Seqs!$A:$B,2,0),S133,1),"")</f>
        <v>F</v>
      </c>
      <c r="S133" s="9">
        <v>101</v>
      </c>
      <c r="T133" s="9" t="str">
        <f>IFERROR(MID(VLOOKUP($B133,Seqs!$A:$B,2,0),U133,1),"")</f>
        <v>G</v>
      </c>
      <c r="U133" s="9">
        <v>102</v>
      </c>
      <c r="V133" s="9" t="str">
        <f>IFERROR(MID(VLOOKUP($B133,Seqs!$A:$B,2,0),W133,1),"")</f>
        <v>S</v>
      </c>
      <c r="W133" s="9">
        <v>137</v>
      </c>
      <c r="X133" s="9" t="str">
        <f>IFERROR(MID(VLOOKUP($B133,Seqs!$A:$B,2,0),Y133,1),"")</f>
        <v>P</v>
      </c>
      <c r="Y133" s="9">
        <v>138</v>
      </c>
      <c r="Z133" s="9" t="str">
        <f>IFERROR(MID(VLOOKUP($B133,Seqs!$A:$B,2,0),AA133,1),"")</f>
        <v>L</v>
      </c>
      <c r="AA133" s="9">
        <v>145</v>
      </c>
      <c r="AB133" s="9" t="str">
        <f>IFERROR(MID(VLOOKUP($B133,Seqs!$A:$B,2,0),AC133,1),"")</f>
        <v>T</v>
      </c>
      <c r="AC133" s="9">
        <v>146</v>
      </c>
      <c r="AD133" s="9" t="str">
        <f>IFERROR(MID(VLOOKUP($B133,Seqs!$A:$B,2,0),AE133,1),"")</f>
        <v>H</v>
      </c>
      <c r="AE133" s="9">
        <v>172</v>
      </c>
      <c r="AF133" s="9" t="str">
        <f>IFERROR(MID(VLOOKUP($B133,Seqs!$A:$B,2,0),AG133,1),"")</f>
        <v>C</v>
      </c>
      <c r="AG133" s="9">
        <v>191</v>
      </c>
      <c r="AH133" s="9" t="str">
        <f>IFERROR(MID(VLOOKUP($B133,Seqs!$A:$B,2,0),AI133,1),"")</f>
        <v>F</v>
      </c>
      <c r="AI133" s="9">
        <v>193</v>
      </c>
      <c r="AJ133" s="9" t="str">
        <f>IFERROR(MID(VLOOKUP($B133,Seqs!$A:$B,2,0),AK133,1),"")</f>
        <v>N</v>
      </c>
      <c r="AK133" s="9">
        <v>196</v>
      </c>
      <c r="AL133" s="9" t="str">
        <f>IFERROR(MID(VLOOKUP($B133,Seqs!$A:$B,2,0),AM133,1),"")</f>
        <v>A</v>
      </c>
      <c r="AM133" s="9">
        <v>226</v>
      </c>
      <c r="AN133" s="9" t="str">
        <f>IFERROR(MID(VLOOKUP($B133,Seqs!$A:$B,2,0),AO133,1),"")</f>
        <v>E</v>
      </c>
      <c r="AO133" s="9">
        <v>268</v>
      </c>
      <c r="AP133" s="9" t="str">
        <f>IFERROR(MID(VLOOKUP($B133,Seqs!$A:$B,2,0),AQ133,1),"")</f>
        <v>Q</v>
      </c>
      <c r="AQ133" s="9">
        <v>299</v>
      </c>
      <c r="AR133" s="9" t="str">
        <f>IFERROR(MID(VLOOKUP($B133,Seqs!$A:$B,2,0),AS133,1),"")</f>
        <v>R</v>
      </c>
      <c r="AS133" s="9">
        <v>304</v>
      </c>
      <c r="AT133" s="9" t="str">
        <f>IFERROR(MID(VLOOKUP($B133,Seqs!$A:$B,2,0),AU133,1),"")</f>
        <v>P</v>
      </c>
      <c r="AU133" s="9">
        <v>323</v>
      </c>
      <c r="AV133" s="9" t="str">
        <f>IFERROR(MID(VLOOKUP($B133,Seqs!$A:$B,2,0),AW133,1),"")</f>
        <v>S</v>
      </c>
      <c r="AW133" s="9">
        <v>329</v>
      </c>
      <c r="AX133" s="9" t="str">
        <f>IFERROR(MID(VLOOKUP($B133,Seqs!$A:$B,2,0),AY133,1),"")</f>
        <v>L</v>
      </c>
      <c r="AY133" s="9">
        <v>340</v>
      </c>
      <c r="AZ133" s="110" t="str">
        <f>VLOOKUP(B133,Classification!A:D,2,0)</f>
        <v>A</v>
      </c>
      <c r="BA133" s="98" t="str">
        <f>VLOOKUP(B133,Classification!A:D,4,0)</f>
        <v>Adrenoceptors</v>
      </c>
      <c r="BB133" s="36" t="b">
        <f t="shared" si="954"/>
        <v>1</v>
      </c>
      <c r="BC133" s="109">
        <f t="shared" si="955"/>
        <v>241</v>
      </c>
      <c r="BD133" s="123" t="s">
        <v>23</v>
      </c>
      <c r="BE133" s="9" t="s">
        <v>1291</v>
      </c>
      <c r="BF133" s="119">
        <v>3.7</v>
      </c>
      <c r="BG133" s="51" t="s">
        <v>1281</v>
      </c>
      <c r="BH133" s="51" t="s">
        <v>1281</v>
      </c>
      <c r="BI133" s="12"/>
      <c r="BJ133" s="111" t="s">
        <v>1287</v>
      </c>
      <c r="BK133" s="112" t="s">
        <v>1287</v>
      </c>
      <c r="BL133" s="112" t="s">
        <v>1287</v>
      </c>
      <c r="BM133" s="112" t="s">
        <v>1287</v>
      </c>
      <c r="BN133" s="112" t="s">
        <v>1287</v>
      </c>
      <c r="BO133" s="112" t="s">
        <v>1287</v>
      </c>
      <c r="BP133" s="112" t="s">
        <v>1287</v>
      </c>
      <c r="BQ133" s="112" t="s">
        <v>1287</v>
      </c>
      <c r="BR133" s="112" t="s">
        <v>1287</v>
      </c>
      <c r="BS133" s="112" t="s">
        <v>1287</v>
      </c>
      <c r="BT133" s="112" t="s">
        <v>1287</v>
      </c>
      <c r="BU133" s="112" t="s">
        <v>1287</v>
      </c>
      <c r="BV133" s="111">
        <f t="shared" si="956"/>
        <v>29</v>
      </c>
      <c r="BW133" s="113">
        <f t="shared" si="957"/>
        <v>62</v>
      </c>
      <c r="BX133" s="114">
        <f t="shared" si="958"/>
        <v>66</v>
      </c>
      <c r="BY133" s="113">
        <f t="shared" si="959"/>
        <v>98</v>
      </c>
      <c r="BZ133" s="114">
        <f t="shared" si="960"/>
        <v>102</v>
      </c>
      <c r="CA133" s="113">
        <f t="shared" si="961"/>
        <v>138</v>
      </c>
      <c r="CB133" s="114">
        <f t="shared" si="962"/>
        <v>146</v>
      </c>
      <c r="CC133" s="113">
        <f t="shared" si="963"/>
        <v>191</v>
      </c>
      <c r="CD133" s="114">
        <f t="shared" si="964"/>
        <v>196</v>
      </c>
      <c r="CE133" s="113">
        <f t="shared" si="965"/>
        <v>268</v>
      </c>
      <c r="CF133" s="114">
        <f t="shared" si="966"/>
        <v>304</v>
      </c>
      <c r="CG133" s="113">
        <f t="shared" si="967"/>
        <v>329</v>
      </c>
      <c r="CH133" s="111">
        <f t="shared" si="968"/>
        <v>60</v>
      </c>
      <c r="CI133" s="113">
        <f t="shared" si="969"/>
        <v>65</v>
      </c>
      <c r="CJ133" s="114">
        <f t="shared" si="970"/>
        <v>97</v>
      </c>
      <c r="CK133" s="114">
        <f t="shared" si="971"/>
        <v>101</v>
      </c>
      <c r="CL133" s="114">
        <f t="shared" si="972"/>
        <v>137</v>
      </c>
      <c r="CM133" s="114">
        <f t="shared" si="973"/>
        <v>145</v>
      </c>
      <c r="CN133" s="114">
        <f t="shared" si="974"/>
        <v>172</v>
      </c>
      <c r="CO133" s="114">
        <f t="shared" si="975"/>
        <v>193</v>
      </c>
      <c r="CP133" s="114">
        <f t="shared" si="976"/>
        <v>226</v>
      </c>
      <c r="CQ133" s="114">
        <f t="shared" si="977"/>
        <v>299</v>
      </c>
      <c r="CR133" s="114">
        <f t="shared" si="978"/>
        <v>323</v>
      </c>
      <c r="CS133" s="114">
        <f t="shared" si="979"/>
        <v>340</v>
      </c>
      <c r="CT133" s="109">
        <f t="shared" si="980"/>
        <v>1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29" s="12" customFormat="1" x14ac:dyDescent="0.2">
      <c r="A134" s="9" t="str">
        <f t="shared" si="953"/>
        <v>adrb2_human_6MXT</v>
      </c>
      <c r="B134" s="9" t="s">
        <v>126</v>
      </c>
      <c r="C134" s="9" t="s">
        <v>1526</v>
      </c>
      <c r="D134" s="9" t="str">
        <f>IFERROR(MID(VLOOKUP($B134,Seqs!$A:$B,2,0),E134,1),"")</f>
        <v/>
      </c>
      <c r="E134" s="9">
        <v>1029</v>
      </c>
      <c r="F134" s="9" t="str">
        <f>IFERROR(MID(VLOOKUP($B134,Seqs!$A:$B,2,0),G134,1),"")</f>
        <v/>
      </c>
      <c r="G134" s="9">
        <v>1061</v>
      </c>
      <c r="H134" s="9" t="str">
        <f>IFERROR(MID(VLOOKUP($B134,Seqs!$A:$B,2,0),I134,1),"")</f>
        <v/>
      </c>
      <c r="I134" s="109">
        <v>1062</v>
      </c>
      <c r="J134" s="9" t="str">
        <f>IFERROR(MID(VLOOKUP($B134,Seqs!$A:$B,2,0),K134,1),"")</f>
        <v/>
      </c>
      <c r="K134" s="109">
        <v>1065</v>
      </c>
      <c r="L134" s="9" t="str">
        <f>IFERROR(MID(VLOOKUP($B134,Seqs!$A:$B,2,0),M134,1),"")</f>
        <v/>
      </c>
      <c r="M134" s="9">
        <v>1066</v>
      </c>
      <c r="N134" s="9" t="str">
        <f>IFERROR(MID(VLOOKUP($B134,Seqs!$A:$B,2,0),O134,1),"")</f>
        <v/>
      </c>
      <c r="O134" s="9">
        <v>1096</v>
      </c>
      <c r="P134" s="9" t="str">
        <f>IFERROR(MID(VLOOKUP($B134,Seqs!$A:$B,2,0),Q134,1),"")</f>
        <v/>
      </c>
      <c r="Q134" s="9">
        <v>1098</v>
      </c>
      <c r="R134" s="9" t="str">
        <f>IFERROR(MID(VLOOKUP($B134,Seqs!$A:$B,2,0),S134,1),"")</f>
        <v/>
      </c>
      <c r="S134" s="9">
        <v>1101</v>
      </c>
      <c r="T134" s="9" t="str">
        <f>IFERROR(MID(VLOOKUP($B134,Seqs!$A:$B,2,0),U134,1),"")</f>
        <v/>
      </c>
      <c r="U134" s="9">
        <v>1102</v>
      </c>
      <c r="V134" s="9" t="str">
        <f>IFERROR(MID(VLOOKUP($B134,Seqs!$A:$B,2,0),W134,1),"")</f>
        <v/>
      </c>
      <c r="W134" s="9">
        <v>1137</v>
      </c>
      <c r="X134" s="9" t="str">
        <f>IFERROR(MID(VLOOKUP($B134,Seqs!$A:$B,2,0),Y134,1),"")</f>
        <v/>
      </c>
      <c r="Y134" s="9">
        <v>1138</v>
      </c>
      <c r="Z134" s="9" t="str">
        <f>IFERROR(MID(VLOOKUP($B134,Seqs!$A:$B,2,0),AA134,1),"")</f>
        <v/>
      </c>
      <c r="AA134" s="9">
        <v>1145</v>
      </c>
      <c r="AB134" s="9" t="str">
        <f>IFERROR(MID(VLOOKUP($B134,Seqs!$A:$B,2,0),AC134,1),"")</f>
        <v/>
      </c>
      <c r="AC134" s="9">
        <v>1146</v>
      </c>
      <c r="AD134" s="9" t="str">
        <f>IFERROR(MID(VLOOKUP($B134,Seqs!$A:$B,2,0),AE134,1),"")</f>
        <v/>
      </c>
      <c r="AE134" s="9">
        <v>1172</v>
      </c>
      <c r="AF134" s="9" t="str">
        <f>IFERROR(MID(VLOOKUP($B134,Seqs!$A:$B,2,0),AG134,1),"")</f>
        <v/>
      </c>
      <c r="AG134" s="9">
        <v>1191</v>
      </c>
      <c r="AH134" s="9" t="str">
        <f>IFERROR(MID(VLOOKUP($B134,Seqs!$A:$B,2,0),AI134,1),"")</f>
        <v/>
      </c>
      <c r="AI134" s="9">
        <v>1193</v>
      </c>
      <c r="AJ134" s="9" t="str">
        <f>IFERROR(MID(VLOOKUP($B134,Seqs!$A:$B,2,0),AK134,1),"")</f>
        <v/>
      </c>
      <c r="AK134" s="9">
        <v>1196</v>
      </c>
      <c r="AL134" s="9" t="str">
        <f>IFERROR(MID(VLOOKUP($B134,Seqs!$A:$B,2,0),AM134,1),"")</f>
        <v/>
      </c>
      <c r="AM134" s="9">
        <v>1232</v>
      </c>
      <c r="AN134" s="9" t="str">
        <f>IFERROR(MID(VLOOKUP($B134,Seqs!$A:$B,2,0),AO134,1),"")</f>
        <v/>
      </c>
      <c r="AO134" s="9">
        <v>1265</v>
      </c>
      <c r="AP134" s="9" t="str">
        <f>IFERROR(MID(VLOOKUP($B134,Seqs!$A:$B,2,0),AQ134,1),"")</f>
        <v/>
      </c>
      <c r="AQ134" s="9">
        <v>1299</v>
      </c>
      <c r="AR134" s="9" t="str">
        <f>IFERROR(MID(VLOOKUP($B134,Seqs!$A:$B,2,0),AS134,1),"")</f>
        <v/>
      </c>
      <c r="AS134" s="9">
        <v>1304</v>
      </c>
      <c r="AT134" s="9" t="str">
        <f>IFERROR(MID(VLOOKUP($B134,Seqs!$A:$B,2,0),AU134,1),"")</f>
        <v/>
      </c>
      <c r="AU134" s="9">
        <v>1323</v>
      </c>
      <c r="AV134" s="9" t="str">
        <f>IFERROR(MID(VLOOKUP($B134,Seqs!$A:$B,2,0),AW134,1),"")</f>
        <v/>
      </c>
      <c r="AW134" s="9">
        <v>1329</v>
      </c>
      <c r="AX134" s="9" t="str">
        <f>IFERROR(MID(VLOOKUP($B134,Seqs!$A:$B,2,0),AY134,1),"")</f>
        <v/>
      </c>
      <c r="AY134" s="9">
        <v>1342</v>
      </c>
      <c r="AZ134" s="110" t="str">
        <f>VLOOKUP(B134,Classification!A:D,2,0)</f>
        <v>A</v>
      </c>
      <c r="BA134" s="98" t="str">
        <f>VLOOKUP(B134,Classification!A:D,4,0)</f>
        <v>Adrenoceptors</v>
      </c>
      <c r="BB134" s="36" t="b">
        <f t="shared" si="954"/>
        <v>1</v>
      </c>
      <c r="BC134" s="109">
        <f t="shared" si="955"/>
        <v>252</v>
      </c>
      <c r="BD134" s="123" t="s">
        <v>23</v>
      </c>
      <c r="BE134" s="9" t="s">
        <v>1291</v>
      </c>
      <c r="BF134" s="119">
        <v>2.96</v>
      </c>
      <c r="BG134" s="51" t="s">
        <v>1</v>
      </c>
      <c r="BH134" s="51" t="s">
        <v>1</v>
      </c>
      <c r="BJ134" s="111" t="s">
        <v>1287</v>
      </c>
      <c r="BK134" s="112" t="s">
        <v>1287</v>
      </c>
      <c r="BL134" s="112" t="s">
        <v>1287</v>
      </c>
      <c r="BM134" s="112" t="s">
        <v>1287</v>
      </c>
      <c r="BN134" s="112" t="s">
        <v>1287</v>
      </c>
      <c r="BO134" s="112" t="s">
        <v>1287</v>
      </c>
      <c r="BP134" s="112" t="s">
        <v>1287</v>
      </c>
      <c r="BQ134" s="112" t="s">
        <v>1287</v>
      </c>
      <c r="BR134" s="112" t="s">
        <v>1287</v>
      </c>
      <c r="BS134" s="112" t="s">
        <v>1287</v>
      </c>
      <c r="BT134" s="112" t="s">
        <v>1287</v>
      </c>
      <c r="BU134" s="112" t="s">
        <v>1287</v>
      </c>
      <c r="BV134" s="111">
        <f t="shared" si="956"/>
        <v>1029</v>
      </c>
      <c r="BW134" s="113">
        <f t="shared" si="957"/>
        <v>1062</v>
      </c>
      <c r="BX134" s="114">
        <f t="shared" si="958"/>
        <v>1066</v>
      </c>
      <c r="BY134" s="113">
        <f t="shared" si="959"/>
        <v>1098</v>
      </c>
      <c r="BZ134" s="114">
        <f t="shared" si="960"/>
        <v>1102</v>
      </c>
      <c r="CA134" s="113">
        <f t="shared" si="961"/>
        <v>1138</v>
      </c>
      <c r="CB134" s="114">
        <f t="shared" si="962"/>
        <v>1146</v>
      </c>
      <c r="CC134" s="113">
        <f t="shared" si="963"/>
        <v>1191</v>
      </c>
      <c r="CD134" s="114">
        <f t="shared" si="964"/>
        <v>1196</v>
      </c>
      <c r="CE134" s="113">
        <f t="shared" si="965"/>
        <v>1265</v>
      </c>
      <c r="CF134" s="114">
        <f t="shared" si="966"/>
        <v>1304</v>
      </c>
      <c r="CG134" s="113">
        <f t="shared" si="967"/>
        <v>1329</v>
      </c>
      <c r="CH134" s="111">
        <f t="shared" si="968"/>
        <v>1061</v>
      </c>
      <c r="CI134" s="113">
        <f t="shared" si="969"/>
        <v>1065</v>
      </c>
      <c r="CJ134" s="114">
        <f t="shared" si="970"/>
        <v>1096</v>
      </c>
      <c r="CK134" s="114">
        <f t="shared" si="971"/>
        <v>1101</v>
      </c>
      <c r="CL134" s="114">
        <f t="shared" si="972"/>
        <v>1137</v>
      </c>
      <c r="CM134" s="114">
        <f t="shared" si="973"/>
        <v>1145</v>
      </c>
      <c r="CN134" s="114">
        <f t="shared" si="974"/>
        <v>1172</v>
      </c>
      <c r="CO134" s="114">
        <f t="shared" si="975"/>
        <v>1193</v>
      </c>
      <c r="CP134" s="114">
        <f t="shared" si="976"/>
        <v>1232</v>
      </c>
      <c r="CQ134" s="114">
        <f t="shared" si="977"/>
        <v>1299</v>
      </c>
      <c r="CR134" s="114">
        <f t="shared" si="978"/>
        <v>1323</v>
      </c>
      <c r="CS134" s="114">
        <f t="shared" si="979"/>
        <v>1342</v>
      </c>
      <c r="CT134" s="109">
        <f t="shared" si="980"/>
        <v>1</v>
      </c>
    </row>
    <row r="135" spans="1:1029" s="12" customFormat="1" x14ac:dyDescent="0.2">
      <c r="A135" s="9" t="str">
        <f t="shared" si="953"/>
        <v>adrb2_human_6N48</v>
      </c>
      <c r="B135" s="9" t="s">
        <v>126</v>
      </c>
      <c r="C135" s="9" t="s">
        <v>1581</v>
      </c>
      <c r="D135" s="9" t="str">
        <f>IFERROR(MID(VLOOKUP($B135,Seqs!$A:$B,2,0),E135,1),"")</f>
        <v/>
      </c>
      <c r="E135" s="9">
        <v>1026</v>
      </c>
      <c r="F135" s="9" t="str">
        <f>IFERROR(MID(VLOOKUP($B135,Seqs!$A:$B,2,0),G135,1),"")</f>
        <v/>
      </c>
      <c r="G135" s="9">
        <v>1061</v>
      </c>
      <c r="H135" s="9" t="str">
        <f>IFERROR(MID(VLOOKUP($B135,Seqs!$A:$B,2,0),I135,1),"")</f>
        <v/>
      </c>
      <c r="I135" s="109">
        <v>1062</v>
      </c>
      <c r="J135" s="9" t="str">
        <f>IFERROR(MID(VLOOKUP($B135,Seqs!$A:$B,2,0),K135,1),"")</f>
        <v/>
      </c>
      <c r="K135" s="109">
        <v>1065</v>
      </c>
      <c r="L135" s="9" t="str">
        <f>IFERROR(MID(VLOOKUP($B135,Seqs!$A:$B,2,0),M135,1),"")</f>
        <v/>
      </c>
      <c r="M135" s="9">
        <v>1066</v>
      </c>
      <c r="N135" s="9" t="str">
        <f>IFERROR(MID(VLOOKUP($B135,Seqs!$A:$B,2,0),O135,1),"")</f>
        <v/>
      </c>
      <c r="O135" s="9">
        <v>1097</v>
      </c>
      <c r="P135" s="9" t="str">
        <f>IFERROR(MID(VLOOKUP($B135,Seqs!$A:$B,2,0),Q135,1),"")</f>
        <v/>
      </c>
      <c r="Q135" s="9">
        <v>1098</v>
      </c>
      <c r="R135" s="9" t="str">
        <f>IFERROR(MID(VLOOKUP($B135,Seqs!$A:$B,2,0),S135,1),"")</f>
        <v/>
      </c>
      <c r="S135" s="9">
        <v>1101</v>
      </c>
      <c r="T135" s="9" t="str">
        <f>IFERROR(MID(VLOOKUP($B135,Seqs!$A:$B,2,0),U135,1),"")</f>
        <v/>
      </c>
      <c r="U135" s="9">
        <v>1102</v>
      </c>
      <c r="V135" s="9" t="str">
        <f>IFERROR(MID(VLOOKUP($B135,Seqs!$A:$B,2,0),W135,1),"")</f>
        <v/>
      </c>
      <c r="W135" s="9">
        <v>1137</v>
      </c>
      <c r="X135" s="9" t="str">
        <f>IFERROR(MID(VLOOKUP($B135,Seqs!$A:$B,2,0),Y135,1),"")</f>
        <v/>
      </c>
      <c r="Y135" s="9">
        <v>1138</v>
      </c>
      <c r="Z135" s="9" t="str">
        <f>IFERROR(MID(VLOOKUP($B135,Seqs!$A:$B,2,0),AA135,1),"")</f>
        <v/>
      </c>
      <c r="AA135" s="9">
        <v>1145</v>
      </c>
      <c r="AB135" s="9" t="str">
        <f>IFERROR(MID(VLOOKUP($B135,Seqs!$A:$B,2,0),AC135,1),"")</f>
        <v/>
      </c>
      <c r="AC135" s="9">
        <v>1146</v>
      </c>
      <c r="AD135" s="9" t="str">
        <f>IFERROR(MID(VLOOKUP($B135,Seqs!$A:$B,2,0),AE135,1),"")</f>
        <v/>
      </c>
      <c r="AE135" s="9">
        <v>1172</v>
      </c>
      <c r="AF135" s="9" t="str">
        <f>IFERROR(MID(VLOOKUP($B135,Seqs!$A:$B,2,0),AG135,1),"")</f>
        <v/>
      </c>
      <c r="AG135" s="9">
        <v>1191</v>
      </c>
      <c r="AH135" s="9" t="str">
        <f>IFERROR(MID(VLOOKUP($B135,Seqs!$A:$B,2,0),AI135,1),"")</f>
        <v/>
      </c>
      <c r="AI135" s="9">
        <v>1193</v>
      </c>
      <c r="AJ135" s="9" t="str">
        <f>IFERROR(MID(VLOOKUP($B135,Seqs!$A:$B,2,0),AK135,1),"")</f>
        <v/>
      </c>
      <c r="AK135" s="9">
        <v>1196</v>
      </c>
      <c r="AL135" s="9" t="str">
        <f>IFERROR(MID(VLOOKUP($B135,Seqs!$A:$B,2,0),AM135,1),"")</f>
        <v/>
      </c>
      <c r="AM135" s="9">
        <v>1226</v>
      </c>
      <c r="AN135" s="9" t="str">
        <f>IFERROR(MID(VLOOKUP($B135,Seqs!$A:$B,2,0),AO135,1),"")</f>
        <v/>
      </c>
      <c r="AO135" s="9">
        <v>1265</v>
      </c>
      <c r="AP135" s="9" t="str">
        <f>IFERROR(MID(VLOOKUP($B135,Seqs!$A:$B,2,0),AQ135,1),"")</f>
        <v/>
      </c>
      <c r="AQ135" s="9">
        <v>1299</v>
      </c>
      <c r="AR135" s="9" t="str">
        <f>IFERROR(MID(VLOOKUP($B135,Seqs!$A:$B,2,0),AS135,1),"")</f>
        <v/>
      </c>
      <c r="AS135" s="9">
        <v>1304</v>
      </c>
      <c r="AT135" s="9" t="str">
        <f>IFERROR(MID(VLOOKUP($B135,Seqs!$A:$B,2,0),AU135,1),"")</f>
        <v/>
      </c>
      <c r="AU135" s="9">
        <v>1322</v>
      </c>
      <c r="AV135" s="9" t="str">
        <f>IFERROR(MID(VLOOKUP($B135,Seqs!$A:$B,2,0),AW135,1),"")</f>
        <v/>
      </c>
      <c r="AW135" s="9">
        <v>1329</v>
      </c>
      <c r="AX135" s="9" t="str">
        <f>IFERROR(MID(VLOOKUP($B135,Seqs!$A:$B,2,0),AY135,1),"")</f>
        <v/>
      </c>
      <c r="AY135" s="9">
        <v>1340</v>
      </c>
      <c r="AZ135" s="110" t="str">
        <f>VLOOKUP(B135,Classification!A:D,2,0)</f>
        <v>A</v>
      </c>
      <c r="BA135" s="98" t="str">
        <f>VLOOKUP(B135,Classification!A:D,4,0)</f>
        <v>Adrenoceptors</v>
      </c>
      <c r="BB135" s="36" t="b">
        <f t="shared" si="954"/>
        <v>1</v>
      </c>
      <c r="BC135" s="109">
        <f t="shared" si="955"/>
        <v>247</v>
      </c>
      <c r="BD135" s="123" t="s">
        <v>23</v>
      </c>
      <c r="BE135" s="9" t="s">
        <v>1291</v>
      </c>
      <c r="BF135" s="119">
        <v>3.2</v>
      </c>
      <c r="BG135" s="51" t="s">
        <v>1</v>
      </c>
      <c r="BH135" s="51" t="s">
        <v>1</v>
      </c>
      <c r="BJ135" s="111" t="s">
        <v>1287</v>
      </c>
      <c r="BK135" s="112" t="s">
        <v>1287</v>
      </c>
      <c r="BL135" s="112" t="s">
        <v>1287</v>
      </c>
      <c r="BM135" s="112" t="s">
        <v>1287</v>
      </c>
      <c r="BN135" s="112" t="s">
        <v>1287</v>
      </c>
      <c r="BO135" s="112" t="s">
        <v>1287</v>
      </c>
      <c r="BP135" s="112" t="s">
        <v>1287</v>
      </c>
      <c r="BQ135" s="112" t="s">
        <v>1287</v>
      </c>
      <c r="BR135" s="112" t="s">
        <v>1287</v>
      </c>
      <c r="BS135" s="112" t="s">
        <v>1287</v>
      </c>
      <c r="BT135" s="112" t="s">
        <v>1287</v>
      </c>
      <c r="BU135" s="112" t="s">
        <v>1287</v>
      </c>
      <c r="BV135" s="111">
        <f t="shared" si="956"/>
        <v>1026</v>
      </c>
      <c r="BW135" s="113">
        <f t="shared" si="957"/>
        <v>1062</v>
      </c>
      <c r="BX135" s="114">
        <f t="shared" si="958"/>
        <v>1066</v>
      </c>
      <c r="BY135" s="113">
        <f t="shared" si="959"/>
        <v>1098</v>
      </c>
      <c r="BZ135" s="114">
        <f t="shared" si="960"/>
        <v>1102</v>
      </c>
      <c r="CA135" s="113">
        <f t="shared" si="961"/>
        <v>1138</v>
      </c>
      <c r="CB135" s="114">
        <f t="shared" si="962"/>
        <v>1146</v>
      </c>
      <c r="CC135" s="113">
        <f t="shared" si="963"/>
        <v>1191</v>
      </c>
      <c r="CD135" s="114">
        <f t="shared" si="964"/>
        <v>1196</v>
      </c>
      <c r="CE135" s="113">
        <f t="shared" si="965"/>
        <v>1265</v>
      </c>
      <c r="CF135" s="114">
        <f t="shared" si="966"/>
        <v>1304</v>
      </c>
      <c r="CG135" s="113">
        <f t="shared" si="967"/>
        <v>1329</v>
      </c>
      <c r="CH135" s="111">
        <f t="shared" si="968"/>
        <v>1061</v>
      </c>
      <c r="CI135" s="113">
        <f t="shared" si="969"/>
        <v>1065</v>
      </c>
      <c r="CJ135" s="114">
        <f t="shared" si="970"/>
        <v>1097</v>
      </c>
      <c r="CK135" s="114">
        <f t="shared" si="971"/>
        <v>1101</v>
      </c>
      <c r="CL135" s="114">
        <f t="shared" si="972"/>
        <v>1137</v>
      </c>
      <c r="CM135" s="114">
        <f t="shared" si="973"/>
        <v>1145</v>
      </c>
      <c r="CN135" s="114">
        <f t="shared" si="974"/>
        <v>1172</v>
      </c>
      <c r="CO135" s="114">
        <f t="shared" si="975"/>
        <v>1193</v>
      </c>
      <c r="CP135" s="114">
        <f t="shared" si="976"/>
        <v>1226</v>
      </c>
      <c r="CQ135" s="114">
        <f t="shared" si="977"/>
        <v>1299</v>
      </c>
      <c r="CR135" s="114">
        <f t="shared" si="978"/>
        <v>1322</v>
      </c>
      <c r="CS135" s="114">
        <f t="shared" si="979"/>
        <v>1340</v>
      </c>
      <c r="CT135" s="109">
        <f t="shared" si="980"/>
        <v>1</v>
      </c>
    </row>
    <row r="136" spans="1:1029" s="12" customFormat="1" x14ac:dyDescent="0.2">
      <c r="A136" s="9" t="str">
        <f t="shared" si="953"/>
        <v>adrb2_human_6PRZ</v>
      </c>
      <c r="B136" s="9" t="s">
        <v>126</v>
      </c>
      <c r="C136" s="9" t="s">
        <v>1607</v>
      </c>
      <c r="D136" s="9" t="str">
        <f>IFERROR(MID(VLOOKUP($B136,Seqs!$A:$B,2,0),E136,1),"")</f>
        <v>V</v>
      </c>
      <c r="E136" s="9">
        <v>31</v>
      </c>
      <c r="F136" s="9" t="str">
        <f>IFERROR(MID(VLOOKUP($B136,Seqs!$A:$B,2,0),G136,1),"")</f>
        <v>F</v>
      </c>
      <c r="G136" s="9">
        <v>61</v>
      </c>
      <c r="H136" s="9" t="str">
        <f>IFERROR(MID(VLOOKUP($B136,Seqs!$A:$B,2,0),I136,1),"")</f>
        <v>E</v>
      </c>
      <c r="I136" s="109">
        <v>62</v>
      </c>
      <c r="J136" s="9" t="str">
        <f>IFERROR(MID(VLOOKUP($B136,Seqs!$A:$B,2,0),K136,1),"")</f>
        <v>Q</v>
      </c>
      <c r="K136" s="109">
        <v>65</v>
      </c>
      <c r="L136" s="9" t="str">
        <f>IFERROR(MID(VLOOKUP($B136,Seqs!$A:$B,2,0),M136,1),"")</f>
        <v>T</v>
      </c>
      <c r="M136" s="9">
        <v>66</v>
      </c>
      <c r="N136" s="9" t="str">
        <f>IFERROR(MID(VLOOKUP($B136,Seqs!$A:$B,2,0),O136,1),"")</f>
        <v>M</v>
      </c>
      <c r="O136" s="9">
        <v>96</v>
      </c>
      <c r="P136" s="9" t="str">
        <f>IFERROR(MID(VLOOKUP($B136,Seqs!$A:$B,2,0),Q136,1),"")</f>
        <v>M</v>
      </c>
      <c r="Q136" s="9">
        <v>98</v>
      </c>
      <c r="R136" s="9" t="str">
        <f>IFERROR(MID(VLOOKUP($B136,Seqs!$A:$B,2,0),S136,1),"")</f>
        <v>F</v>
      </c>
      <c r="S136" s="9">
        <v>101</v>
      </c>
      <c r="T136" s="9" t="str">
        <f>IFERROR(MID(VLOOKUP($B136,Seqs!$A:$B,2,0),U136,1),"")</f>
        <v>G</v>
      </c>
      <c r="U136" s="9">
        <v>102</v>
      </c>
      <c r="V136" s="9" t="str">
        <f>IFERROR(MID(VLOOKUP($B136,Seqs!$A:$B,2,0),W136,1),"")</f>
        <v>S</v>
      </c>
      <c r="W136" s="9">
        <v>137</v>
      </c>
      <c r="X136" s="9" t="str">
        <f>IFERROR(MID(VLOOKUP($B136,Seqs!$A:$B,2,0),Y136,1),"")</f>
        <v/>
      </c>
      <c r="Y136" s="9" t="s">
        <v>23</v>
      </c>
      <c r="Z136" s="9" t="str">
        <f>IFERROR(MID(VLOOKUP($B136,Seqs!$A:$B,2,0),AA136,1),"")</f>
        <v/>
      </c>
      <c r="AA136" s="9" t="s">
        <v>23</v>
      </c>
      <c r="AB136" s="9" t="str">
        <f>IFERROR(MID(VLOOKUP($B136,Seqs!$A:$B,2,0),AC136,1),"")</f>
        <v>T</v>
      </c>
      <c r="AC136" s="9">
        <v>146</v>
      </c>
      <c r="AD136" s="9" t="str">
        <f>IFERROR(MID(VLOOKUP($B136,Seqs!$A:$B,2,0),AE136,1),"")</f>
        <v>H</v>
      </c>
      <c r="AE136" s="9">
        <v>172</v>
      </c>
      <c r="AF136" s="9" t="str">
        <f>IFERROR(MID(VLOOKUP($B136,Seqs!$A:$B,2,0),AG136,1),"")</f>
        <v>C</v>
      </c>
      <c r="AG136" s="9">
        <v>191</v>
      </c>
      <c r="AH136" s="9" t="str">
        <f>IFERROR(MID(VLOOKUP($B136,Seqs!$A:$B,2,0),AI136,1),"")</f>
        <v>F</v>
      </c>
      <c r="AI136" s="9">
        <v>193</v>
      </c>
      <c r="AJ136" s="9" t="str">
        <f>IFERROR(MID(VLOOKUP($B136,Seqs!$A:$B,2,0),AK136,1),"")</f>
        <v>N</v>
      </c>
      <c r="AK136" s="9">
        <v>196</v>
      </c>
      <c r="AL136" s="9" t="str">
        <f>IFERROR(MID(VLOOKUP($B136,Seqs!$A:$B,2,0),AM136,1),"")</f>
        <v>L</v>
      </c>
      <c r="AM136" s="9">
        <v>230</v>
      </c>
      <c r="AN136" s="9" t="str">
        <f>IFERROR(MID(VLOOKUP($B136,Seqs!$A:$B,2,0),AO136,1),"")</f>
        <v>L</v>
      </c>
      <c r="AO136" s="9">
        <v>266</v>
      </c>
      <c r="AP136" s="9" t="str">
        <f>IFERROR(MID(VLOOKUP($B136,Seqs!$A:$B,2,0),AQ136,1),"")</f>
        <v>Q</v>
      </c>
      <c r="AQ136" s="9">
        <v>299</v>
      </c>
      <c r="AR136" s="9" t="str">
        <f>IFERROR(MID(VLOOKUP($B136,Seqs!$A:$B,2,0),AS136,1),"")</f>
        <v>K</v>
      </c>
      <c r="AS136" s="9">
        <v>305</v>
      </c>
      <c r="AT136" s="9" t="str">
        <f>IFERROR(MID(VLOOKUP($B136,Seqs!$A:$B,2,0),AU136,1),"")</f>
        <v>R</v>
      </c>
      <c r="AU136" s="9">
        <v>328</v>
      </c>
      <c r="AV136" s="9" t="str">
        <f>IFERROR(MID(VLOOKUP($B136,Seqs!$A:$B,2,0),AW136,1),"")</f>
        <v>S</v>
      </c>
      <c r="AW136" s="9">
        <v>329</v>
      </c>
      <c r="AX136" s="9" t="str">
        <f>IFERROR(MID(VLOOKUP($B136,Seqs!$A:$B,2,0),AY136,1),"")</f>
        <v>C</v>
      </c>
      <c r="AY136" s="9">
        <v>341</v>
      </c>
      <c r="AZ136" s="110" t="str">
        <f>VLOOKUP(B136,Classification!A:D,2,0)</f>
        <v>A</v>
      </c>
      <c r="BA136" s="98" t="str">
        <f>VLOOKUP(B136,Classification!A:D,4,0)</f>
        <v>Adrenoceptors</v>
      </c>
      <c r="BB136" s="36" t="b">
        <f t="shared" si="954"/>
        <v>1</v>
      </c>
      <c r="BC136" s="109">
        <f t="shared" si="955"/>
        <v>243</v>
      </c>
      <c r="BD136" s="123" t="s">
        <v>23</v>
      </c>
      <c r="BE136" s="9" t="s">
        <v>1374</v>
      </c>
      <c r="BF136" s="119">
        <v>2.8</v>
      </c>
      <c r="BG136" s="51" t="s">
        <v>1</v>
      </c>
      <c r="BH136" s="51" t="s">
        <v>1</v>
      </c>
      <c r="BJ136" s="111" t="s">
        <v>1287</v>
      </c>
      <c r="BK136" s="112" t="s">
        <v>1287</v>
      </c>
      <c r="BL136" s="112" t="s">
        <v>1287</v>
      </c>
      <c r="BM136" s="112" t="s">
        <v>1287</v>
      </c>
      <c r="BN136" s="112" t="s">
        <v>1287</v>
      </c>
      <c r="BO136" s="112" t="s">
        <v>1287</v>
      </c>
      <c r="BP136" s="112" t="s">
        <v>1287</v>
      </c>
      <c r="BQ136" s="112" t="s">
        <v>1287</v>
      </c>
      <c r="BR136" s="112" t="s">
        <v>1287</v>
      </c>
      <c r="BS136" s="112" t="s">
        <v>1287</v>
      </c>
      <c r="BT136" s="112" t="s">
        <v>1287</v>
      </c>
      <c r="BU136" s="112" t="s">
        <v>1287</v>
      </c>
      <c r="BV136" s="111">
        <f t="shared" si="956"/>
        <v>31</v>
      </c>
      <c r="BW136" s="113">
        <f t="shared" si="957"/>
        <v>62</v>
      </c>
      <c r="BX136" s="114">
        <f t="shared" si="958"/>
        <v>66</v>
      </c>
      <c r="BY136" s="113">
        <f t="shared" si="959"/>
        <v>98</v>
      </c>
      <c r="BZ136" s="114">
        <f t="shared" si="960"/>
        <v>102</v>
      </c>
      <c r="CA136" s="113" t="str">
        <f t="shared" si="961"/>
        <v>-</v>
      </c>
      <c r="CB136" s="114">
        <f t="shared" si="962"/>
        <v>146</v>
      </c>
      <c r="CC136" s="113">
        <f t="shared" si="963"/>
        <v>191</v>
      </c>
      <c r="CD136" s="114">
        <f t="shared" si="964"/>
        <v>196</v>
      </c>
      <c r="CE136" s="113">
        <f t="shared" si="965"/>
        <v>266</v>
      </c>
      <c r="CF136" s="114">
        <f t="shared" si="966"/>
        <v>305</v>
      </c>
      <c r="CG136" s="113">
        <f t="shared" si="967"/>
        <v>329</v>
      </c>
      <c r="CH136" s="111">
        <f t="shared" si="968"/>
        <v>61</v>
      </c>
      <c r="CI136" s="113">
        <f t="shared" si="969"/>
        <v>65</v>
      </c>
      <c r="CJ136" s="114">
        <f t="shared" si="970"/>
        <v>96</v>
      </c>
      <c r="CK136" s="114">
        <f t="shared" si="971"/>
        <v>101</v>
      </c>
      <c r="CL136" s="114">
        <f t="shared" si="972"/>
        <v>137</v>
      </c>
      <c r="CM136" s="114" t="str">
        <f t="shared" si="973"/>
        <v>-</v>
      </c>
      <c r="CN136" s="114">
        <f t="shared" si="974"/>
        <v>172</v>
      </c>
      <c r="CO136" s="114">
        <f t="shared" si="975"/>
        <v>193</v>
      </c>
      <c r="CP136" s="114">
        <f t="shared" si="976"/>
        <v>230</v>
      </c>
      <c r="CQ136" s="114">
        <f t="shared" si="977"/>
        <v>299</v>
      </c>
      <c r="CR136" s="114">
        <f t="shared" si="978"/>
        <v>328</v>
      </c>
      <c r="CS136" s="114">
        <f t="shared" si="979"/>
        <v>341</v>
      </c>
      <c r="CT136" s="109">
        <f t="shared" si="980"/>
        <v>1</v>
      </c>
    </row>
    <row r="137" spans="1:1029" s="12" customFormat="1" x14ac:dyDescent="0.2">
      <c r="A137" s="9" t="str">
        <f t="shared" si="953"/>
        <v>adrb2_human_6PS0</v>
      </c>
      <c r="B137" s="9" t="s">
        <v>126</v>
      </c>
      <c r="C137" s="9" t="s">
        <v>1608</v>
      </c>
      <c r="D137" s="9" t="str">
        <f>IFERROR(MID(VLOOKUP($B137,Seqs!$A:$B,2,0),E137,1),"")</f>
        <v>V</v>
      </c>
      <c r="E137" s="9">
        <v>31</v>
      </c>
      <c r="F137" s="9" t="str">
        <f>IFERROR(MID(VLOOKUP($B137,Seqs!$A:$B,2,0),G137,1),"")</f>
        <v>F</v>
      </c>
      <c r="G137" s="9">
        <v>61</v>
      </c>
      <c r="H137" s="9" t="str">
        <f>IFERROR(MID(VLOOKUP($B137,Seqs!$A:$B,2,0),I137,1),"")</f>
        <v>E</v>
      </c>
      <c r="I137" s="109">
        <v>62</v>
      </c>
      <c r="J137" s="9" t="str">
        <f>IFERROR(MID(VLOOKUP($B137,Seqs!$A:$B,2,0),K137,1),"")</f>
        <v>Q</v>
      </c>
      <c r="K137" s="109">
        <v>65</v>
      </c>
      <c r="L137" s="9" t="str">
        <f>IFERROR(MID(VLOOKUP($B137,Seqs!$A:$B,2,0),M137,1),"")</f>
        <v>T</v>
      </c>
      <c r="M137" s="9">
        <v>66</v>
      </c>
      <c r="N137" s="9" t="str">
        <f>IFERROR(MID(VLOOKUP($B137,Seqs!$A:$B,2,0),O137,1),"")</f>
        <v>M</v>
      </c>
      <c r="O137" s="9">
        <v>96</v>
      </c>
      <c r="P137" s="9" t="str">
        <f>IFERROR(MID(VLOOKUP($B137,Seqs!$A:$B,2,0),Q137,1),"")</f>
        <v>M</v>
      </c>
      <c r="Q137" s="9">
        <v>98</v>
      </c>
      <c r="R137" s="9" t="str">
        <f>IFERROR(MID(VLOOKUP($B137,Seqs!$A:$B,2,0),S137,1),"")</f>
        <v>F</v>
      </c>
      <c r="S137" s="9">
        <v>101</v>
      </c>
      <c r="T137" s="9" t="str">
        <f>IFERROR(MID(VLOOKUP($B137,Seqs!$A:$B,2,0),U137,1),"")</f>
        <v>G</v>
      </c>
      <c r="U137" s="9">
        <v>102</v>
      </c>
      <c r="V137" s="9" t="str">
        <f>IFERROR(MID(VLOOKUP($B137,Seqs!$A:$B,2,0),W137,1),"")</f>
        <v>S</v>
      </c>
      <c r="W137" s="9">
        <v>137</v>
      </c>
      <c r="X137" s="9" t="str">
        <f>IFERROR(MID(VLOOKUP($B137,Seqs!$A:$B,2,0),Y137,1),"")</f>
        <v/>
      </c>
      <c r="Y137" s="9" t="s">
        <v>23</v>
      </c>
      <c r="Z137" s="9" t="str">
        <f>IFERROR(MID(VLOOKUP($B137,Seqs!$A:$B,2,0),AA137,1),"")</f>
        <v/>
      </c>
      <c r="AA137" s="9" t="s">
        <v>23</v>
      </c>
      <c r="AB137" s="9" t="str">
        <f>IFERROR(MID(VLOOKUP($B137,Seqs!$A:$B,2,0),AC137,1),"")</f>
        <v>T</v>
      </c>
      <c r="AC137" s="9">
        <v>146</v>
      </c>
      <c r="AD137" s="9" t="str">
        <f>IFERROR(MID(VLOOKUP($B137,Seqs!$A:$B,2,0),AE137,1),"")</f>
        <v>H</v>
      </c>
      <c r="AE137" s="9">
        <v>172</v>
      </c>
      <c r="AF137" s="9" t="str">
        <f>IFERROR(MID(VLOOKUP($B137,Seqs!$A:$B,2,0),AG137,1),"")</f>
        <v>C</v>
      </c>
      <c r="AG137" s="9">
        <v>191</v>
      </c>
      <c r="AH137" s="9" t="str">
        <f>IFERROR(MID(VLOOKUP($B137,Seqs!$A:$B,2,0),AI137,1),"")</f>
        <v>F</v>
      </c>
      <c r="AI137" s="9">
        <v>193</v>
      </c>
      <c r="AJ137" s="9" t="str">
        <f>IFERROR(MID(VLOOKUP($B137,Seqs!$A:$B,2,0),AK137,1),"")</f>
        <v>N</v>
      </c>
      <c r="AK137" s="9">
        <v>196</v>
      </c>
      <c r="AL137" s="9" t="str">
        <f>IFERROR(MID(VLOOKUP($B137,Seqs!$A:$B,2,0),AM137,1),"")</f>
        <v>L</v>
      </c>
      <c r="AM137" s="9">
        <v>230</v>
      </c>
      <c r="AN137" s="9" t="str">
        <f>IFERROR(MID(VLOOKUP($B137,Seqs!$A:$B,2,0),AO137,1),"")</f>
        <v>L</v>
      </c>
      <c r="AO137" s="9">
        <v>266</v>
      </c>
      <c r="AP137" s="9" t="str">
        <f>IFERROR(MID(VLOOKUP($B137,Seqs!$A:$B,2,0),AQ137,1),"")</f>
        <v>Q</v>
      </c>
      <c r="AQ137" s="9">
        <v>299</v>
      </c>
      <c r="AR137" s="9" t="str">
        <f>IFERROR(MID(VLOOKUP($B137,Seqs!$A:$B,2,0),AS137,1),"")</f>
        <v>K</v>
      </c>
      <c r="AS137" s="9">
        <v>305</v>
      </c>
      <c r="AT137" s="9" t="str">
        <f>IFERROR(MID(VLOOKUP($B137,Seqs!$A:$B,2,0),AU137,1),"")</f>
        <v>R</v>
      </c>
      <c r="AU137" s="9">
        <v>328</v>
      </c>
      <c r="AV137" s="9" t="str">
        <f>IFERROR(MID(VLOOKUP($B137,Seqs!$A:$B,2,0),AW137,1),"")</f>
        <v>S</v>
      </c>
      <c r="AW137" s="9">
        <v>329</v>
      </c>
      <c r="AX137" s="9" t="str">
        <f>IFERROR(MID(VLOOKUP($B137,Seqs!$A:$B,2,0),AY137,1),"")</f>
        <v>C</v>
      </c>
      <c r="AY137" s="9">
        <v>341</v>
      </c>
      <c r="AZ137" s="110" t="str">
        <f>VLOOKUP(B137,Classification!A:D,2,0)</f>
        <v>A</v>
      </c>
      <c r="BA137" s="98" t="str">
        <f>VLOOKUP(B137,Classification!A:D,4,0)</f>
        <v>Adrenoceptors</v>
      </c>
      <c r="BB137" s="36" t="b">
        <f t="shared" si="954"/>
        <v>1</v>
      </c>
      <c r="BC137" s="109">
        <f t="shared" si="955"/>
        <v>243</v>
      </c>
      <c r="BD137" s="123" t="s">
        <v>23</v>
      </c>
      <c r="BE137" s="9" t="s">
        <v>1374</v>
      </c>
      <c r="BF137" s="119">
        <v>3.4</v>
      </c>
      <c r="BG137" s="51" t="s">
        <v>1</v>
      </c>
      <c r="BH137" s="51" t="s">
        <v>1</v>
      </c>
      <c r="BJ137" s="111" t="s">
        <v>1287</v>
      </c>
      <c r="BK137" s="112" t="s">
        <v>1287</v>
      </c>
      <c r="BL137" s="112" t="s">
        <v>1287</v>
      </c>
      <c r="BM137" s="112" t="s">
        <v>1287</v>
      </c>
      <c r="BN137" s="112" t="s">
        <v>1287</v>
      </c>
      <c r="BO137" s="112" t="s">
        <v>1287</v>
      </c>
      <c r="BP137" s="112" t="s">
        <v>1287</v>
      </c>
      <c r="BQ137" s="112" t="s">
        <v>1287</v>
      </c>
      <c r="BR137" s="112" t="s">
        <v>1287</v>
      </c>
      <c r="BS137" s="112" t="s">
        <v>1287</v>
      </c>
      <c r="BT137" s="112" t="s">
        <v>1287</v>
      </c>
      <c r="BU137" s="112" t="s">
        <v>1287</v>
      </c>
      <c r="BV137" s="111">
        <f t="shared" si="956"/>
        <v>31</v>
      </c>
      <c r="BW137" s="113">
        <f t="shared" si="957"/>
        <v>62</v>
      </c>
      <c r="BX137" s="114">
        <f t="shared" si="958"/>
        <v>66</v>
      </c>
      <c r="BY137" s="113">
        <f t="shared" si="959"/>
        <v>98</v>
      </c>
      <c r="BZ137" s="114">
        <f t="shared" si="960"/>
        <v>102</v>
      </c>
      <c r="CA137" s="113" t="str">
        <f t="shared" si="961"/>
        <v>-</v>
      </c>
      <c r="CB137" s="114">
        <f t="shared" si="962"/>
        <v>146</v>
      </c>
      <c r="CC137" s="113">
        <f t="shared" si="963"/>
        <v>191</v>
      </c>
      <c r="CD137" s="114">
        <f t="shared" si="964"/>
        <v>196</v>
      </c>
      <c r="CE137" s="113">
        <f t="shared" si="965"/>
        <v>266</v>
      </c>
      <c r="CF137" s="114">
        <f t="shared" si="966"/>
        <v>305</v>
      </c>
      <c r="CG137" s="113">
        <f t="shared" si="967"/>
        <v>329</v>
      </c>
      <c r="CH137" s="111">
        <f t="shared" si="968"/>
        <v>61</v>
      </c>
      <c r="CI137" s="113">
        <f t="shared" si="969"/>
        <v>65</v>
      </c>
      <c r="CJ137" s="114">
        <f t="shared" si="970"/>
        <v>96</v>
      </c>
      <c r="CK137" s="114">
        <f t="shared" si="971"/>
        <v>101</v>
      </c>
      <c r="CL137" s="114">
        <f t="shared" si="972"/>
        <v>137</v>
      </c>
      <c r="CM137" s="114" t="str">
        <f t="shared" si="973"/>
        <v>-</v>
      </c>
      <c r="CN137" s="114">
        <f t="shared" si="974"/>
        <v>172</v>
      </c>
      <c r="CO137" s="114">
        <f t="shared" si="975"/>
        <v>193</v>
      </c>
      <c r="CP137" s="114">
        <f t="shared" si="976"/>
        <v>230</v>
      </c>
      <c r="CQ137" s="114">
        <f t="shared" si="977"/>
        <v>299</v>
      </c>
      <c r="CR137" s="114">
        <f t="shared" si="978"/>
        <v>328</v>
      </c>
      <c r="CS137" s="114">
        <f t="shared" si="979"/>
        <v>341</v>
      </c>
      <c r="CT137" s="109">
        <f t="shared" si="980"/>
        <v>1</v>
      </c>
    </row>
    <row r="138" spans="1:1029" s="12" customFormat="1" x14ac:dyDescent="0.2">
      <c r="A138" s="9" t="str">
        <f t="shared" si="953"/>
        <v>adrb2_human_6PS1</v>
      </c>
      <c r="B138" s="9" t="s">
        <v>126</v>
      </c>
      <c r="C138" s="9" t="s">
        <v>1609</v>
      </c>
      <c r="D138" s="9" t="str">
        <f>IFERROR(MID(VLOOKUP($B138,Seqs!$A:$B,2,0),E138,1),"")</f>
        <v>D</v>
      </c>
      <c r="E138" s="9">
        <v>29</v>
      </c>
      <c r="F138" s="9" t="str">
        <f>IFERROR(MID(VLOOKUP($B138,Seqs!$A:$B,2,0),G138,1),"")</f>
        <v>F</v>
      </c>
      <c r="G138" s="9">
        <v>61</v>
      </c>
      <c r="H138" s="9" t="str">
        <f>IFERROR(MID(VLOOKUP($B138,Seqs!$A:$B,2,0),I138,1),"")</f>
        <v>E</v>
      </c>
      <c r="I138" s="109">
        <v>62</v>
      </c>
      <c r="J138" s="9" t="str">
        <f>IFERROR(MID(VLOOKUP($B138,Seqs!$A:$B,2,0),K138,1),"")</f>
        <v>Q</v>
      </c>
      <c r="K138" s="109">
        <v>65</v>
      </c>
      <c r="L138" s="9" t="str">
        <f>IFERROR(MID(VLOOKUP($B138,Seqs!$A:$B,2,0),M138,1),"")</f>
        <v>T</v>
      </c>
      <c r="M138" s="9">
        <v>66</v>
      </c>
      <c r="N138" s="9" t="str">
        <f>IFERROR(MID(VLOOKUP($B138,Seqs!$A:$B,2,0),O138,1),"")</f>
        <v>M</v>
      </c>
      <c r="O138" s="9">
        <v>96</v>
      </c>
      <c r="P138" s="9" t="str">
        <f>IFERROR(MID(VLOOKUP($B138,Seqs!$A:$B,2,0),Q138,1),"")</f>
        <v>M</v>
      </c>
      <c r="Q138" s="9">
        <v>98</v>
      </c>
      <c r="R138" s="9" t="str">
        <f>IFERROR(MID(VLOOKUP($B138,Seqs!$A:$B,2,0),S138,1),"")</f>
        <v>F</v>
      </c>
      <c r="S138" s="9">
        <v>101</v>
      </c>
      <c r="T138" s="9" t="str">
        <f>IFERROR(MID(VLOOKUP($B138,Seqs!$A:$B,2,0),U138,1),"")</f>
        <v>G</v>
      </c>
      <c r="U138" s="9">
        <v>102</v>
      </c>
      <c r="V138" s="9" t="str">
        <f>IFERROR(MID(VLOOKUP($B138,Seqs!$A:$B,2,0),W138,1),"")</f>
        <v>S</v>
      </c>
      <c r="W138" s="9">
        <v>137</v>
      </c>
      <c r="X138" s="9" t="str">
        <f>IFERROR(MID(VLOOKUP($B138,Seqs!$A:$B,2,0),Y138,1),"")</f>
        <v/>
      </c>
      <c r="Y138" s="9" t="s">
        <v>23</v>
      </c>
      <c r="Z138" s="9" t="str">
        <f>IFERROR(MID(VLOOKUP($B138,Seqs!$A:$B,2,0),AA138,1),"")</f>
        <v/>
      </c>
      <c r="AA138" s="9" t="s">
        <v>23</v>
      </c>
      <c r="AB138" s="9" t="str">
        <f>IFERROR(MID(VLOOKUP($B138,Seqs!$A:$B,2,0),AC138,1),"")</f>
        <v>T</v>
      </c>
      <c r="AC138" s="9">
        <v>146</v>
      </c>
      <c r="AD138" s="9" t="str">
        <f>IFERROR(MID(VLOOKUP($B138,Seqs!$A:$B,2,0),AE138,1),"")</f>
        <v>H</v>
      </c>
      <c r="AE138" s="9">
        <v>172</v>
      </c>
      <c r="AF138" s="9" t="str">
        <f>IFERROR(MID(VLOOKUP($B138,Seqs!$A:$B,2,0),AG138,1),"")</f>
        <v>C</v>
      </c>
      <c r="AG138" s="9">
        <v>191</v>
      </c>
      <c r="AH138" s="9" t="str">
        <f>IFERROR(MID(VLOOKUP($B138,Seqs!$A:$B,2,0),AI138,1),"")</f>
        <v>F</v>
      </c>
      <c r="AI138" s="9">
        <v>193</v>
      </c>
      <c r="AJ138" s="9" t="str">
        <f>IFERROR(MID(VLOOKUP($B138,Seqs!$A:$B,2,0),AK138,1),"")</f>
        <v>N</v>
      </c>
      <c r="AK138" s="9">
        <v>196</v>
      </c>
      <c r="AL138" s="9" t="str">
        <f>IFERROR(MID(VLOOKUP($B138,Seqs!$A:$B,2,0),AM138,1),"")</f>
        <v>L</v>
      </c>
      <c r="AM138" s="9">
        <v>230</v>
      </c>
      <c r="AN138" s="9" t="str">
        <f>IFERROR(MID(VLOOKUP($B138,Seqs!$A:$B,2,0),AO138,1),"")</f>
        <v>L</v>
      </c>
      <c r="AO138" s="9">
        <v>266</v>
      </c>
      <c r="AP138" s="9" t="str">
        <f>IFERROR(MID(VLOOKUP($B138,Seqs!$A:$B,2,0),AQ138,1),"")</f>
        <v>Q</v>
      </c>
      <c r="AQ138" s="9">
        <v>299</v>
      </c>
      <c r="AR138" s="9" t="str">
        <f>IFERROR(MID(VLOOKUP($B138,Seqs!$A:$B,2,0),AS138,1),"")</f>
        <v>K</v>
      </c>
      <c r="AS138" s="9">
        <v>305</v>
      </c>
      <c r="AT138" s="9" t="str">
        <f>IFERROR(MID(VLOOKUP($B138,Seqs!$A:$B,2,0),AU138,1),"")</f>
        <v>R</v>
      </c>
      <c r="AU138" s="9">
        <v>328</v>
      </c>
      <c r="AV138" s="9" t="str">
        <f>IFERROR(MID(VLOOKUP($B138,Seqs!$A:$B,2,0),AW138,1),"")</f>
        <v>S</v>
      </c>
      <c r="AW138" s="9">
        <v>329</v>
      </c>
      <c r="AX138" s="9" t="str">
        <f>IFERROR(MID(VLOOKUP($B138,Seqs!$A:$B,2,0),AY138,1),"")</f>
        <v>C</v>
      </c>
      <c r="AY138" s="9">
        <v>341</v>
      </c>
      <c r="AZ138" s="110" t="str">
        <f>VLOOKUP(B138,Classification!A:D,2,0)</f>
        <v>A</v>
      </c>
      <c r="BA138" s="98" t="str">
        <f>VLOOKUP(B138,Classification!A:D,4,0)</f>
        <v>Adrenoceptors</v>
      </c>
      <c r="BB138" s="36" t="b">
        <f t="shared" si="954"/>
        <v>1</v>
      </c>
      <c r="BC138" s="109">
        <f t="shared" si="955"/>
        <v>245</v>
      </c>
      <c r="BD138" s="123" t="s">
        <v>23</v>
      </c>
      <c r="BE138" s="9" t="s">
        <v>1374</v>
      </c>
      <c r="BF138" s="119">
        <v>3.2</v>
      </c>
      <c r="BG138" s="51" t="s">
        <v>1</v>
      </c>
      <c r="BH138" s="51" t="s">
        <v>1</v>
      </c>
      <c r="BJ138" s="111" t="s">
        <v>1287</v>
      </c>
      <c r="BK138" s="112" t="s">
        <v>1287</v>
      </c>
      <c r="BL138" s="112" t="s">
        <v>1287</v>
      </c>
      <c r="BM138" s="112" t="s">
        <v>1287</v>
      </c>
      <c r="BN138" s="112" t="s">
        <v>1287</v>
      </c>
      <c r="BO138" s="112" t="s">
        <v>1287</v>
      </c>
      <c r="BP138" s="112" t="s">
        <v>1287</v>
      </c>
      <c r="BQ138" s="112" t="s">
        <v>1287</v>
      </c>
      <c r="BR138" s="112" t="s">
        <v>1287</v>
      </c>
      <c r="BS138" s="112" t="s">
        <v>1287</v>
      </c>
      <c r="BT138" s="112" t="s">
        <v>1287</v>
      </c>
      <c r="BU138" s="112" t="s">
        <v>1287</v>
      </c>
      <c r="BV138" s="111">
        <f t="shared" si="956"/>
        <v>29</v>
      </c>
      <c r="BW138" s="113">
        <f t="shared" si="957"/>
        <v>62</v>
      </c>
      <c r="BX138" s="114">
        <f t="shared" si="958"/>
        <v>66</v>
      </c>
      <c r="BY138" s="113">
        <f t="shared" si="959"/>
        <v>98</v>
      </c>
      <c r="BZ138" s="114">
        <f t="shared" si="960"/>
        <v>102</v>
      </c>
      <c r="CA138" s="113" t="str">
        <f t="shared" si="961"/>
        <v>-</v>
      </c>
      <c r="CB138" s="114">
        <f t="shared" si="962"/>
        <v>146</v>
      </c>
      <c r="CC138" s="113">
        <f t="shared" si="963"/>
        <v>191</v>
      </c>
      <c r="CD138" s="114">
        <f t="shared" si="964"/>
        <v>196</v>
      </c>
      <c r="CE138" s="113">
        <f t="shared" si="965"/>
        <v>266</v>
      </c>
      <c r="CF138" s="114">
        <f t="shared" si="966"/>
        <v>305</v>
      </c>
      <c r="CG138" s="113">
        <f t="shared" si="967"/>
        <v>329</v>
      </c>
      <c r="CH138" s="111">
        <f t="shared" si="968"/>
        <v>61</v>
      </c>
      <c r="CI138" s="113">
        <f t="shared" si="969"/>
        <v>65</v>
      </c>
      <c r="CJ138" s="114">
        <f t="shared" si="970"/>
        <v>96</v>
      </c>
      <c r="CK138" s="114">
        <f t="shared" si="971"/>
        <v>101</v>
      </c>
      <c r="CL138" s="114">
        <f t="shared" si="972"/>
        <v>137</v>
      </c>
      <c r="CM138" s="114" t="str">
        <f t="shared" si="973"/>
        <v>-</v>
      </c>
      <c r="CN138" s="114">
        <f t="shared" si="974"/>
        <v>172</v>
      </c>
      <c r="CO138" s="114">
        <f t="shared" si="975"/>
        <v>193</v>
      </c>
      <c r="CP138" s="114">
        <f t="shared" si="976"/>
        <v>230</v>
      </c>
      <c r="CQ138" s="114">
        <f t="shared" si="977"/>
        <v>299</v>
      </c>
      <c r="CR138" s="114">
        <f t="shared" si="978"/>
        <v>328</v>
      </c>
      <c r="CS138" s="114">
        <f t="shared" si="979"/>
        <v>341</v>
      </c>
      <c r="CT138" s="109">
        <f t="shared" si="980"/>
        <v>1</v>
      </c>
    </row>
    <row r="139" spans="1:1029" s="12" customFormat="1" x14ac:dyDescent="0.2">
      <c r="A139" s="9" t="str">
        <f t="shared" si="953"/>
        <v>adrb2_human_6PS2</v>
      </c>
      <c r="B139" s="9" t="s">
        <v>126</v>
      </c>
      <c r="C139" s="9" t="s">
        <v>1610</v>
      </c>
      <c r="D139" s="9" t="str">
        <f>IFERROR(MID(VLOOKUP($B139,Seqs!$A:$B,2,0),E139,1),"")</f>
        <v>D</v>
      </c>
      <c r="E139" s="9">
        <v>29</v>
      </c>
      <c r="F139" s="9" t="str">
        <f>IFERROR(MID(VLOOKUP($B139,Seqs!$A:$B,2,0),G139,1),"")</f>
        <v>F</v>
      </c>
      <c r="G139" s="9">
        <v>61</v>
      </c>
      <c r="H139" s="9" t="str">
        <f>IFERROR(MID(VLOOKUP($B139,Seqs!$A:$B,2,0),I139,1),"")</f>
        <v>E</v>
      </c>
      <c r="I139" s="109">
        <v>62</v>
      </c>
      <c r="J139" s="9" t="str">
        <f>IFERROR(MID(VLOOKUP($B139,Seqs!$A:$B,2,0),K139,1),"")</f>
        <v>Q</v>
      </c>
      <c r="K139" s="109">
        <v>65</v>
      </c>
      <c r="L139" s="9" t="str">
        <f>IFERROR(MID(VLOOKUP($B139,Seqs!$A:$B,2,0),M139,1),"")</f>
        <v>T</v>
      </c>
      <c r="M139" s="9">
        <v>66</v>
      </c>
      <c r="N139" s="9" t="str">
        <f>IFERROR(MID(VLOOKUP($B139,Seqs!$A:$B,2,0),O139,1),"")</f>
        <v>M</v>
      </c>
      <c r="O139" s="9">
        <v>96</v>
      </c>
      <c r="P139" s="9" t="str">
        <f>IFERROR(MID(VLOOKUP($B139,Seqs!$A:$B,2,0),Q139,1),"")</f>
        <v>M</v>
      </c>
      <c r="Q139" s="9">
        <v>98</v>
      </c>
      <c r="R139" s="9" t="str">
        <f>IFERROR(MID(VLOOKUP($B139,Seqs!$A:$B,2,0),S139,1),"")</f>
        <v>F</v>
      </c>
      <c r="S139" s="9">
        <v>101</v>
      </c>
      <c r="T139" s="9" t="str">
        <f>IFERROR(MID(VLOOKUP($B139,Seqs!$A:$B,2,0),U139,1),"")</f>
        <v>G</v>
      </c>
      <c r="U139" s="9">
        <v>102</v>
      </c>
      <c r="V139" s="9" t="str">
        <f>IFERROR(MID(VLOOKUP($B139,Seqs!$A:$B,2,0),W139,1),"")</f>
        <v>S</v>
      </c>
      <c r="W139" s="9">
        <v>137</v>
      </c>
      <c r="X139" s="9" t="str">
        <f>IFERROR(MID(VLOOKUP($B139,Seqs!$A:$B,2,0),Y139,1),"")</f>
        <v/>
      </c>
      <c r="Y139" s="9" t="s">
        <v>23</v>
      </c>
      <c r="Z139" s="9" t="str">
        <f>IFERROR(MID(VLOOKUP($B139,Seqs!$A:$B,2,0),AA139,1),"")</f>
        <v/>
      </c>
      <c r="AA139" s="9" t="s">
        <v>23</v>
      </c>
      <c r="AB139" s="9" t="str">
        <f>IFERROR(MID(VLOOKUP($B139,Seqs!$A:$B,2,0),AC139,1),"")</f>
        <v>T</v>
      </c>
      <c r="AC139" s="9">
        <v>146</v>
      </c>
      <c r="AD139" s="9" t="str">
        <f>IFERROR(MID(VLOOKUP($B139,Seqs!$A:$B,2,0),AE139,1),"")</f>
        <v>H</v>
      </c>
      <c r="AE139" s="9">
        <v>172</v>
      </c>
      <c r="AF139" s="9" t="str">
        <f>IFERROR(MID(VLOOKUP($B139,Seqs!$A:$B,2,0),AG139,1),"")</f>
        <v>C</v>
      </c>
      <c r="AG139" s="9">
        <v>191</v>
      </c>
      <c r="AH139" s="9" t="str">
        <f>IFERROR(MID(VLOOKUP($B139,Seqs!$A:$B,2,0),AI139,1),"")</f>
        <v>F</v>
      </c>
      <c r="AI139" s="9">
        <v>193</v>
      </c>
      <c r="AJ139" s="9" t="str">
        <f>IFERROR(MID(VLOOKUP($B139,Seqs!$A:$B,2,0),AK139,1),"")</f>
        <v>N</v>
      </c>
      <c r="AK139" s="9">
        <v>196</v>
      </c>
      <c r="AL139" s="9" t="str">
        <f>IFERROR(MID(VLOOKUP($B139,Seqs!$A:$B,2,0),AM139,1),"")</f>
        <v>L</v>
      </c>
      <c r="AM139" s="9">
        <v>230</v>
      </c>
      <c r="AN139" s="9" t="str">
        <f>IFERROR(MID(VLOOKUP($B139,Seqs!$A:$B,2,0),AO139,1),"")</f>
        <v>L</v>
      </c>
      <c r="AO139" s="9">
        <v>266</v>
      </c>
      <c r="AP139" s="9" t="str">
        <f>IFERROR(MID(VLOOKUP($B139,Seqs!$A:$B,2,0),AQ139,1),"")</f>
        <v>D</v>
      </c>
      <c r="AQ139" s="9">
        <v>300</v>
      </c>
      <c r="AR139" s="9" t="str">
        <f>IFERROR(MID(VLOOKUP($B139,Seqs!$A:$B,2,0),AS139,1),"")</f>
        <v>K</v>
      </c>
      <c r="AS139" s="9">
        <v>305</v>
      </c>
      <c r="AT139" s="9" t="str">
        <f>IFERROR(MID(VLOOKUP($B139,Seqs!$A:$B,2,0),AU139,1),"")</f>
        <v>R</v>
      </c>
      <c r="AU139" s="9">
        <v>328</v>
      </c>
      <c r="AV139" s="9" t="str">
        <f>IFERROR(MID(VLOOKUP($B139,Seqs!$A:$B,2,0),AW139,1),"")</f>
        <v>S</v>
      </c>
      <c r="AW139" s="9">
        <v>329</v>
      </c>
      <c r="AX139" s="9" t="str">
        <f>IFERROR(MID(VLOOKUP($B139,Seqs!$A:$B,2,0),AY139,1),"")</f>
        <v>C</v>
      </c>
      <c r="AY139" s="9">
        <v>341</v>
      </c>
      <c r="AZ139" s="110" t="str">
        <f>VLOOKUP(B139,Classification!A:D,2,0)</f>
        <v>A</v>
      </c>
      <c r="BA139" s="98" t="str">
        <f>VLOOKUP(B139,Classification!A:D,4,0)</f>
        <v>Adrenoceptors</v>
      </c>
      <c r="BB139" s="36" t="b">
        <f t="shared" si="954"/>
        <v>1</v>
      </c>
      <c r="BC139" s="109">
        <f t="shared" si="955"/>
        <v>246</v>
      </c>
      <c r="BD139" s="123" t="s">
        <v>23</v>
      </c>
      <c r="BE139" s="9" t="s">
        <v>1374</v>
      </c>
      <c r="BF139" s="119">
        <v>2.4</v>
      </c>
      <c r="BG139" s="51" t="s">
        <v>1</v>
      </c>
      <c r="BH139" s="51" t="s">
        <v>1</v>
      </c>
      <c r="BJ139" s="111" t="s">
        <v>1287</v>
      </c>
      <c r="BK139" s="112" t="s">
        <v>1287</v>
      </c>
      <c r="BL139" s="112" t="s">
        <v>1287</v>
      </c>
      <c r="BM139" s="112" t="s">
        <v>1287</v>
      </c>
      <c r="BN139" s="112" t="s">
        <v>1287</v>
      </c>
      <c r="BO139" s="112" t="s">
        <v>1287</v>
      </c>
      <c r="BP139" s="112" t="s">
        <v>1287</v>
      </c>
      <c r="BQ139" s="112" t="s">
        <v>1287</v>
      </c>
      <c r="BR139" s="112" t="s">
        <v>1287</v>
      </c>
      <c r="BS139" s="112" t="s">
        <v>1287</v>
      </c>
      <c r="BT139" s="112" t="s">
        <v>1287</v>
      </c>
      <c r="BU139" s="112" t="s">
        <v>1287</v>
      </c>
      <c r="BV139" s="111">
        <f t="shared" si="956"/>
        <v>29</v>
      </c>
      <c r="BW139" s="113">
        <f t="shared" si="957"/>
        <v>62</v>
      </c>
      <c r="BX139" s="114">
        <f t="shared" si="958"/>
        <v>66</v>
      </c>
      <c r="BY139" s="113">
        <f t="shared" si="959"/>
        <v>98</v>
      </c>
      <c r="BZ139" s="114">
        <f t="shared" si="960"/>
        <v>102</v>
      </c>
      <c r="CA139" s="113" t="str">
        <f t="shared" si="961"/>
        <v>-</v>
      </c>
      <c r="CB139" s="114">
        <f t="shared" si="962"/>
        <v>146</v>
      </c>
      <c r="CC139" s="113">
        <f t="shared" si="963"/>
        <v>191</v>
      </c>
      <c r="CD139" s="114">
        <f t="shared" si="964"/>
        <v>196</v>
      </c>
      <c r="CE139" s="113">
        <f t="shared" si="965"/>
        <v>266</v>
      </c>
      <c r="CF139" s="114">
        <f t="shared" si="966"/>
        <v>305</v>
      </c>
      <c r="CG139" s="113">
        <f t="shared" si="967"/>
        <v>329</v>
      </c>
      <c r="CH139" s="111">
        <f t="shared" si="968"/>
        <v>61</v>
      </c>
      <c r="CI139" s="113">
        <f t="shared" si="969"/>
        <v>65</v>
      </c>
      <c r="CJ139" s="114">
        <f t="shared" si="970"/>
        <v>96</v>
      </c>
      <c r="CK139" s="114">
        <f t="shared" si="971"/>
        <v>101</v>
      </c>
      <c r="CL139" s="114">
        <f t="shared" si="972"/>
        <v>137</v>
      </c>
      <c r="CM139" s="114" t="str">
        <f t="shared" si="973"/>
        <v>-</v>
      </c>
      <c r="CN139" s="114">
        <f t="shared" si="974"/>
        <v>172</v>
      </c>
      <c r="CO139" s="114">
        <f t="shared" si="975"/>
        <v>193</v>
      </c>
      <c r="CP139" s="114">
        <f t="shared" si="976"/>
        <v>230</v>
      </c>
      <c r="CQ139" s="114">
        <f t="shared" si="977"/>
        <v>300</v>
      </c>
      <c r="CR139" s="114">
        <f t="shared" si="978"/>
        <v>328</v>
      </c>
      <c r="CS139" s="114">
        <f t="shared" si="979"/>
        <v>341</v>
      </c>
      <c r="CT139" s="109">
        <f t="shared" si="980"/>
        <v>1</v>
      </c>
    </row>
    <row r="140" spans="1:1029" s="12" customFormat="1" x14ac:dyDescent="0.2">
      <c r="A140" s="9" t="str">
        <f t="shared" si="953"/>
        <v>adrb2_human_6PS3</v>
      </c>
      <c r="B140" s="9" t="s">
        <v>126</v>
      </c>
      <c r="C140" s="9" t="s">
        <v>1611</v>
      </c>
      <c r="D140" s="9" t="str">
        <f>IFERROR(MID(VLOOKUP($B140,Seqs!$A:$B,2,0),E140,1),"")</f>
        <v>D</v>
      </c>
      <c r="E140" s="9">
        <v>29</v>
      </c>
      <c r="F140" s="9" t="str">
        <f>IFERROR(MID(VLOOKUP($B140,Seqs!$A:$B,2,0),G140,1),"")</f>
        <v>F</v>
      </c>
      <c r="G140" s="9">
        <v>61</v>
      </c>
      <c r="H140" s="9" t="str">
        <f>IFERROR(MID(VLOOKUP($B140,Seqs!$A:$B,2,0),I140,1),"")</f>
        <v>E</v>
      </c>
      <c r="I140" s="109">
        <v>62</v>
      </c>
      <c r="J140" s="9" t="str">
        <f>IFERROR(MID(VLOOKUP($B140,Seqs!$A:$B,2,0),K140,1),"")</f>
        <v>Q</v>
      </c>
      <c r="K140" s="109">
        <v>65</v>
      </c>
      <c r="L140" s="9" t="str">
        <f>IFERROR(MID(VLOOKUP($B140,Seqs!$A:$B,2,0),M140,1),"")</f>
        <v>T</v>
      </c>
      <c r="M140" s="9">
        <v>66</v>
      </c>
      <c r="N140" s="9" t="str">
        <f>IFERROR(MID(VLOOKUP($B140,Seqs!$A:$B,2,0),O140,1),"")</f>
        <v>M</v>
      </c>
      <c r="O140" s="9">
        <v>96</v>
      </c>
      <c r="P140" s="9" t="str">
        <f>IFERROR(MID(VLOOKUP($B140,Seqs!$A:$B,2,0),Q140,1),"")</f>
        <v>M</v>
      </c>
      <c r="Q140" s="9">
        <v>98</v>
      </c>
      <c r="R140" s="9" t="str">
        <f>IFERROR(MID(VLOOKUP($B140,Seqs!$A:$B,2,0),S140,1),"")</f>
        <v>F</v>
      </c>
      <c r="S140" s="9">
        <v>101</v>
      </c>
      <c r="T140" s="9" t="str">
        <f>IFERROR(MID(VLOOKUP($B140,Seqs!$A:$B,2,0),U140,1),"")</f>
        <v>G</v>
      </c>
      <c r="U140" s="9">
        <v>102</v>
      </c>
      <c r="V140" s="9" t="str">
        <f>IFERROR(MID(VLOOKUP($B140,Seqs!$A:$B,2,0),W140,1),"")</f>
        <v>S</v>
      </c>
      <c r="W140" s="9">
        <v>137</v>
      </c>
      <c r="X140" s="9" t="str">
        <f>IFERROR(MID(VLOOKUP($B140,Seqs!$A:$B,2,0),Y140,1),"")</f>
        <v/>
      </c>
      <c r="Y140" s="9" t="s">
        <v>23</v>
      </c>
      <c r="Z140" s="9" t="str">
        <f>IFERROR(MID(VLOOKUP($B140,Seqs!$A:$B,2,0),AA140,1),"")</f>
        <v/>
      </c>
      <c r="AA140" s="9" t="s">
        <v>23</v>
      </c>
      <c r="AB140" s="9" t="str">
        <f>IFERROR(MID(VLOOKUP($B140,Seqs!$A:$B,2,0),AC140,1),"")</f>
        <v>T</v>
      </c>
      <c r="AC140" s="9">
        <v>146</v>
      </c>
      <c r="AD140" s="9" t="str">
        <f>IFERROR(MID(VLOOKUP($B140,Seqs!$A:$B,2,0),AE140,1),"")</f>
        <v>H</v>
      </c>
      <c r="AE140" s="9">
        <v>172</v>
      </c>
      <c r="AF140" s="9" t="str">
        <f>IFERROR(MID(VLOOKUP($B140,Seqs!$A:$B,2,0),AG140,1),"")</f>
        <v>C</v>
      </c>
      <c r="AG140" s="9">
        <v>191</v>
      </c>
      <c r="AH140" s="9" t="str">
        <f>IFERROR(MID(VLOOKUP($B140,Seqs!$A:$B,2,0),AI140,1),"")</f>
        <v>F</v>
      </c>
      <c r="AI140" s="9">
        <v>193</v>
      </c>
      <c r="AJ140" s="9" t="str">
        <f>IFERROR(MID(VLOOKUP($B140,Seqs!$A:$B,2,0),AK140,1),"")</f>
        <v>N</v>
      </c>
      <c r="AK140" s="9">
        <v>196</v>
      </c>
      <c r="AL140" s="9" t="str">
        <f>IFERROR(MID(VLOOKUP($B140,Seqs!$A:$B,2,0),AM140,1),"")</f>
        <v>L</v>
      </c>
      <c r="AM140" s="9">
        <v>230</v>
      </c>
      <c r="AN140" s="9" t="str">
        <f>IFERROR(MID(VLOOKUP($B140,Seqs!$A:$B,2,0),AO140,1),"")</f>
        <v>L</v>
      </c>
      <c r="AO140" s="9">
        <v>266</v>
      </c>
      <c r="AP140" s="9" t="str">
        <f>IFERROR(MID(VLOOKUP($B140,Seqs!$A:$B,2,0),AQ140,1),"")</f>
        <v>D</v>
      </c>
      <c r="AQ140" s="9">
        <v>300</v>
      </c>
      <c r="AR140" s="9" t="str">
        <f>IFERROR(MID(VLOOKUP($B140,Seqs!$A:$B,2,0),AS140,1),"")</f>
        <v>K</v>
      </c>
      <c r="AS140" s="9">
        <v>305</v>
      </c>
      <c r="AT140" s="9" t="str">
        <f>IFERROR(MID(VLOOKUP($B140,Seqs!$A:$B,2,0),AU140,1),"")</f>
        <v>R</v>
      </c>
      <c r="AU140" s="9">
        <v>328</v>
      </c>
      <c r="AV140" s="9" t="str">
        <f>IFERROR(MID(VLOOKUP($B140,Seqs!$A:$B,2,0),AW140,1),"")</f>
        <v>S</v>
      </c>
      <c r="AW140" s="9">
        <v>329</v>
      </c>
      <c r="AX140" s="9" t="str">
        <f>IFERROR(MID(VLOOKUP($B140,Seqs!$A:$B,2,0),AY140,1),"")</f>
        <v>C</v>
      </c>
      <c r="AY140" s="9">
        <v>341</v>
      </c>
      <c r="AZ140" s="110" t="str">
        <f>VLOOKUP(B140,Classification!A:D,2,0)</f>
        <v>A</v>
      </c>
      <c r="BA140" s="98" t="str">
        <f>VLOOKUP(B140,Classification!A:D,4,0)</f>
        <v>Adrenoceptors</v>
      </c>
      <c r="BB140" s="36" t="b">
        <f t="shared" si="954"/>
        <v>1</v>
      </c>
      <c r="BC140" s="109">
        <f t="shared" si="955"/>
        <v>246</v>
      </c>
      <c r="BD140" s="123" t="s">
        <v>23</v>
      </c>
      <c r="BE140" s="9" t="s">
        <v>1374</v>
      </c>
      <c r="BF140" s="119">
        <v>2.5</v>
      </c>
      <c r="BG140" s="51" t="s">
        <v>1</v>
      </c>
      <c r="BH140" s="51" t="s">
        <v>1</v>
      </c>
      <c r="BJ140" s="111" t="s">
        <v>1287</v>
      </c>
      <c r="BK140" s="112" t="s">
        <v>1287</v>
      </c>
      <c r="BL140" s="112" t="s">
        <v>1287</v>
      </c>
      <c r="BM140" s="112" t="s">
        <v>1287</v>
      </c>
      <c r="BN140" s="112" t="s">
        <v>1287</v>
      </c>
      <c r="BO140" s="112" t="s">
        <v>1287</v>
      </c>
      <c r="BP140" s="112" t="s">
        <v>1287</v>
      </c>
      <c r="BQ140" s="112" t="s">
        <v>1287</v>
      </c>
      <c r="BR140" s="112" t="s">
        <v>1287</v>
      </c>
      <c r="BS140" s="112" t="s">
        <v>1287</v>
      </c>
      <c r="BT140" s="112" t="s">
        <v>1287</v>
      </c>
      <c r="BU140" s="112" t="s">
        <v>1287</v>
      </c>
      <c r="BV140" s="111">
        <f t="shared" si="956"/>
        <v>29</v>
      </c>
      <c r="BW140" s="113">
        <f t="shared" si="957"/>
        <v>62</v>
      </c>
      <c r="BX140" s="114">
        <f t="shared" si="958"/>
        <v>66</v>
      </c>
      <c r="BY140" s="113">
        <f t="shared" si="959"/>
        <v>98</v>
      </c>
      <c r="BZ140" s="114">
        <f t="shared" si="960"/>
        <v>102</v>
      </c>
      <c r="CA140" s="113" t="str">
        <f t="shared" si="961"/>
        <v>-</v>
      </c>
      <c r="CB140" s="114">
        <f t="shared" si="962"/>
        <v>146</v>
      </c>
      <c r="CC140" s="113">
        <f t="shared" si="963"/>
        <v>191</v>
      </c>
      <c r="CD140" s="114">
        <f t="shared" si="964"/>
        <v>196</v>
      </c>
      <c r="CE140" s="113">
        <f t="shared" si="965"/>
        <v>266</v>
      </c>
      <c r="CF140" s="114">
        <f t="shared" si="966"/>
        <v>305</v>
      </c>
      <c r="CG140" s="113">
        <f t="shared" si="967"/>
        <v>329</v>
      </c>
      <c r="CH140" s="111">
        <f t="shared" si="968"/>
        <v>61</v>
      </c>
      <c r="CI140" s="113">
        <f t="shared" si="969"/>
        <v>65</v>
      </c>
      <c r="CJ140" s="114">
        <f t="shared" si="970"/>
        <v>96</v>
      </c>
      <c r="CK140" s="114">
        <f t="shared" si="971"/>
        <v>101</v>
      </c>
      <c r="CL140" s="114">
        <f t="shared" si="972"/>
        <v>137</v>
      </c>
      <c r="CM140" s="114" t="str">
        <f t="shared" si="973"/>
        <v>-</v>
      </c>
      <c r="CN140" s="114">
        <f t="shared" si="974"/>
        <v>172</v>
      </c>
      <c r="CO140" s="114">
        <f t="shared" si="975"/>
        <v>193</v>
      </c>
      <c r="CP140" s="114">
        <f t="shared" si="976"/>
        <v>230</v>
      </c>
      <c r="CQ140" s="114">
        <f t="shared" si="977"/>
        <v>300</v>
      </c>
      <c r="CR140" s="114">
        <f t="shared" si="978"/>
        <v>328</v>
      </c>
      <c r="CS140" s="114">
        <f t="shared" si="979"/>
        <v>341</v>
      </c>
      <c r="CT140" s="109">
        <f t="shared" si="980"/>
        <v>1</v>
      </c>
    </row>
    <row r="141" spans="1:1029" s="12" customFormat="1" x14ac:dyDescent="0.2">
      <c r="A141" s="9" t="str">
        <f t="shared" si="953"/>
        <v>adrb2_human_6PS4</v>
      </c>
      <c r="B141" s="9" t="s">
        <v>126</v>
      </c>
      <c r="C141" s="9" t="s">
        <v>1612</v>
      </c>
      <c r="D141" s="9" t="str">
        <f>IFERROR(MID(VLOOKUP($B141,Seqs!$A:$B,2,0),E141,1),"")</f>
        <v>D</v>
      </c>
      <c r="E141" s="9">
        <v>29</v>
      </c>
      <c r="F141" s="9" t="str">
        <f>IFERROR(MID(VLOOKUP($B141,Seqs!$A:$B,2,0),G141,1),"")</f>
        <v>F</v>
      </c>
      <c r="G141" s="9">
        <v>61</v>
      </c>
      <c r="H141" s="9" t="str">
        <f>IFERROR(MID(VLOOKUP($B141,Seqs!$A:$B,2,0),I141,1),"")</f>
        <v>E</v>
      </c>
      <c r="I141" s="109">
        <v>62</v>
      </c>
      <c r="J141" s="9" t="str">
        <f>IFERROR(MID(VLOOKUP($B141,Seqs!$A:$B,2,0),K141,1),"")</f>
        <v>Q</v>
      </c>
      <c r="K141" s="109">
        <v>65</v>
      </c>
      <c r="L141" s="9" t="str">
        <f>IFERROR(MID(VLOOKUP($B141,Seqs!$A:$B,2,0),M141,1),"")</f>
        <v>T</v>
      </c>
      <c r="M141" s="9">
        <v>66</v>
      </c>
      <c r="N141" s="9" t="str">
        <f>IFERROR(MID(VLOOKUP($B141,Seqs!$A:$B,2,0),O141,1),"")</f>
        <v>M</v>
      </c>
      <c r="O141" s="9">
        <v>96</v>
      </c>
      <c r="P141" s="9" t="str">
        <f>IFERROR(MID(VLOOKUP($B141,Seqs!$A:$B,2,0),Q141,1),"")</f>
        <v>M</v>
      </c>
      <c r="Q141" s="9">
        <v>98</v>
      </c>
      <c r="R141" s="9" t="str">
        <f>IFERROR(MID(VLOOKUP($B141,Seqs!$A:$B,2,0),S141,1),"")</f>
        <v>F</v>
      </c>
      <c r="S141" s="9">
        <v>101</v>
      </c>
      <c r="T141" s="9" t="str">
        <f>IFERROR(MID(VLOOKUP($B141,Seqs!$A:$B,2,0),U141,1),"")</f>
        <v>G</v>
      </c>
      <c r="U141" s="9">
        <v>102</v>
      </c>
      <c r="V141" s="9" t="str">
        <f>IFERROR(MID(VLOOKUP($B141,Seqs!$A:$B,2,0),W141,1),"")</f>
        <v>S</v>
      </c>
      <c r="W141" s="9">
        <v>137</v>
      </c>
      <c r="X141" s="9" t="str">
        <f>IFERROR(MID(VLOOKUP($B141,Seqs!$A:$B,2,0),Y141,1),"")</f>
        <v/>
      </c>
      <c r="Y141" s="9" t="s">
        <v>23</v>
      </c>
      <c r="Z141" s="9" t="str">
        <f>IFERROR(MID(VLOOKUP($B141,Seqs!$A:$B,2,0),AA141,1),"")</f>
        <v/>
      </c>
      <c r="AA141" s="9" t="s">
        <v>23</v>
      </c>
      <c r="AB141" s="9" t="str">
        <f>IFERROR(MID(VLOOKUP($B141,Seqs!$A:$B,2,0),AC141,1),"")</f>
        <v>T</v>
      </c>
      <c r="AC141" s="9">
        <v>146</v>
      </c>
      <c r="AD141" s="9" t="str">
        <f>IFERROR(MID(VLOOKUP($B141,Seqs!$A:$B,2,0),AE141,1),"")</f>
        <v>H</v>
      </c>
      <c r="AE141" s="9">
        <v>172</v>
      </c>
      <c r="AF141" s="9" t="str">
        <f>IFERROR(MID(VLOOKUP($B141,Seqs!$A:$B,2,0),AG141,1),"")</f>
        <v>C</v>
      </c>
      <c r="AG141" s="9">
        <v>191</v>
      </c>
      <c r="AH141" s="9" t="str">
        <f>IFERROR(MID(VLOOKUP($B141,Seqs!$A:$B,2,0),AI141,1),"")</f>
        <v>F</v>
      </c>
      <c r="AI141" s="9">
        <v>193</v>
      </c>
      <c r="AJ141" s="9" t="str">
        <f>IFERROR(MID(VLOOKUP($B141,Seqs!$A:$B,2,0),AK141,1),"")</f>
        <v>N</v>
      </c>
      <c r="AK141" s="9">
        <v>196</v>
      </c>
      <c r="AL141" s="9" t="str">
        <f>IFERROR(MID(VLOOKUP($B141,Seqs!$A:$B,2,0),AM141,1),"")</f>
        <v>L</v>
      </c>
      <c r="AM141" s="9">
        <v>230</v>
      </c>
      <c r="AN141" s="9" t="str">
        <f>IFERROR(MID(VLOOKUP($B141,Seqs!$A:$B,2,0),AO141,1),"")</f>
        <v>L</v>
      </c>
      <c r="AO141" s="9">
        <v>266</v>
      </c>
      <c r="AP141" s="9" t="str">
        <f>IFERROR(MID(VLOOKUP($B141,Seqs!$A:$B,2,0),AQ141,1),"")</f>
        <v>D</v>
      </c>
      <c r="AQ141" s="9">
        <v>300</v>
      </c>
      <c r="AR141" s="9" t="str">
        <f>IFERROR(MID(VLOOKUP($B141,Seqs!$A:$B,2,0),AS141,1),"")</f>
        <v>K</v>
      </c>
      <c r="AS141" s="9">
        <v>305</v>
      </c>
      <c r="AT141" s="9" t="str">
        <f>IFERROR(MID(VLOOKUP($B141,Seqs!$A:$B,2,0),AU141,1),"")</f>
        <v>R</v>
      </c>
      <c r="AU141" s="9">
        <v>328</v>
      </c>
      <c r="AV141" s="9" t="str">
        <f>IFERROR(MID(VLOOKUP($B141,Seqs!$A:$B,2,0),AW141,1),"")</f>
        <v>S</v>
      </c>
      <c r="AW141" s="9">
        <v>329</v>
      </c>
      <c r="AX141" s="9" t="str">
        <f>IFERROR(MID(VLOOKUP($B141,Seqs!$A:$B,2,0),AY141,1),"")</f>
        <v>C</v>
      </c>
      <c r="AY141" s="9">
        <v>341</v>
      </c>
      <c r="AZ141" s="110" t="str">
        <f>VLOOKUP(B141,Classification!A:D,2,0)</f>
        <v>A</v>
      </c>
      <c r="BA141" s="98" t="str">
        <f>VLOOKUP(B141,Classification!A:D,4,0)</f>
        <v>Adrenoceptors</v>
      </c>
      <c r="BB141" s="36" t="b">
        <f t="shared" si="954"/>
        <v>1</v>
      </c>
      <c r="BC141" s="109">
        <f t="shared" si="955"/>
        <v>246</v>
      </c>
      <c r="BD141" s="123" t="s">
        <v>23</v>
      </c>
      <c r="BE141" s="9" t="s">
        <v>1374</v>
      </c>
      <c r="BF141" s="119">
        <v>2.6</v>
      </c>
      <c r="BG141" s="51" t="s">
        <v>1</v>
      </c>
      <c r="BH141" s="51" t="s">
        <v>1</v>
      </c>
      <c r="BJ141" s="111" t="s">
        <v>1287</v>
      </c>
      <c r="BK141" s="112" t="s">
        <v>1287</v>
      </c>
      <c r="BL141" s="112" t="s">
        <v>1287</v>
      </c>
      <c r="BM141" s="112" t="s">
        <v>1287</v>
      </c>
      <c r="BN141" s="112" t="s">
        <v>1287</v>
      </c>
      <c r="BO141" s="112" t="s">
        <v>1287</v>
      </c>
      <c r="BP141" s="112" t="s">
        <v>1287</v>
      </c>
      <c r="BQ141" s="112" t="s">
        <v>1287</v>
      </c>
      <c r="BR141" s="112" t="s">
        <v>1287</v>
      </c>
      <c r="BS141" s="112" t="s">
        <v>1287</v>
      </c>
      <c r="BT141" s="112" t="s">
        <v>1287</v>
      </c>
      <c r="BU141" s="112" t="s">
        <v>1287</v>
      </c>
      <c r="BV141" s="111">
        <f t="shared" si="956"/>
        <v>29</v>
      </c>
      <c r="BW141" s="113">
        <f t="shared" si="957"/>
        <v>62</v>
      </c>
      <c r="BX141" s="114">
        <f t="shared" si="958"/>
        <v>66</v>
      </c>
      <c r="BY141" s="113">
        <f t="shared" si="959"/>
        <v>98</v>
      </c>
      <c r="BZ141" s="114">
        <f t="shared" si="960"/>
        <v>102</v>
      </c>
      <c r="CA141" s="113" t="str">
        <f t="shared" si="961"/>
        <v>-</v>
      </c>
      <c r="CB141" s="114">
        <f t="shared" si="962"/>
        <v>146</v>
      </c>
      <c r="CC141" s="113">
        <f t="shared" si="963"/>
        <v>191</v>
      </c>
      <c r="CD141" s="114">
        <f t="shared" si="964"/>
        <v>196</v>
      </c>
      <c r="CE141" s="113">
        <f t="shared" si="965"/>
        <v>266</v>
      </c>
      <c r="CF141" s="114">
        <f t="shared" si="966"/>
        <v>305</v>
      </c>
      <c r="CG141" s="113">
        <f t="shared" si="967"/>
        <v>329</v>
      </c>
      <c r="CH141" s="111">
        <f t="shared" si="968"/>
        <v>61</v>
      </c>
      <c r="CI141" s="113">
        <f t="shared" si="969"/>
        <v>65</v>
      </c>
      <c r="CJ141" s="114">
        <f t="shared" si="970"/>
        <v>96</v>
      </c>
      <c r="CK141" s="114">
        <f t="shared" si="971"/>
        <v>101</v>
      </c>
      <c r="CL141" s="114">
        <f t="shared" si="972"/>
        <v>137</v>
      </c>
      <c r="CM141" s="114" t="str">
        <f t="shared" si="973"/>
        <v>-</v>
      </c>
      <c r="CN141" s="114">
        <f t="shared" si="974"/>
        <v>172</v>
      </c>
      <c r="CO141" s="114">
        <f t="shared" si="975"/>
        <v>193</v>
      </c>
      <c r="CP141" s="114">
        <f t="shared" si="976"/>
        <v>230</v>
      </c>
      <c r="CQ141" s="114">
        <f t="shared" si="977"/>
        <v>300</v>
      </c>
      <c r="CR141" s="114">
        <f t="shared" si="978"/>
        <v>328</v>
      </c>
      <c r="CS141" s="114">
        <f t="shared" si="979"/>
        <v>341</v>
      </c>
      <c r="CT141" s="109">
        <f t="shared" si="980"/>
        <v>1</v>
      </c>
    </row>
    <row r="142" spans="1:1029" s="12" customFormat="1" x14ac:dyDescent="0.2">
      <c r="A142" s="9" t="str">
        <f t="shared" si="953"/>
        <v>adrb2_human_6PS5</v>
      </c>
      <c r="B142" s="9" t="s">
        <v>126</v>
      </c>
      <c r="C142" s="9" t="s">
        <v>1613</v>
      </c>
      <c r="D142" s="9" t="str">
        <f>IFERROR(MID(VLOOKUP($B142,Seqs!$A:$B,2,0),E142,1),"")</f>
        <v>D</v>
      </c>
      <c r="E142" s="9">
        <v>29</v>
      </c>
      <c r="F142" s="9" t="str">
        <f>IFERROR(MID(VLOOKUP($B142,Seqs!$A:$B,2,0),G142,1),"")</f>
        <v>F</v>
      </c>
      <c r="G142" s="9">
        <v>61</v>
      </c>
      <c r="H142" s="9" t="str">
        <f>IFERROR(MID(VLOOKUP($B142,Seqs!$A:$B,2,0),I142,1),"")</f>
        <v>E</v>
      </c>
      <c r="I142" s="109">
        <v>62</v>
      </c>
      <c r="J142" s="9" t="str">
        <f>IFERROR(MID(VLOOKUP($B142,Seqs!$A:$B,2,0),K142,1),"")</f>
        <v>Q</v>
      </c>
      <c r="K142" s="109">
        <v>65</v>
      </c>
      <c r="L142" s="9" t="str">
        <f>IFERROR(MID(VLOOKUP($B142,Seqs!$A:$B,2,0),M142,1),"")</f>
        <v>T</v>
      </c>
      <c r="M142" s="9">
        <v>66</v>
      </c>
      <c r="N142" s="9" t="str">
        <f>IFERROR(MID(VLOOKUP($B142,Seqs!$A:$B,2,0),O142,1),"")</f>
        <v>M</v>
      </c>
      <c r="O142" s="9">
        <v>96</v>
      </c>
      <c r="P142" s="9" t="str">
        <f>IFERROR(MID(VLOOKUP($B142,Seqs!$A:$B,2,0),Q142,1),"")</f>
        <v>M</v>
      </c>
      <c r="Q142" s="9">
        <v>98</v>
      </c>
      <c r="R142" s="9" t="str">
        <f>IFERROR(MID(VLOOKUP($B142,Seqs!$A:$B,2,0),S142,1),"")</f>
        <v>F</v>
      </c>
      <c r="S142" s="9">
        <v>101</v>
      </c>
      <c r="T142" s="9" t="str">
        <f>IFERROR(MID(VLOOKUP($B142,Seqs!$A:$B,2,0),U142,1),"")</f>
        <v>G</v>
      </c>
      <c r="U142" s="9">
        <v>102</v>
      </c>
      <c r="V142" s="9" t="str">
        <f>IFERROR(MID(VLOOKUP($B142,Seqs!$A:$B,2,0),W142,1),"")</f>
        <v>S</v>
      </c>
      <c r="W142" s="9">
        <v>137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T</v>
      </c>
      <c r="AC142" s="9">
        <v>146</v>
      </c>
      <c r="AD142" s="9" t="str">
        <f>IFERROR(MID(VLOOKUP($B142,Seqs!$A:$B,2,0),AE142,1),"")</f>
        <v>H</v>
      </c>
      <c r="AE142" s="9">
        <v>172</v>
      </c>
      <c r="AF142" s="9" t="str">
        <f>IFERROR(MID(VLOOKUP($B142,Seqs!$A:$B,2,0),AG142,1),"")</f>
        <v>C</v>
      </c>
      <c r="AG142" s="9">
        <v>191</v>
      </c>
      <c r="AH142" s="9" t="str">
        <f>IFERROR(MID(VLOOKUP($B142,Seqs!$A:$B,2,0),AI142,1),"")</f>
        <v>F</v>
      </c>
      <c r="AI142" s="9">
        <v>193</v>
      </c>
      <c r="AJ142" s="9" t="str">
        <f>IFERROR(MID(VLOOKUP($B142,Seqs!$A:$B,2,0),AK142,1),"")</f>
        <v>N</v>
      </c>
      <c r="AK142" s="9">
        <v>196</v>
      </c>
      <c r="AL142" s="9" t="str">
        <f>IFERROR(MID(VLOOKUP($B142,Seqs!$A:$B,2,0),AM142,1),"")</f>
        <v>L</v>
      </c>
      <c r="AM142" s="9">
        <v>230</v>
      </c>
      <c r="AN142" s="9" t="str">
        <f>IFERROR(MID(VLOOKUP($B142,Seqs!$A:$B,2,0),AO142,1),"")</f>
        <v>L</v>
      </c>
      <c r="AO142" s="9">
        <v>266</v>
      </c>
      <c r="AP142" s="9" t="str">
        <f>IFERROR(MID(VLOOKUP($B142,Seqs!$A:$B,2,0),AQ142,1),"")</f>
        <v>D</v>
      </c>
      <c r="AQ142" s="9">
        <v>300</v>
      </c>
      <c r="AR142" s="9" t="str">
        <f>IFERROR(MID(VLOOKUP($B142,Seqs!$A:$B,2,0),AS142,1),"")</f>
        <v>K</v>
      </c>
      <c r="AS142" s="9">
        <v>305</v>
      </c>
      <c r="AT142" s="9" t="str">
        <f>IFERROR(MID(VLOOKUP($B142,Seqs!$A:$B,2,0),AU142,1),"")</f>
        <v>R</v>
      </c>
      <c r="AU142" s="9">
        <v>328</v>
      </c>
      <c r="AV142" s="9" t="str">
        <f>IFERROR(MID(VLOOKUP($B142,Seqs!$A:$B,2,0),AW142,1),"")</f>
        <v>S</v>
      </c>
      <c r="AW142" s="9">
        <v>329</v>
      </c>
      <c r="AX142" s="9" t="str">
        <f>IFERROR(MID(VLOOKUP($B142,Seqs!$A:$B,2,0),AY142,1),"")</f>
        <v>C</v>
      </c>
      <c r="AY142" s="9">
        <v>341</v>
      </c>
      <c r="AZ142" s="110" t="str">
        <f>VLOOKUP(B142,Classification!A:D,2,0)</f>
        <v>A</v>
      </c>
      <c r="BA142" s="98" t="str">
        <f>VLOOKUP(B142,Classification!A:D,4,0)</f>
        <v>Adrenoceptors</v>
      </c>
      <c r="BB142" s="36" t="b">
        <f t="shared" si="954"/>
        <v>1</v>
      </c>
      <c r="BC142" s="109">
        <f t="shared" si="955"/>
        <v>246</v>
      </c>
      <c r="BD142" s="123" t="s">
        <v>23</v>
      </c>
      <c r="BE142" s="9" t="s">
        <v>1374</v>
      </c>
      <c r="BF142" s="119">
        <v>2.9</v>
      </c>
      <c r="BG142" s="51" t="s">
        <v>1</v>
      </c>
      <c r="BH142" s="51" t="s">
        <v>1</v>
      </c>
      <c r="BJ142" s="111" t="s">
        <v>1287</v>
      </c>
      <c r="BK142" s="112" t="s">
        <v>1287</v>
      </c>
      <c r="BL142" s="112" t="s">
        <v>1287</v>
      </c>
      <c r="BM142" s="112" t="s">
        <v>1287</v>
      </c>
      <c r="BN142" s="112" t="s">
        <v>1287</v>
      </c>
      <c r="BO142" s="112" t="s">
        <v>1287</v>
      </c>
      <c r="BP142" s="112" t="s">
        <v>1287</v>
      </c>
      <c r="BQ142" s="112" t="s">
        <v>1287</v>
      </c>
      <c r="BR142" s="112" t="s">
        <v>1287</v>
      </c>
      <c r="BS142" s="112" t="s">
        <v>1287</v>
      </c>
      <c r="BT142" s="112" t="s">
        <v>1287</v>
      </c>
      <c r="BU142" s="112" t="s">
        <v>1287</v>
      </c>
      <c r="BV142" s="111">
        <f t="shared" si="956"/>
        <v>29</v>
      </c>
      <c r="BW142" s="113">
        <f t="shared" si="957"/>
        <v>62</v>
      </c>
      <c r="BX142" s="114">
        <f t="shared" si="958"/>
        <v>66</v>
      </c>
      <c r="BY142" s="113">
        <f t="shared" si="959"/>
        <v>98</v>
      </c>
      <c r="BZ142" s="114">
        <f t="shared" si="960"/>
        <v>102</v>
      </c>
      <c r="CA142" s="113" t="str">
        <f t="shared" si="961"/>
        <v>-</v>
      </c>
      <c r="CB142" s="114">
        <f t="shared" si="962"/>
        <v>146</v>
      </c>
      <c r="CC142" s="113">
        <f t="shared" si="963"/>
        <v>191</v>
      </c>
      <c r="CD142" s="114">
        <f t="shared" si="964"/>
        <v>196</v>
      </c>
      <c r="CE142" s="113">
        <f t="shared" si="965"/>
        <v>266</v>
      </c>
      <c r="CF142" s="114">
        <f t="shared" si="966"/>
        <v>305</v>
      </c>
      <c r="CG142" s="113">
        <f t="shared" si="967"/>
        <v>329</v>
      </c>
      <c r="CH142" s="111">
        <f t="shared" si="968"/>
        <v>61</v>
      </c>
      <c r="CI142" s="113">
        <f t="shared" si="969"/>
        <v>65</v>
      </c>
      <c r="CJ142" s="114">
        <f t="shared" si="970"/>
        <v>96</v>
      </c>
      <c r="CK142" s="114">
        <f t="shared" si="971"/>
        <v>101</v>
      </c>
      <c r="CL142" s="114">
        <f t="shared" si="972"/>
        <v>137</v>
      </c>
      <c r="CM142" s="114" t="str">
        <f t="shared" si="973"/>
        <v>-</v>
      </c>
      <c r="CN142" s="114">
        <f t="shared" si="974"/>
        <v>172</v>
      </c>
      <c r="CO142" s="114">
        <f t="shared" si="975"/>
        <v>193</v>
      </c>
      <c r="CP142" s="114">
        <f t="shared" si="976"/>
        <v>230</v>
      </c>
      <c r="CQ142" s="114">
        <f t="shared" si="977"/>
        <v>300</v>
      </c>
      <c r="CR142" s="114">
        <f t="shared" si="978"/>
        <v>328</v>
      </c>
      <c r="CS142" s="114">
        <f t="shared" si="979"/>
        <v>341</v>
      </c>
      <c r="CT142" s="109">
        <f t="shared" si="980"/>
        <v>1</v>
      </c>
    </row>
    <row r="143" spans="1:1029" s="12" customFormat="1" x14ac:dyDescent="0.2">
      <c r="A143" s="9" t="str">
        <f t="shared" si="953"/>
        <v>adrb2_human_6PS6</v>
      </c>
      <c r="B143" s="9" t="s">
        <v>126</v>
      </c>
      <c r="C143" s="9" t="s">
        <v>1614</v>
      </c>
      <c r="D143" s="9" t="str">
        <f>IFERROR(MID(VLOOKUP($B143,Seqs!$A:$B,2,0),E143,1),"")</f>
        <v>D</v>
      </c>
      <c r="E143" s="9">
        <v>29</v>
      </c>
      <c r="F143" s="9" t="str">
        <f>IFERROR(MID(VLOOKUP($B143,Seqs!$A:$B,2,0),G143,1),"")</f>
        <v>F</v>
      </c>
      <c r="G143" s="9">
        <v>61</v>
      </c>
      <c r="H143" s="9" t="str">
        <f>IFERROR(MID(VLOOKUP($B143,Seqs!$A:$B,2,0),I143,1),"")</f>
        <v>E</v>
      </c>
      <c r="I143" s="109">
        <v>62</v>
      </c>
      <c r="J143" s="9" t="str">
        <f>IFERROR(MID(VLOOKUP($B143,Seqs!$A:$B,2,0),K143,1),"")</f>
        <v>Q</v>
      </c>
      <c r="K143" s="109">
        <v>65</v>
      </c>
      <c r="L143" s="9" t="str">
        <f>IFERROR(MID(VLOOKUP($B143,Seqs!$A:$B,2,0),M143,1),"")</f>
        <v>T</v>
      </c>
      <c r="M143" s="9">
        <v>66</v>
      </c>
      <c r="N143" s="9" t="str">
        <f>IFERROR(MID(VLOOKUP($B143,Seqs!$A:$B,2,0),O143,1),"")</f>
        <v>M</v>
      </c>
      <c r="O143" s="9">
        <v>96</v>
      </c>
      <c r="P143" s="9" t="str">
        <f>IFERROR(MID(VLOOKUP($B143,Seqs!$A:$B,2,0),Q143,1),"")</f>
        <v>M</v>
      </c>
      <c r="Q143" s="9">
        <v>98</v>
      </c>
      <c r="R143" s="9" t="str">
        <f>IFERROR(MID(VLOOKUP($B143,Seqs!$A:$B,2,0),S143,1),"")</f>
        <v>F</v>
      </c>
      <c r="S143" s="9">
        <v>101</v>
      </c>
      <c r="T143" s="9" t="str">
        <f>IFERROR(MID(VLOOKUP($B143,Seqs!$A:$B,2,0),U143,1),"")</f>
        <v>G</v>
      </c>
      <c r="U143" s="9">
        <v>102</v>
      </c>
      <c r="V143" s="9" t="str">
        <f>IFERROR(MID(VLOOKUP($B143,Seqs!$A:$B,2,0),W143,1),"")</f>
        <v>S</v>
      </c>
      <c r="W143" s="9">
        <v>137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T</v>
      </c>
      <c r="AC143" s="9">
        <v>146</v>
      </c>
      <c r="AD143" s="9" t="str">
        <f>IFERROR(MID(VLOOKUP($B143,Seqs!$A:$B,2,0),AE143,1),"")</f>
        <v>H</v>
      </c>
      <c r="AE143" s="9">
        <v>172</v>
      </c>
      <c r="AF143" s="9" t="str">
        <f>IFERROR(MID(VLOOKUP($B143,Seqs!$A:$B,2,0),AG143,1),"")</f>
        <v>C</v>
      </c>
      <c r="AG143" s="9">
        <v>191</v>
      </c>
      <c r="AH143" s="9" t="str">
        <f>IFERROR(MID(VLOOKUP($B143,Seqs!$A:$B,2,0),AI143,1),"")</f>
        <v>F</v>
      </c>
      <c r="AI143" s="9">
        <v>193</v>
      </c>
      <c r="AJ143" s="9" t="str">
        <f>IFERROR(MID(VLOOKUP($B143,Seqs!$A:$B,2,0),AK143,1),"")</f>
        <v>N</v>
      </c>
      <c r="AK143" s="9">
        <v>196</v>
      </c>
      <c r="AL143" s="9" t="str">
        <f>IFERROR(MID(VLOOKUP($B143,Seqs!$A:$B,2,0),AM143,1),"")</f>
        <v>L</v>
      </c>
      <c r="AM143" s="9">
        <v>230</v>
      </c>
      <c r="AN143" s="9" t="str">
        <f>IFERROR(MID(VLOOKUP($B143,Seqs!$A:$B,2,0),AO143,1),"")</f>
        <v>L</v>
      </c>
      <c r="AO143" s="9">
        <v>266</v>
      </c>
      <c r="AP143" s="9" t="str">
        <f>IFERROR(MID(VLOOKUP($B143,Seqs!$A:$B,2,0),AQ143,1),"")</f>
        <v>D</v>
      </c>
      <c r="AQ143" s="9">
        <v>300</v>
      </c>
      <c r="AR143" s="9" t="str">
        <f>IFERROR(MID(VLOOKUP($B143,Seqs!$A:$B,2,0),AS143,1),"")</f>
        <v>K</v>
      </c>
      <c r="AS143" s="9">
        <v>305</v>
      </c>
      <c r="AT143" s="9" t="str">
        <f>IFERROR(MID(VLOOKUP($B143,Seqs!$A:$B,2,0),AU143,1),"")</f>
        <v>R</v>
      </c>
      <c r="AU143" s="9">
        <v>328</v>
      </c>
      <c r="AV143" s="9" t="str">
        <f>IFERROR(MID(VLOOKUP($B143,Seqs!$A:$B,2,0),AW143,1),"")</f>
        <v>S</v>
      </c>
      <c r="AW143" s="9">
        <v>329</v>
      </c>
      <c r="AX143" s="9" t="str">
        <f>IFERROR(MID(VLOOKUP($B143,Seqs!$A:$B,2,0),AY143,1),"")</f>
        <v>C</v>
      </c>
      <c r="AY143" s="9">
        <v>341</v>
      </c>
      <c r="AZ143" s="110" t="str">
        <f>VLOOKUP(B143,Classification!A:D,2,0)</f>
        <v>A</v>
      </c>
      <c r="BA143" s="98" t="str">
        <f>VLOOKUP(B143,Classification!A:D,4,0)</f>
        <v>Adrenoceptors</v>
      </c>
      <c r="BB143" s="36" t="b">
        <f t="shared" si="954"/>
        <v>1</v>
      </c>
      <c r="BC143" s="109">
        <f t="shared" si="955"/>
        <v>246</v>
      </c>
      <c r="BD143" s="123" t="s">
        <v>23</v>
      </c>
      <c r="BE143" s="9" t="s">
        <v>1374</v>
      </c>
      <c r="BF143" s="119">
        <v>2.7</v>
      </c>
      <c r="BG143" s="51" t="s">
        <v>1</v>
      </c>
      <c r="BH143" s="51" t="s">
        <v>1</v>
      </c>
      <c r="BJ143" s="111" t="s">
        <v>1287</v>
      </c>
      <c r="BK143" s="112" t="s">
        <v>1287</v>
      </c>
      <c r="BL143" s="112" t="s">
        <v>1287</v>
      </c>
      <c r="BM143" s="112" t="s">
        <v>1287</v>
      </c>
      <c r="BN143" s="112" t="s">
        <v>1287</v>
      </c>
      <c r="BO143" s="112" t="s">
        <v>1287</v>
      </c>
      <c r="BP143" s="112" t="s">
        <v>1287</v>
      </c>
      <c r="BQ143" s="112" t="s">
        <v>1287</v>
      </c>
      <c r="BR143" s="112" t="s">
        <v>1287</v>
      </c>
      <c r="BS143" s="112" t="s">
        <v>1287</v>
      </c>
      <c r="BT143" s="112" t="s">
        <v>1287</v>
      </c>
      <c r="BU143" s="112" t="s">
        <v>1287</v>
      </c>
      <c r="BV143" s="111">
        <f t="shared" si="956"/>
        <v>29</v>
      </c>
      <c r="BW143" s="113">
        <f t="shared" si="957"/>
        <v>62</v>
      </c>
      <c r="BX143" s="114">
        <f t="shared" si="958"/>
        <v>66</v>
      </c>
      <c r="BY143" s="113">
        <f t="shared" si="959"/>
        <v>98</v>
      </c>
      <c r="BZ143" s="114">
        <f t="shared" si="960"/>
        <v>102</v>
      </c>
      <c r="CA143" s="113" t="str">
        <f t="shared" si="961"/>
        <v>-</v>
      </c>
      <c r="CB143" s="114">
        <f t="shared" si="962"/>
        <v>146</v>
      </c>
      <c r="CC143" s="113">
        <f t="shared" si="963"/>
        <v>191</v>
      </c>
      <c r="CD143" s="114">
        <f t="shared" si="964"/>
        <v>196</v>
      </c>
      <c r="CE143" s="113">
        <f t="shared" si="965"/>
        <v>266</v>
      </c>
      <c r="CF143" s="114">
        <f t="shared" si="966"/>
        <v>305</v>
      </c>
      <c r="CG143" s="113">
        <f t="shared" si="967"/>
        <v>329</v>
      </c>
      <c r="CH143" s="111">
        <f t="shared" si="968"/>
        <v>61</v>
      </c>
      <c r="CI143" s="113">
        <f t="shared" si="969"/>
        <v>65</v>
      </c>
      <c r="CJ143" s="114">
        <f t="shared" si="970"/>
        <v>96</v>
      </c>
      <c r="CK143" s="114">
        <f t="shared" si="971"/>
        <v>101</v>
      </c>
      <c r="CL143" s="114">
        <f t="shared" si="972"/>
        <v>137</v>
      </c>
      <c r="CM143" s="114" t="str">
        <f t="shared" si="973"/>
        <v>-</v>
      </c>
      <c r="CN143" s="114">
        <f t="shared" si="974"/>
        <v>172</v>
      </c>
      <c r="CO143" s="114">
        <f t="shared" si="975"/>
        <v>193</v>
      </c>
      <c r="CP143" s="114">
        <f t="shared" si="976"/>
        <v>230</v>
      </c>
      <c r="CQ143" s="114">
        <f t="shared" si="977"/>
        <v>300</v>
      </c>
      <c r="CR143" s="114">
        <f t="shared" si="978"/>
        <v>328</v>
      </c>
      <c r="CS143" s="114">
        <f t="shared" si="979"/>
        <v>341</v>
      </c>
      <c r="CT143" s="109">
        <f t="shared" si="980"/>
        <v>1</v>
      </c>
    </row>
    <row r="144" spans="1:1029" s="12" customFormat="1" x14ac:dyDescent="0.2">
      <c r="A144" s="9" t="str">
        <f t="shared" si="953"/>
        <v>adrb2_human_6NI3</v>
      </c>
      <c r="B144" s="9" t="s">
        <v>126</v>
      </c>
      <c r="C144" s="9" t="s">
        <v>1617</v>
      </c>
      <c r="D144" s="9" t="str">
        <f>IFERROR(MID(VLOOKUP($B144,Seqs!$A:$B,2,0),E144,1),"")</f>
        <v>V</v>
      </c>
      <c r="E144" s="9">
        <v>31</v>
      </c>
      <c r="F144" s="9" t="str">
        <f>IFERROR(MID(VLOOKUP($B144,Seqs!$A:$B,2,0),G144,1),"")</f>
        <v>K</v>
      </c>
      <c r="G144" s="9">
        <v>60</v>
      </c>
      <c r="H144" s="9" t="str">
        <f>IFERROR(MID(VLOOKUP($B144,Seqs!$A:$B,2,0),I144,1),"")</f>
        <v/>
      </c>
      <c r="I144" s="109" t="s">
        <v>23</v>
      </c>
      <c r="J144" s="9" t="str">
        <f>IFERROR(MID(VLOOKUP($B144,Seqs!$A:$B,2,0),K144,1),"")</f>
        <v/>
      </c>
      <c r="K144" s="109" t="s">
        <v>23</v>
      </c>
      <c r="L144" s="9" t="str">
        <f>IFERROR(MID(VLOOKUP($B144,Seqs!$A:$B,2,0),M144,1),"")</f>
        <v>T</v>
      </c>
      <c r="M144" s="9">
        <v>66</v>
      </c>
      <c r="N144" s="9" t="str">
        <f>IFERROR(MID(VLOOKUP($B144,Seqs!$A:$B,2,0),O144,1),"")</f>
        <v>K</v>
      </c>
      <c r="O144" s="9">
        <v>97</v>
      </c>
      <c r="P144" s="9" t="str">
        <f>IFERROR(MID(VLOOKUP($B144,Seqs!$A:$B,2,0),Q144,1),"")</f>
        <v>M</v>
      </c>
      <c r="Q144" s="9">
        <v>98</v>
      </c>
      <c r="R144" s="9" t="str">
        <f>IFERROR(MID(VLOOKUP($B144,Seqs!$A:$B,2,0),S144,1),"")</f>
        <v>F</v>
      </c>
      <c r="S144" s="9">
        <v>101</v>
      </c>
      <c r="T144" s="9" t="str">
        <f>IFERROR(MID(VLOOKUP($B144,Seqs!$A:$B,2,0),U144,1),"")</f>
        <v>G</v>
      </c>
      <c r="U144" s="9">
        <v>102</v>
      </c>
      <c r="V144" s="9" t="str">
        <f>IFERROR(MID(VLOOKUP($B144,Seqs!$A:$B,2,0),W144,1),"")</f>
        <v>S</v>
      </c>
      <c r="W144" s="9">
        <v>137</v>
      </c>
      <c r="X144" s="9" t="str">
        <f>IFERROR(MID(VLOOKUP($B144,Seqs!$A:$B,2,0),Y144,1),"")</f>
        <v>P</v>
      </c>
      <c r="Y144" s="9">
        <v>138</v>
      </c>
      <c r="Z144" s="9" t="str">
        <f>IFERROR(MID(VLOOKUP($B144,Seqs!$A:$B,2,0),AA144,1),"")</f>
        <v>L</v>
      </c>
      <c r="AA144" s="9">
        <v>145</v>
      </c>
      <c r="AB144" s="9" t="str">
        <f>IFERROR(MID(VLOOKUP($B144,Seqs!$A:$B,2,0),AC144,1),"")</f>
        <v>T</v>
      </c>
      <c r="AC144" s="9">
        <v>146</v>
      </c>
      <c r="AD144" s="9" t="str">
        <f>IFERROR(MID(VLOOKUP($B144,Seqs!$A:$B,2,0),AE144,1),"")</f>
        <v>H</v>
      </c>
      <c r="AE144" s="9">
        <v>172</v>
      </c>
      <c r="AF144" s="9" t="str">
        <f>IFERROR(MID(VLOOKUP($B144,Seqs!$A:$B,2,0),AG144,1),"")</f>
        <v/>
      </c>
      <c r="AG144" s="9" t="s">
        <v>23</v>
      </c>
      <c r="AH144" s="9" t="str">
        <f>IFERROR(MID(VLOOKUP($B144,Seqs!$A:$B,2,0),AI144,1),"")</f>
        <v/>
      </c>
      <c r="AI144" s="9" t="s">
        <v>23</v>
      </c>
      <c r="AJ144" s="9" t="str">
        <f>IFERROR(MID(VLOOKUP($B144,Seqs!$A:$B,2,0),AK144,1),"")</f>
        <v>N</v>
      </c>
      <c r="AK144" s="9">
        <v>196</v>
      </c>
      <c r="AL144" s="9" t="str">
        <f>IFERROR(MID(VLOOKUP($B144,Seqs!$A:$B,2,0),AM144,1),"")</f>
        <v>S</v>
      </c>
      <c r="AM144" s="9">
        <v>236</v>
      </c>
      <c r="AN144" s="9" t="str">
        <f>IFERROR(MID(VLOOKUP($B144,Seqs!$A:$B,2,0),AO144,1),"")</f>
        <v>C</v>
      </c>
      <c r="AO144" s="9">
        <v>265</v>
      </c>
      <c r="AP144" s="9" t="str">
        <f>IFERROR(MID(VLOOKUP($B144,Seqs!$A:$B,2,0),AQ144,1),"")</f>
        <v>Q</v>
      </c>
      <c r="AQ144" s="9">
        <v>299</v>
      </c>
      <c r="AR144" s="9" t="str">
        <f>IFERROR(MID(VLOOKUP($B144,Seqs!$A:$B,2,0),AS144,1),"")</f>
        <v>R</v>
      </c>
      <c r="AS144" s="9">
        <v>304</v>
      </c>
      <c r="AT144" s="9" t="str">
        <f>IFERROR(MID(VLOOKUP($B144,Seqs!$A:$B,2,0),AU144,1),"")</f>
        <v>C</v>
      </c>
      <c r="AU144" s="9">
        <v>327</v>
      </c>
      <c r="AV144" s="9" t="str">
        <f>IFERROR(MID(VLOOKUP($B144,Seqs!$A:$B,2,0),AW144,1),"")</f>
        <v>S</v>
      </c>
      <c r="AW144" s="9">
        <v>329</v>
      </c>
      <c r="AX144" s="9" t="str">
        <f>IFERROR(MID(VLOOKUP($B144,Seqs!$A:$B,2,0),AY144,1),"")</f>
        <v>L</v>
      </c>
      <c r="AY144" s="9">
        <v>340</v>
      </c>
      <c r="AZ144" s="110" t="str">
        <f>VLOOKUP(B144,Classification!A:D,2,0)</f>
        <v>A</v>
      </c>
      <c r="BA144" s="98" t="str">
        <f>VLOOKUP(B144,Classification!A:D,4,0)</f>
        <v>Adrenoceptors</v>
      </c>
      <c r="BB144" s="36" t="b">
        <f t="shared" si="954"/>
        <v>1</v>
      </c>
      <c r="BC144" s="109">
        <f t="shared" si="955"/>
        <v>251</v>
      </c>
      <c r="BD144" s="123" t="s">
        <v>23</v>
      </c>
      <c r="BE144" s="9" t="s">
        <v>1374</v>
      </c>
      <c r="BF144" s="119">
        <v>3.8</v>
      </c>
      <c r="BG144" s="51" t="s">
        <v>1422</v>
      </c>
      <c r="BH144" s="51" t="s">
        <v>1422</v>
      </c>
      <c r="BJ144" s="111" t="s">
        <v>1287</v>
      </c>
      <c r="BK144" s="112" t="s">
        <v>1287</v>
      </c>
      <c r="BL144" s="112" t="s">
        <v>1287</v>
      </c>
      <c r="BM144" s="112" t="s">
        <v>1287</v>
      </c>
      <c r="BN144" s="112" t="s">
        <v>1287</v>
      </c>
      <c r="BO144" s="112" t="s">
        <v>1287</v>
      </c>
      <c r="BP144" s="112" t="s">
        <v>1287</v>
      </c>
      <c r="BQ144" s="112" t="s">
        <v>1287</v>
      </c>
      <c r="BR144" s="112" t="s">
        <v>1287</v>
      </c>
      <c r="BS144" s="112" t="s">
        <v>1287</v>
      </c>
      <c r="BT144" s="112" t="s">
        <v>1287</v>
      </c>
      <c r="BU144" s="112" t="s">
        <v>1287</v>
      </c>
      <c r="BV144" s="111">
        <f t="shared" si="956"/>
        <v>31</v>
      </c>
      <c r="BW144" s="113" t="str">
        <f t="shared" si="957"/>
        <v>-</v>
      </c>
      <c r="BX144" s="114">
        <f t="shared" si="958"/>
        <v>66</v>
      </c>
      <c r="BY144" s="113">
        <f t="shared" si="959"/>
        <v>98</v>
      </c>
      <c r="BZ144" s="114">
        <f t="shared" si="960"/>
        <v>102</v>
      </c>
      <c r="CA144" s="113">
        <f t="shared" si="961"/>
        <v>138</v>
      </c>
      <c r="CB144" s="114">
        <f t="shared" si="962"/>
        <v>146</v>
      </c>
      <c r="CC144" s="113" t="str">
        <f t="shared" si="963"/>
        <v>-</v>
      </c>
      <c r="CD144" s="114">
        <f t="shared" si="964"/>
        <v>196</v>
      </c>
      <c r="CE144" s="113">
        <f t="shared" si="965"/>
        <v>265</v>
      </c>
      <c r="CF144" s="114">
        <f t="shared" si="966"/>
        <v>304</v>
      </c>
      <c r="CG144" s="113">
        <f t="shared" si="967"/>
        <v>329</v>
      </c>
      <c r="CH144" s="111">
        <f t="shared" si="968"/>
        <v>60</v>
      </c>
      <c r="CI144" s="113" t="str">
        <f t="shared" si="969"/>
        <v>-</v>
      </c>
      <c r="CJ144" s="114">
        <f t="shared" si="970"/>
        <v>97</v>
      </c>
      <c r="CK144" s="114">
        <f t="shared" si="971"/>
        <v>101</v>
      </c>
      <c r="CL144" s="114">
        <f t="shared" si="972"/>
        <v>137</v>
      </c>
      <c r="CM144" s="114">
        <f t="shared" si="973"/>
        <v>145</v>
      </c>
      <c r="CN144" s="114">
        <f t="shared" si="974"/>
        <v>172</v>
      </c>
      <c r="CO144" s="114" t="str">
        <f t="shared" si="975"/>
        <v>-</v>
      </c>
      <c r="CP144" s="114">
        <f t="shared" si="976"/>
        <v>236</v>
      </c>
      <c r="CQ144" s="114">
        <f t="shared" si="977"/>
        <v>299</v>
      </c>
      <c r="CR144" s="114">
        <f t="shared" si="978"/>
        <v>327</v>
      </c>
      <c r="CS144" s="114">
        <f t="shared" si="979"/>
        <v>340</v>
      </c>
      <c r="CT144" s="109" t="e">
        <f t="shared" si="980"/>
        <v>#VALUE!</v>
      </c>
    </row>
    <row r="145" spans="1:1029" x14ac:dyDescent="0.2">
      <c r="A145" s="3" t="str">
        <f t="shared" si="951"/>
        <v>agtr1_human__wt</v>
      </c>
      <c r="B145" s="3" t="s">
        <v>158</v>
      </c>
      <c r="C145" s="3" t="s">
        <v>100</v>
      </c>
      <c r="D145" s="3" t="str">
        <f>IFERROR(MID(VLOOKUP($B145,Seqs!$A:$B,2,0),E145,1),"")</f>
        <v>H</v>
      </c>
      <c r="E145" s="105">
        <v>24</v>
      </c>
      <c r="F145" s="3" t="str">
        <f>IFERROR(MID(VLOOKUP($B145,Seqs!$A:$B,2,0),G145,1),"")</f>
        <v>Y</v>
      </c>
      <c r="G145" s="3">
        <v>56</v>
      </c>
      <c r="H145" s="3" t="str">
        <f>IFERROR(MID(VLOOKUP($B145,Seqs!$A:$B,2,0),I145,1),"")</f>
        <v>M</v>
      </c>
      <c r="I145" s="23">
        <v>57</v>
      </c>
      <c r="J145" s="3" t="str">
        <f>IFERROR(MID(VLOOKUP($B145,Seqs!$A:$B,2,0),K145,1),"")</f>
        <v>K</v>
      </c>
      <c r="K145" s="23">
        <v>60</v>
      </c>
      <c r="L145" s="3" t="str">
        <f>IFERROR(MID(VLOOKUP($B145,Seqs!$A:$B,2,0),M145,1),"")</f>
        <v>T</v>
      </c>
      <c r="M145" s="3">
        <v>61</v>
      </c>
      <c r="N145" s="3" t="str">
        <f>IFERROR(MID(VLOOKUP($B145,Seqs!$A:$B,2,0),O145,1),"")</f>
        <v>M</v>
      </c>
      <c r="O145" s="3">
        <v>90</v>
      </c>
      <c r="P145" s="3" t="str">
        <f>IFERROR(MID(VLOOKUP($B145,Seqs!$A:$B,2,0),Q145,1),"")</f>
        <v>R</v>
      </c>
      <c r="Q145" s="3">
        <v>93</v>
      </c>
      <c r="R145" s="3" t="str">
        <f>IFERROR(MID(VLOOKUP($B145,Seqs!$A:$B,2,0),S145,1),"")</f>
        <v>F</v>
      </c>
      <c r="S145" s="3">
        <v>96</v>
      </c>
      <c r="T145" s="3" t="str">
        <f>IFERROR(MID(VLOOKUP($B145,Seqs!$A:$B,2,0),U145,1),"")</f>
        <v>G</v>
      </c>
      <c r="U145" s="3">
        <v>97</v>
      </c>
      <c r="V145" s="3" t="str">
        <f>IFERROR(MID(VLOOKUP($B145,Seqs!$A:$B,2,0),W145,1),"")</f>
        <v>H</v>
      </c>
      <c r="W145" s="3">
        <v>132</v>
      </c>
      <c r="X145" s="3" t="str">
        <f>IFERROR(MID(VLOOKUP($B145,Seqs!$A:$B,2,0),Y145,1),"")</f>
        <v>P</v>
      </c>
      <c r="Y145" s="3">
        <v>133</v>
      </c>
      <c r="Z145" s="3" t="str">
        <f>IFERROR(MID(VLOOKUP($B145,Seqs!$A:$B,2,0),AA145,1),"")</f>
        <v>R</v>
      </c>
      <c r="AA145" s="3">
        <v>140</v>
      </c>
      <c r="AB145" s="3" t="str">
        <f>IFERROR(MID(VLOOKUP($B145,Seqs!$A:$B,2,0),AC145,1),"")</f>
        <v>T</v>
      </c>
      <c r="AC145" s="9">
        <v>141</v>
      </c>
      <c r="AD145" s="3" t="str">
        <f>IFERROR(MID(VLOOKUP($B145,Seqs!$A:$B,2,0),AE145,1),"")</f>
        <v>R</v>
      </c>
      <c r="AE145" s="3">
        <v>167</v>
      </c>
      <c r="AF145" s="3" t="str">
        <f>IFERROR(MID(VLOOKUP($B145,Seqs!$A:$B,2,0),AG145,1),"")</f>
        <v>C</v>
      </c>
      <c r="AG145" s="3">
        <v>180</v>
      </c>
      <c r="AH145" s="3" t="str">
        <f>IFERROR(MID(VLOOKUP($B145,Seqs!$A:$B,2,0),AI145,1),"")</f>
        <v>F</v>
      </c>
      <c r="AI145" s="3">
        <v>182</v>
      </c>
      <c r="AJ145" s="3" t="str">
        <f>IFERROR(MID(VLOOKUP($B145,Seqs!$A:$B,2,0),AK145,1),"")</f>
        <v>L</v>
      </c>
      <c r="AK145" s="3">
        <v>191</v>
      </c>
      <c r="AL145" s="3" t="str">
        <f>IFERROR(MID(VLOOKUP($B145,Seqs!$A:$B,2,0),AM145,1),"")</f>
        <v>A</v>
      </c>
      <c r="AM145" s="3">
        <v>225</v>
      </c>
      <c r="AN145" s="3" t="str">
        <f>IFERROR(MID(VLOOKUP($B145,Seqs!$A:$B,2,0),AO145,1),"")</f>
        <v>P</v>
      </c>
      <c r="AO145" s="3">
        <v>233</v>
      </c>
      <c r="AP145" s="3" t="str">
        <f>IFERROR(MID(VLOOKUP($B145,Seqs!$A:$B,2,0),AQ145,1),"")</f>
        <v>G</v>
      </c>
      <c r="AQ145" s="3">
        <v>269</v>
      </c>
      <c r="AR145" s="3" t="str">
        <f>IFERROR(MID(VLOOKUP($B145,Seqs!$A:$B,2,0),AS145,1),"")</f>
        <v>D</v>
      </c>
      <c r="AS145" s="3">
        <v>273</v>
      </c>
      <c r="AT145" s="3" t="str">
        <f>IFERROR(MID(VLOOKUP($B145,Seqs!$A:$B,2,0),AU145,1),"")</f>
        <v>L</v>
      </c>
      <c r="AU145" s="3">
        <v>305</v>
      </c>
      <c r="AV145" s="3" t="str">
        <f>IFERROR(MID(VLOOKUP($B145,Seqs!$A:$B,2,0),AW145,1),"")</f>
        <v>G</v>
      </c>
      <c r="AW145" s="3">
        <v>306</v>
      </c>
      <c r="AX145" s="3" t="str">
        <f>IFERROR(MID(VLOOKUP($B145,Seqs!$A:$B,2,0),AY145,1),"")</f>
        <v>I</v>
      </c>
      <c r="AY145" s="3">
        <v>320</v>
      </c>
      <c r="AZ145" s="77" t="str">
        <f>VLOOKUP(B145,Classification!A:D,2,0)</f>
        <v>A</v>
      </c>
      <c r="BA145" s="94" t="str">
        <f>VLOOKUP(B145,Classification!A:D,4,0)</f>
        <v>Angiotensin</v>
      </c>
      <c r="BB145" s="27" t="b">
        <f t="shared" si="952"/>
        <v>1</v>
      </c>
      <c r="BC145" s="23">
        <f t="shared" si="729"/>
        <v>265</v>
      </c>
      <c r="BD145" s="56" t="s">
        <v>23</v>
      </c>
      <c r="BE145" s="3" t="s">
        <v>23</v>
      </c>
      <c r="BF145" s="118" t="s">
        <v>23</v>
      </c>
      <c r="BG145" s="49" t="s">
        <v>1372</v>
      </c>
      <c r="BH145" s="49" t="s">
        <v>1377</v>
      </c>
      <c r="BI145" s="1"/>
      <c r="BJ145" s="70" t="s">
        <v>1287</v>
      </c>
      <c r="BK145" s="57" t="s">
        <v>1287</v>
      </c>
      <c r="BL145" s="57" t="s">
        <v>1287</v>
      </c>
      <c r="BM145" s="57" t="s">
        <v>1287</v>
      </c>
      <c r="BN145" s="57" t="s">
        <v>1287</v>
      </c>
      <c r="BO145" s="57" t="s">
        <v>1287</v>
      </c>
      <c r="BP145" s="57" t="s">
        <v>1287</v>
      </c>
      <c r="BQ145" s="57" t="s">
        <v>1287</v>
      </c>
      <c r="BR145" s="57" t="s">
        <v>1287</v>
      </c>
      <c r="BS145" s="57" t="s">
        <v>1287</v>
      </c>
      <c r="BT145" s="57" t="s">
        <v>1287</v>
      </c>
      <c r="BU145" s="57" t="s">
        <v>1287</v>
      </c>
      <c r="BV145" s="70">
        <f t="shared" si="730"/>
        <v>24</v>
      </c>
      <c r="BW145" s="71">
        <f t="shared" si="731"/>
        <v>57</v>
      </c>
      <c r="BX145" s="72">
        <f t="shared" si="732"/>
        <v>61</v>
      </c>
      <c r="BY145" s="71">
        <f t="shared" si="733"/>
        <v>93</v>
      </c>
      <c r="BZ145" s="72">
        <f t="shared" si="734"/>
        <v>97</v>
      </c>
      <c r="CA145" s="71">
        <f t="shared" si="735"/>
        <v>133</v>
      </c>
      <c r="CB145" s="72">
        <f t="shared" si="736"/>
        <v>141</v>
      </c>
      <c r="CC145" s="71">
        <f t="shared" si="737"/>
        <v>180</v>
      </c>
      <c r="CD145" s="72">
        <f t="shared" si="738"/>
        <v>191</v>
      </c>
      <c r="CE145" s="71">
        <f t="shared" si="739"/>
        <v>233</v>
      </c>
      <c r="CF145" s="72">
        <f t="shared" si="740"/>
        <v>273</v>
      </c>
      <c r="CG145" s="71">
        <f t="shared" si="741"/>
        <v>306</v>
      </c>
      <c r="CH145" s="70">
        <f t="shared" si="742"/>
        <v>56</v>
      </c>
      <c r="CI145" s="71">
        <f t="shared" si="743"/>
        <v>60</v>
      </c>
      <c r="CJ145" s="72">
        <f t="shared" si="744"/>
        <v>90</v>
      </c>
      <c r="CK145" s="72">
        <f t="shared" si="745"/>
        <v>96</v>
      </c>
      <c r="CL145" s="72">
        <f t="shared" si="746"/>
        <v>132</v>
      </c>
      <c r="CM145" s="72">
        <f t="shared" si="747"/>
        <v>140</v>
      </c>
      <c r="CN145" s="72">
        <f t="shared" si="748"/>
        <v>167</v>
      </c>
      <c r="CO145" s="72">
        <f t="shared" si="749"/>
        <v>182</v>
      </c>
      <c r="CP145" s="72">
        <f t="shared" si="750"/>
        <v>225</v>
      </c>
      <c r="CQ145" s="72">
        <f t="shared" si="751"/>
        <v>269</v>
      </c>
      <c r="CR145" s="72">
        <f t="shared" si="752"/>
        <v>305</v>
      </c>
      <c r="CS145" s="72">
        <f t="shared" si="753"/>
        <v>320</v>
      </c>
      <c r="CT145" s="23">
        <f t="shared" si="754"/>
        <v>1</v>
      </c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</row>
    <row r="146" spans="1:1029" x14ac:dyDescent="0.2">
      <c r="A146" s="3" t="str">
        <f t="shared" si="951"/>
        <v>agtr1_human_4YAY</v>
      </c>
      <c r="B146" s="3" t="s">
        <v>158</v>
      </c>
      <c r="C146" s="3" t="s">
        <v>69</v>
      </c>
      <c r="D146" s="3" t="str">
        <f>IFERROR(MID(VLOOKUP($B146,Seqs!$A:$B,2,0),E146,1),"")</f>
        <v>Y</v>
      </c>
      <c r="E146" s="3">
        <v>26</v>
      </c>
      <c r="F146" s="3" t="str">
        <f>IFERROR(MID(VLOOKUP($B146,Seqs!$A:$B,2,0),G146,1),"")</f>
        <v>Y</v>
      </c>
      <c r="G146" s="3">
        <v>56</v>
      </c>
      <c r="H146" s="3" t="str">
        <f>IFERROR(MID(VLOOKUP($B146,Seqs!$A:$B,2,0),I146,1),"")</f>
        <v>M</v>
      </c>
      <c r="I146" s="23">
        <v>57</v>
      </c>
      <c r="J146" s="3" t="str">
        <f>IFERROR(MID(VLOOKUP($B146,Seqs!$A:$B,2,0),K146,1),"")</f>
        <v>K</v>
      </c>
      <c r="K146" s="23">
        <v>60</v>
      </c>
      <c r="L146" s="3" t="str">
        <f>IFERROR(MID(VLOOKUP($B146,Seqs!$A:$B,2,0),M146,1),"")</f>
        <v>T</v>
      </c>
      <c r="M146" s="3">
        <v>61</v>
      </c>
      <c r="N146" s="3" t="str">
        <f>IFERROR(MID(VLOOKUP($B146,Seqs!$A:$B,2,0),O146,1),"")</f>
        <v>M</v>
      </c>
      <c r="O146" s="3">
        <v>90</v>
      </c>
      <c r="P146" s="3" t="str">
        <f>IFERROR(MID(VLOOKUP($B146,Seqs!$A:$B,2,0),Q146,1),"")</f>
        <v>R</v>
      </c>
      <c r="Q146" s="3">
        <v>93</v>
      </c>
      <c r="R146" s="3" t="str">
        <f>IFERROR(MID(VLOOKUP($B146,Seqs!$A:$B,2,0),S146,1),"")</f>
        <v>F</v>
      </c>
      <c r="S146" s="3">
        <v>96</v>
      </c>
      <c r="T146" s="3" t="str">
        <f>IFERROR(MID(VLOOKUP($B146,Seqs!$A:$B,2,0),U146,1),"")</f>
        <v>G</v>
      </c>
      <c r="U146" s="3">
        <v>97</v>
      </c>
      <c r="V146" s="3" t="str">
        <f>IFERROR(MID(VLOOKUP($B146,Seqs!$A:$B,2,0),W146,1),"")</f>
        <v>H</v>
      </c>
      <c r="W146" s="3">
        <v>132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R</v>
      </c>
      <c r="AC146" s="9">
        <v>137</v>
      </c>
      <c r="AD146" s="3" t="str">
        <f>IFERROR(MID(VLOOKUP($B146,Seqs!$A:$B,2,0),AE146,1),"")</f>
        <v>R</v>
      </c>
      <c r="AE146" s="3">
        <v>167</v>
      </c>
      <c r="AF146" s="3" t="str">
        <f>IFERROR(MID(VLOOKUP($B146,Seqs!$A:$B,2,0),AG146,1),"")</f>
        <v>C</v>
      </c>
      <c r="AG146" s="3">
        <v>180</v>
      </c>
      <c r="AH146" s="3" t="str">
        <f>IFERROR(MID(VLOOKUP($B146,Seqs!$A:$B,2,0),AI146,1),"")</f>
        <v>F</v>
      </c>
      <c r="AI146" s="3">
        <v>182</v>
      </c>
      <c r="AJ146" s="3" t="str">
        <f>IFERROR(MID(VLOOKUP($B146,Seqs!$A:$B,2,0),AK146,1),"")</f>
        <v>L</v>
      </c>
      <c r="AK146" s="3">
        <v>191</v>
      </c>
      <c r="AL146" s="3" t="str">
        <f>IFERROR(MID(VLOOKUP($B146,Seqs!$A:$B,2,0),AM146,1),"")</f>
        <v>L</v>
      </c>
      <c r="AM146" s="3">
        <v>222</v>
      </c>
      <c r="AN146" s="3" t="str">
        <f>IFERROR(MID(VLOOKUP($B146,Seqs!$A:$B,2,0),AO146,1),"")</f>
        <v>N</v>
      </c>
      <c r="AO146" s="3">
        <v>235</v>
      </c>
      <c r="AP146" s="3" t="str">
        <f>IFERROR(MID(VLOOKUP($B146,Seqs!$A:$B,2,0),AQ146,1),"")</f>
        <v>G</v>
      </c>
      <c r="AQ146" s="3">
        <v>269</v>
      </c>
      <c r="AR146" s="3" t="str">
        <f>IFERROR(MID(VLOOKUP($B146,Seqs!$A:$B,2,0),AS146,1),"")</f>
        <v>D</v>
      </c>
      <c r="AS146" s="3">
        <v>273</v>
      </c>
      <c r="AT146" s="3" t="str">
        <f>IFERROR(MID(VLOOKUP($B146,Seqs!$A:$B,2,0),AU146,1),"")</f>
        <v>N</v>
      </c>
      <c r="AU146" s="3">
        <v>298</v>
      </c>
      <c r="AV146" s="3" t="str">
        <f>IFERROR(MID(VLOOKUP($B146,Seqs!$A:$B,2,0),AW146,1),"")</f>
        <v/>
      </c>
      <c r="AW146" s="3" t="s">
        <v>23</v>
      </c>
      <c r="AX146" s="3" t="str">
        <f>IFERROR(MID(VLOOKUP($B146,Seqs!$A:$B,2,0),AY146,1),"")</f>
        <v/>
      </c>
      <c r="AY146" s="3" t="s">
        <v>23</v>
      </c>
      <c r="AZ146" s="77" t="str">
        <f>VLOOKUP(B146,Classification!A:D,2,0)</f>
        <v>A</v>
      </c>
      <c r="BA146" s="94" t="str">
        <f>VLOOKUP(B146,Classification!A:D,4,0)</f>
        <v>Angiotensin</v>
      </c>
      <c r="BB146" s="27" t="b">
        <f t="shared" si="952"/>
        <v>1</v>
      </c>
      <c r="BC146" s="23">
        <f t="shared" si="729"/>
        <v>234</v>
      </c>
      <c r="BD146" s="4" t="s">
        <v>23</v>
      </c>
      <c r="BE146" s="3" t="s">
        <v>1374</v>
      </c>
      <c r="BF146" s="118">
        <v>2.9</v>
      </c>
      <c r="BG146" s="49" t="s">
        <v>1377</v>
      </c>
      <c r="BH146" s="49" t="s">
        <v>1377</v>
      </c>
      <c r="BI146" s="1"/>
      <c r="BJ146" s="70" t="s">
        <v>1287</v>
      </c>
      <c r="BK146" s="57" t="s">
        <v>1287</v>
      </c>
      <c r="BL146" s="57" t="s">
        <v>1287</v>
      </c>
      <c r="BM146" s="57" t="s">
        <v>1287</v>
      </c>
      <c r="BN146" s="57" t="s">
        <v>1287</v>
      </c>
      <c r="BO146" s="57" t="s">
        <v>1287</v>
      </c>
      <c r="BP146" s="57" t="s">
        <v>1287</v>
      </c>
      <c r="BQ146" s="57" t="s">
        <v>1287</v>
      </c>
      <c r="BR146" s="57" t="s">
        <v>1287</v>
      </c>
      <c r="BS146" s="57" t="s">
        <v>1287</v>
      </c>
      <c r="BT146" s="57" t="s">
        <v>1287</v>
      </c>
      <c r="BU146" s="57" t="s">
        <v>1287</v>
      </c>
      <c r="BV146" s="70">
        <f t="shared" si="730"/>
        <v>26</v>
      </c>
      <c r="BW146" s="71">
        <f t="shared" si="731"/>
        <v>57</v>
      </c>
      <c r="BX146" s="72">
        <f t="shared" si="732"/>
        <v>61</v>
      </c>
      <c r="BY146" s="71">
        <f t="shared" si="733"/>
        <v>93</v>
      </c>
      <c r="BZ146" s="72">
        <f t="shared" si="734"/>
        <v>97</v>
      </c>
      <c r="CA146" s="71" t="str">
        <f t="shared" si="735"/>
        <v>-</v>
      </c>
      <c r="CB146" s="72">
        <f t="shared" si="736"/>
        <v>137</v>
      </c>
      <c r="CC146" s="71">
        <f t="shared" si="737"/>
        <v>180</v>
      </c>
      <c r="CD146" s="72">
        <f t="shared" si="738"/>
        <v>191</v>
      </c>
      <c r="CE146" s="71">
        <f t="shared" si="739"/>
        <v>235</v>
      </c>
      <c r="CF146" s="72">
        <f t="shared" si="740"/>
        <v>273</v>
      </c>
      <c r="CG146" s="71" t="str">
        <f t="shared" si="741"/>
        <v>-</v>
      </c>
      <c r="CH146" s="70">
        <f t="shared" si="742"/>
        <v>56</v>
      </c>
      <c r="CI146" s="71">
        <f t="shared" si="743"/>
        <v>60</v>
      </c>
      <c r="CJ146" s="72">
        <f t="shared" si="744"/>
        <v>90</v>
      </c>
      <c r="CK146" s="72">
        <f t="shared" si="745"/>
        <v>96</v>
      </c>
      <c r="CL146" s="72">
        <f t="shared" si="746"/>
        <v>132</v>
      </c>
      <c r="CM146" s="72" t="str">
        <f t="shared" si="747"/>
        <v>-</v>
      </c>
      <c r="CN146" s="72">
        <f t="shared" si="748"/>
        <v>167</v>
      </c>
      <c r="CO146" s="72">
        <f t="shared" si="749"/>
        <v>182</v>
      </c>
      <c r="CP146" s="72">
        <f t="shared" si="750"/>
        <v>222</v>
      </c>
      <c r="CQ146" s="72">
        <f t="shared" si="751"/>
        <v>269</v>
      </c>
      <c r="CR146" s="72">
        <f t="shared" si="752"/>
        <v>298</v>
      </c>
      <c r="CS146" s="72" t="str">
        <f t="shared" si="753"/>
        <v>-</v>
      </c>
      <c r="CT146" s="23">
        <f t="shared" si="754"/>
        <v>1</v>
      </c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</row>
    <row r="147" spans="1:1029" x14ac:dyDescent="0.2">
      <c r="A147" s="3" t="str">
        <f t="shared" si="951"/>
        <v>agtr1_human_4YAY_dist</v>
      </c>
      <c r="B147" s="3" t="s">
        <v>158</v>
      </c>
      <c r="C147" s="3" t="s">
        <v>1159</v>
      </c>
      <c r="D147" s="3" t="str">
        <f>IFERROR(MID(VLOOKUP($B147,Seqs!$A:$B,2,0),E147,1),"")</f>
        <v>Y</v>
      </c>
      <c r="E147" s="3">
        <v>26</v>
      </c>
      <c r="F147" s="3" t="str">
        <f>IFERROR(MID(VLOOKUP($B147,Seqs!$A:$B,2,0),G147,1),"")</f>
        <v>Y</v>
      </c>
      <c r="G147" s="3">
        <v>56</v>
      </c>
      <c r="H147" s="3" t="str">
        <f>IFERROR(MID(VLOOKUP($B147,Seqs!$A:$B,2,0),I147,1),"")</f>
        <v>M</v>
      </c>
      <c r="I147" s="23">
        <v>57</v>
      </c>
      <c r="J147" s="3" t="str">
        <f>IFERROR(MID(VLOOKUP($B147,Seqs!$A:$B,2,0),K147,1),"")</f>
        <v>K</v>
      </c>
      <c r="K147" s="23">
        <v>60</v>
      </c>
      <c r="L147" s="3" t="str">
        <f>IFERROR(MID(VLOOKUP($B147,Seqs!$A:$B,2,0),M147,1),"")</f>
        <v>T</v>
      </c>
      <c r="M147" s="3">
        <v>61</v>
      </c>
      <c r="N147" s="3" t="str">
        <f>IFERROR(MID(VLOOKUP($B147,Seqs!$A:$B,2,0),O147,1),"")</f>
        <v>M</v>
      </c>
      <c r="O147" s="3">
        <v>90</v>
      </c>
      <c r="P147" s="3" t="str">
        <f>IFERROR(MID(VLOOKUP($B147,Seqs!$A:$B,2,0),Q147,1),"")</f>
        <v>R</v>
      </c>
      <c r="Q147" s="3">
        <v>93</v>
      </c>
      <c r="R147" s="3" t="str">
        <f>IFERROR(MID(VLOOKUP($B147,Seqs!$A:$B,2,0),S147,1),"")</f>
        <v>F</v>
      </c>
      <c r="S147" s="3">
        <v>96</v>
      </c>
      <c r="T147" s="3" t="str">
        <f>IFERROR(MID(VLOOKUP($B147,Seqs!$A:$B,2,0),U147,1),"")</f>
        <v>G</v>
      </c>
      <c r="U147" s="3">
        <v>97</v>
      </c>
      <c r="V147" s="3" t="str">
        <f>IFERROR(MID(VLOOKUP($B147,Seqs!$A:$B,2,0),W147,1),"")</f>
        <v>H</v>
      </c>
      <c r="W147" s="3">
        <v>132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R</v>
      </c>
      <c r="AC147" s="9">
        <v>137</v>
      </c>
      <c r="AD147" s="3" t="str">
        <f>IFERROR(MID(VLOOKUP($B147,Seqs!$A:$B,2,0),AE147,1),"")</f>
        <v>R</v>
      </c>
      <c r="AE147" s="3">
        <v>167</v>
      </c>
      <c r="AF147" s="3" t="str">
        <f>IFERROR(MID(VLOOKUP($B147,Seqs!$A:$B,2,0),AG147,1),"")</f>
        <v>C</v>
      </c>
      <c r="AG147" s="3">
        <v>180</v>
      </c>
      <c r="AH147" s="3" t="str">
        <f>IFERROR(MID(VLOOKUP($B147,Seqs!$A:$B,2,0),AI147,1),"")</f>
        <v>F</v>
      </c>
      <c r="AI147" s="3">
        <v>182</v>
      </c>
      <c r="AJ147" s="3" t="str">
        <f>IFERROR(MID(VLOOKUP($B147,Seqs!$A:$B,2,0),AK147,1),"")</f>
        <v>L</v>
      </c>
      <c r="AK147" s="3">
        <v>191</v>
      </c>
      <c r="AL147" s="3" t="str">
        <f>IFERROR(MID(VLOOKUP($B147,Seqs!$A:$B,2,0),AM147,1),"")</f>
        <v>L</v>
      </c>
      <c r="AM147" s="3">
        <v>222</v>
      </c>
      <c r="AN147" s="3" t="str">
        <f>IFERROR(MID(VLOOKUP($B147,Seqs!$A:$B,2,0),AO147,1),"")</f>
        <v>N</v>
      </c>
      <c r="AO147" s="3">
        <v>235</v>
      </c>
      <c r="AP147" s="3" t="str">
        <f>IFERROR(MID(VLOOKUP($B147,Seqs!$A:$B,2,0),AQ147,1),"")</f>
        <v>G</v>
      </c>
      <c r="AQ147" s="3">
        <v>269</v>
      </c>
      <c r="AR147" s="3" t="str">
        <f>IFERROR(MID(VLOOKUP($B147,Seqs!$A:$B,2,0),AS147,1),"")</f>
        <v>D</v>
      </c>
      <c r="AS147" s="3">
        <v>273</v>
      </c>
      <c r="AT147" s="3" t="str">
        <f>IFERROR(MID(VLOOKUP($B147,Seqs!$A:$B,2,0),AU147,1),"")</f>
        <v>F</v>
      </c>
      <c r="AU147" s="3">
        <v>304</v>
      </c>
      <c r="AV147" s="3" t="str">
        <f>IFERROR(MID(VLOOKUP($B147,Seqs!$A:$B,2,0),AW147,1),"")</f>
        <v>G</v>
      </c>
      <c r="AW147" s="3">
        <v>306</v>
      </c>
      <c r="AX147" s="3" t="str">
        <f>IFERROR(MID(VLOOKUP($B147,Seqs!$A:$B,2,0),AY147,1),"")</f>
        <v>L</v>
      </c>
      <c r="AY147" s="3">
        <v>317</v>
      </c>
      <c r="AZ147" s="77" t="str">
        <f>VLOOKUP(B147,Classification!A:D,2,0)</f>
        <v>A</v>
      </c>
      <c r="BA147" s="94" t="str">
        <f>VLOOKUP(B147,Classification!A:D,4,0)</f>
        <v>Angiotensin</v>
      </c>
      <c r="BB147" s="27" t="b">
        <f t="shared" si="952"/>
        <v>1</v>
      </c>
      <c r="BC147" s="23">
        <f t="shared" si="729"/>
        <v>251</v>
      </c>
      <c r="BD147" s="5"/>
      <c r="BE147" s="3" t="s">
        <v>1374</v>
      </c>
      <c r="BF147" s="118">
        <v>2.9</v>
      </c>
      <c r="BG147" s="49" t="s">
        <v>1377</v>
      </c>
      <c r="BH147" s="49" t="s">
        <v>1377</v>
      </c>
      <c r="BI147" s="1"/>
      <c r="BJ147" s="70" t="s">
        <v>1287</v>
      </c>
      <c r="BK147" s="57" t="s">
        <v>1287</v>
      </c>
      <c r="BL147" s="57" t="s">
        <v>1287</v>
      </c>
      <c r="BM147" s="57" t="s">
        <v>1287</v>
      </c>
      <c r="BN147" s="57" t="s">
        <v>1287</v>
      </c>
      <c r="BO147" s="57" t="s">
        <v>1287</v>
      </c>
      <c r="BP147" s="57" t="s">
        <v>1287</v>
      </c>
      <c r="BQ147" s="57" t="s">
        <v>1287</v>
      </c>
      <c r="BR147" s="57" t="s">
        <v>1287</v>
      </c>
      <c r="BS147" s="57" t="s">
        <v>1287</v>
      </c>
      <c r="BT147" s="57" t="s">
        <v>1287</v>
      </c>
      <c r="BU147" s="57" t="s">
        <v>1287</v>
      </c>
      <c r="BV147" s="70">
        <f t="shared" si="730"/>
        <v>26</v>
      </c>
      <c r="BW147" s="71">
        <f t="shared" si="731"/>
        <v>57</v>
      </c>
      <c r="BX147" s="72">
        <f t="shared" si="732"/>
        <v>61</v>
      </c>
      <c r="BY147" s="71">
        <f t="shared" si="733"/>
        <v>93</v>
      </c>
      <c r="BZ147" s="72">
        <f t="shared" si="734"/>
        <v>97</v>
      </c>
      <c r="CA147" s="71" t="str">
        <f t="shared" si="735"/>
        <v>-</v>
      </c>
      <c r="CB147" s="72">
        <f t="shared" si="736"/>
        <v>137</v>
      </c>
      <c r="CC147" s="71">
        <f t="shared" si="737"/>
        <v>180</v>
      </c>
      <c r="CD147" s="72">
        <f t="shared" si="738"/>
        <v>191</v>
      </c>
      <c r="CE147" s="71">
        <f t="shared" si="739"/>
        <v>235</v>
      </c>
      <c r="CF147" s="72">
        <f t="shared" si="740"/>
        <v>273</v>
      </c>
      <c r="CG147" s="71">
        <f t="shared" si="741"/>
        <v>306</v>
      </c>
      <c r="CH147" s="70">
        <f t="shared" si="742"/>
        <v>56</v>
      </c>
      <c r="CI147" s="71">
        <f t="shared" si="743"/>
        <v>60</v>
      </c>
      <c r="CJ147" s="72">
        <f t="shared" si="744"/>
        <v>90</v>
      </c>
      <c r="CK147" s="72">
        <f t="shared" si="745"/>
        <v>96</v>
      </c>
      <c r="CL147" s="72">
        <f t="shared" si="746"/>
        <v>132</v>
      </c>
      <c r="CM147" s="72" t="str">
        <f t="shared" si="747"/>
        <v>-</v>
      </c>
      <c r="CN147" s="72">
        <f t="shared" si="748"/>
        <v>167</v>
      </c>
      <c r="CO147" s="72">
        <f t="shared" si="749"/>
        <v>182</v>
      </c>
      <c r="CP147" s="72">
        <f t="shared" si="750"/>
        <v>222</v>
      </c>
      <c r="CQ147" s="72">
        <f t="shared" si="751"/>
        <v>269</v>
      </c>
      <c r="CR147" s="72">
        <f t="shared" si="752"/>
        <v>304</v>
      </c>
      <c r="CS147" s="72">
        <f t="shared" si="753"/>
        <v>317</v>
      </c>
      <c r="CT147" s="23">
        <f t="shared" si="754"/>
        <v>1</v>
      </c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</row>
    <row r="148" spans="1:1029" x14ac:dyDescent="0.2">
      <c r="A148" s="3" t="str">
        <f t="shared" si="951"/>
        <v>agtr1_human_4ZUD</v>
      </c>
      <c r="B148" s="3" t="s">
        <v>158</v>
      </c>
      <c r="C148" s="3" t="s">
        <v>1336</v>
      </c>
      <c r="D148" s="3" t="str">
        <f>IFERROR(MID(VLOOKUP($B148,Seqs!$A:$B,2,0),E148,1),"")</f>
        <v>H</v>
      </c>
      <c r="E148" s="3">
        <v>24</v>
      </c>
      <c r="F148" s="3" t="str">
        <f>IFERROR(MID(VLOOKUP($B148,Seqs!$A:$B,2,0),G148,1),"")</f>
        <v>Y</v>
      </c>
      <c r="G148" s="3">
        <v>56</v>
      </c>
      <c r="H148" s="3" t="str">
        <f>IFERROR(MID(VLOOKUP($B148,Seqs!$A:$B,2,0),I148,1),"")</f>
        <v>M</v>
      </c>
      <c r="I148" s="23">
        <v>57</v>
      </c>
      <c r="J148" s="3" t="str">
        <f>IFERROR(MID(VLOOKUP($B148,Seqs!$A:$B,2,0),K148,1),"")</f>
        <v>K</v>
      </c>
      <c r="K148" s="23">
        <v>60</v>
      </c>
      <c r="L148" s="3" t="str">
        <f>IFERROR(MID(VLOOKUP($B148,Seqs!$A:$B,2,0),M148,1),"")</f>
        <v>T</v>
      </c>
      <c r="M148" s="3">
        <v>61</v>
      </c>
      <c r="N148" s="3" t="str">
        <f>IFERROR(MID(VLOOKUP($B148,Seqs!$A:$B,2,0),O148,1),"")</f>
        <v>M</v>
      </c>
      <c r="O148" s="3">
        <v>90</v>
      </c>
      <c r="P148" s="3" t="str">
        <f>IFERROR(MID(VLOOKUP($B148,Seqs!$A:$B,2,0),Q148,1),"")</f>
        <v>R</v>
      </c>
      <c r="Q148" s="3">
        <v>93</v>
      </c>
      <c r="R148" s="3" t="str">
        <f>IFERROR(MID(VLOOKUP($B148,Seqs!$A:$B,2,0),S148,1),"")</f>
        <v>F</v>
      </c>
      <c r="S148" s="3">
        <v>96</v>
      </c>
      <c r="T148" s="3" t="str">
        <f>IFERROR(MID(VLOOKUP($B148,Seqs!$A:$B,2,0),U148,1),"")</f>
        <v>G</v>
      </c>
      <c r="U148" s="3">
        <v>97</v>
      </c>
      <c r="V148" s="3" t="str">
        <f>IFERROR(MID(VLOOKUP($B148,Seqs!$A:$B,2,0),W148,1),"")</f>
        <v>H</v>
      </c>
      <c r="W148" s="3">
        <v>132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M</v>
      </c>
      <c r="AC148" s="9">
        <v>142</v>
      </c>
      <c r="AD148" s="3" t="str">
        <f>IFERROR(MID(VLOOKUP($B148,Seqs!$A:$B,2,0),AE148,1),"")</f>
        <v>R</v>
      </c>
      <c r="AE148" s="3">
        <v>167</v>
      </c>
      <c r="AF148" s="3" t="str">
        <f>IFERROR(MID(VLOOKUP($B148,Seqs!$A:$B,2,0),AG148,1),"")</f>
        <v>C</v>
      </c>
      <c r="AG148" s="3">
        <v>180</v>
      </c>
      <c r="AH148" s="3" t="str">
        <f>IFERROR(MID(VLOOKUP($B148,Seqs!$A:$B,2,0),AI148,1),"")</f>
        <v>F</v>
      </c>
      <c r="AI148" s="3">
        <v>182</v>
      </c>
      <c r="AJ148" s="3" t="str">
        <f>IFERROR(MID(VLOOKUP($B148,Seqs!$A:$B,2,0),AK148,1),"")</f>
        <v>L</v>
      </c>
      <c r="AK148" s="3">
        <v>191</v>
      </c>
      <c r="AL148" s="3" t="str">
        <f>IFERROR(MID(VLOOKUP($B148,Seqs!$A:$B,2,0),AM148,1),"")</f>
        <v>L</v>
      </c>
      <c r="AM148" s="3">
        <v>222</v>
      </c>
      <c r="AN148" s="3" t="str">
        <f>IFERROR(MID(VLOOKUP($B148,Seqs!$A:$B,2,0),AO148,1),"")</f>
        <v>D</v>
      </c>
      <c r="AO148" s="3">
        <v>236</v>
      </c>
      <c r="AP148" s="3" t="str">
        <f>IFERROR(MID(VLOOKUP($B148,Seqs!$A:$B,2,0),AQ148,1),"")</f>
        <v>G</v>
      </c>
      <c r="AQ148" s="3">
        <v>269</v>
      </c>
      <c r="AR148" s="3" t="str">
        <f>IFERROR(MID(VLOOKUP($B148,Seqs!$A:$B,2,0),AS148,1),"")</f>
        <v>D</v>
      </c>
      <c r="AS148" s="3">
        <v>273</v>
      </c>
      <c r="AT148" s="3" t="str">
        <f>IFERROR(MID(VLOOKUP($B148,Seqs!$A:$B,2,0),AU148,1),"")</f>
        <v>F</v>
      </c>
      <c r="AU148" s="3">
        <v>304</v>
      </c>
      <c r="AV148" s="3" t="str">
        <f>IFERROR(MID(VLOOKUP($B148,Seqs!$A:$B,2,0),AW148,1),"")</f>
        <v/>
      </c>
      <c r="AW148" s="3" t="s">
        <v>23</v>
      </c>
      <c r="AX148" s="3" t="str">
        <f>IFERROR(MID(VLOOKUP($B148,Seqs!$A:$B,2,0),AY148,1),"")</f>
        <v/>
      </c>
      <c r="AY148" s="3" t="s">
        <v>23</v>
      </c>
      <c r="AZ148" s="77" t="str">
        <f>VLOOKUP(B148,Classification!A:D,2,0)</f>
        <v>A</v>
      </c>
      <c r="BA148" s="94" t="str">
        <f>VLOOKUP(B148,Classification!A:D,4,0)</f>
        <v>Angiotensin</v>
      </c>
      <c r="BB148" s="27" t="b">
        <f t="shared" si="952"/>
        <v>1</v>
      </c>
      <c r="BC148" s="23">
        <f t="shared" si="729"/>
        <v>236</v>
      </c>
      <c r="BD148" s="2" t="s">
        <v>1376</v>
      </c>
      <c r="BE148" s="3" t="s">
        <v>1374</v>
      </c>
      <c r="BF148" s="118">
        <v>2.8</v>
      </c>
      <c r="BG148" s="49" t="s">
        <v>1377</v>
      </c>
      <c r="BH148" s="49" t="s">
        <v>1377</v>
      </c>
      <c r="BI148" s="1"/>
      <c r="BJ148" s="70" t="s">
        <v>1287</v>
      </c>
      <c r="BK148" s="57" t="s">
        <v>1287</v>
      </c>
      <c r="BL148" s="57" t="s">
        <v>1287</v>
      </c>
      <c r="BM148" s="57" t="s">
        <v>1287</v>
      </c>
      <c r="BN148" s="57" t="s">
        <v>1287</v>
      </c>
      <c r="BO148" s="57" t="s">
        <v>1287</v>
      </c>
      <c r="BP148" s="57" t="s">
        <v>1287</v>
      </c>
      <c r="BQ148" s="57" t="s">
        <v>1287</v>
      </c>
      <c r="BR148" s="57" t="s">
        <v>1287</v>
      </c>
      <c r="BS148" s="57" t="s">
        <v>1287</v>
      </c>
      <c r="BT148" s="57" t="s">
        <v>1287</v>
      </c>
      <c r="BU148" s="57" t="s">
        <v>1287</v>
      </c>
      <c r="BV148" s="70">
        <f t="shared" si="730"/>
        <v>24</v>
      </c>
      <c r="BW148" s="71">
        <f t="shared" si="731"/>
        <v>57</v>
      </c>
      <c r="BX148" s="72">
        <f t="shared" si="732"/>
        <v>61</v>
      </c>
      <c r="BY148" s="71">
        <f t="shared" si="733"/>
        <v>93</v>
      </c>
      <c r="BZ148" s="72">
        <f t="shared" si="734"/>
        <v>97</v>
      </c>
      <c r="CA148" s="71" t="str">
        <f t="shared" si="735"/>
        <v>-</v>
      </c>
      <c r="CB148" s="72">
        <f t="shared" si="736"/>
        <v>142</v>
      </c>
      <c r="CC148" s="71">
        <f t="shared" si="737"/>
        <v>180</v>
      </c>
      <c r="CD148" s="72">
        <f t="shared" si="738"/>
        <v>191</v>
      </c>
      <c r="CE148" s="71">
        <f t="shared" si="739"/>
        <v>236</v>
      </c>
      <c r="CF148" s="72">
        <f t="shared" si="740"/>
        <v>273</v>
      </c>
      <c r="CG148" s="71" t="str">
        <f t="shared" si="741"/>
        <v>-</v>
      </c>
      <c r="CH148" s="70">
        <f t="shared" si="742"/>
        <v>56</v>
      </c>
      <c r="CI148" s="71">
        <f t="shared" si="743"/>
        <v>60</v>
      </c>
      <c r="CJ148" s="72">
        <f t="shared" si="744"/>
        <v>90</v>
      </c>
      <c r="CK148" s="72">
        <f t="shared" si="745"/>
        <v>96</v>
      </c>
      <c r="CL148" s="72">
        <f t="shared" si="746"/>
        <v>132</v>
      </c>
      <c r="CM148" s="72" t="str">
        <f t="shared" si="747"/>
        <v>-</v>
      </c>
      <c r="CN148" s="72">
        <f t="shared" si="748"/>
        <v>167</v>
      </c>
      <c r="CO148" s="72">
        <f t="shared" si="749"/>
        <v>182</v>
      </c>
      <c r="CP148" s="72">
        <f t="shared" si="750"/>
        <v>222</v>
      </c>
      <c r="CQ148" s="72">
        <f t="shared" si="751"/>
        <v>269</v>
      </c>
      <c r="CR148" s="72">
        <f t="shared" si="752"/>
        <v>304</v>
      </c>
      <c r="CS148" s="72" t="str">
        <f t="shared" si="753"/>
        <v>-</v>
      </c>
      <c r="CT148" s="23">
        <f t="shared" si="754"/>
        <v>1</v>
      </c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</row>
    <row r="149" spans="1:1029" s="12" customFormat="1" x14ac:dyDescent="0.2">
      <c r="A149" s="9" t="str">
        <f t="shared" ref="A149" si="981">CONCATENATE(B149,"_",C149)</f>
        <v>agtr1_human_6DO1</v>
      </c>
      <c r="B149" s="9" t="s">
        <v>158</v>
      </c>
      <c r="C149" s="9" t="s">
        <v>1555</v>
      </c>
      <c r="D149" s="9" t="str">
        <f>IFERROR(MID(VLOOKUP($B149,Seqs!$A:$B,2,0),E149,1),"")</f>
        <v>H</v>
      </c>
      <c r="E149" s="9">
        <v>24</v>
      </c>
      <c r="F149" s="9" t="str">
        <f>IFERROR(MID(VLOOKUP($B149,Seqs!$A:$B,2,0),G149,1),"")</f>
        <v>Y</v>
      </c>
      <c r="G149" s="9">
        <v>56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T</v>
      </c>
      <c r="M149" s="9">
        <v>61</v>
      </c>
      <c r="N149" s="9" t="str">
        <f>IFERROR(MID(VLOOKUP($B149,Seqs!$A:$B,2,0),O149,1),"")</f>
        <v>M</v>
      </c>
      <c r="O149" s="9">
        <v>90</v>
      </c>
      <c r="P149" s="9" t="str">
        <f>IFERROR(MID(VLOOKUP($B149,Seqs!$A:$B,2,0),Q149,1),"")</f>
        <v>R</v>
      </c>
      <c r="Q149" s="9">
        <v>93</v>
      </c>
      <c r="R149" s="9" t="str">
        <f>IFERROR(MID(VLOOKUP($B149,Seqs!$A:$B,2,0),S149,1),"")</f>
        <v>F</v>
      </c>
      <c r="S149" s="9">
        <v>96</v>
      </c>
      <c r="T149" s="9" t="str">
        <f>IFERROR(MID(VLOOKUP($B149,Seqs!$A:$B,2,0),U149,1),"")</f>
        <v>G</v>
      </c>
      <c r="U149" s="9">
        <v>97</v>
      </c>
      <c r="V149" s="9" t="str">
        <f>IFERROR(MID(VLOOKUP($B149,Seqs!$A:$B,2,0),W149,1),"")</f>
        <v>H</v>
      </c>
      <c r="W149" s="9">
        <v>132</v>
      </c>
      <c r="X149" s="9" t="str">
        <f>IFERROR(MID(VLOOKUP($B149,Seqs!$A:$B,2,0),Y149,1),"")</f>
        <v>P</v>
      </c>
      <c r="Y149" s="9">
        <v>133</v>
      </c>
      <c r="Z149" s="9" t="str">
        <f>IFERROR(MID(VLOOKUP($B149,Seqs!$A:$B,2,0),AA149,1),"")</f>
        <v>R</v>
      </c>
      <c r="AA149" s="9">
        <v>140</v>
      </c>
      <c r="AB149" s="9" t="str">
        <f>IFERROR(MID(VLOOKUP($B149,Seqs!$A:$B,2,0),AC149,1),"")</f>
        <v>T</v>
      </c>
      <c r="AC149" s="9">
        <v>141</v>
      </c>
      <c r="AD149" s="9" t="str">
        <f>IFERROR(MID(VLOOKUP($B149,Seqs!$A:$B,2,0),AE149,1),"")</f>
        <v>R</v>
      </c>
      <c r="AE149" s="9">
        <v>167</v>
      </c>
      <c r="AF149" s="9" t="str">
        <f>IFERROR(MID(VLOOKUP($B149,Seqs!$A:$B,2,0),AG149,1),"")</f>
        <v>C</v>
      </c>
      <c r="AG149" s="9">
        <v>180</v>
      </c>
      <c r="AH149" s="9" t="str">
        <f>IFERROR(MID(VLOOKUP($B149,Seqs!$A:$B,2,0),AI149,1),"")</f>
        <v>F</v>
      </c>
      <c r="AI149" s="9">
        <v>182</v>
      </c>
      <c r="AJ149" s="9" t="str">
        <f>IFERROR(MID(VLOOKUP($B149,Seqs!$A:$B,2,0),AK149,1),"")</f>
        <v>P</v>
      </c>
      <c r="AK149" s="9">
        <v>192</v>
      </c>
      <c r="AL149" s="9" t="str">
        <f>IFERROR(MID(VLOOKUP($B149,Seqs!$A:$B,2,0),AM149,1),"")</f>
        <v>N</v>
      </c>
      <c r="AM149" s="9">
        <v>231</v>
      </c>
      <c r="AN149" s="9" t="str">
        <f>IFERROR(MID(VLOOKUP($B149,Seqs!$A:$B,2,0),AO149,1),"")</f>
        <v>T</v>
      </c>
      <c r="AO149" s="9">
        <v>336</v>
      </c>
      <c r="AP149" s="9" t="str">
        <f>IFERROR(MID(VLOOKUP($B149,Seqs!$A:$B,2,0),AQ149,1),"")</f>
        <v/>
      </c>
      <c r="AQ149" s="9">
        <v>368</v>
      </c>
      <c r="AR149" s="9" t="str">
        <f>IFERROR(MID(VLOOKUP($B149,Seqs!$A:$B,2,0),AS149,1),"")</f>
        <v/>
      </c>
      <c r="AS149" s="9">
        <v>372</v>
      </c>
      <c r="AT149" s="9" t="str">
        <f>IFERROR(MID(VLOOKUP($B149,Seqs!$A:$B,2,0),AU149,1),"")</f>
        <v/>
      </c>
      <c r="AU149" s="9">
        <v>404</v>
      </c>
      <c r="AV149" s="9" t="str">
        <f>IFERROR(MID(VLOOKUP($B149,Seqs!$A:$B,2,0),AW149,1),"")</f>
        <v/>
      </c>
      <c r="AW149" s="9">
        <v>405</v>
      </c>
      <c r="AX149" s="9" t="str">
        <f>IFERROR(MID(VLOOKUP($B149,Seqs!$A:$B,2,0),AY149,1),"")</f>
        <v/>
      </c>
      <c r="AY149" s="9">
        <v>416</v>
      </c>
      <c r="AZ149" s="110" t="str">
        <f>VLOOKUP(B149,Classification!A:D,2,0)</f>
        <v>A</v>
      </c>
      <c r="BA149" s="98" t="str">
        <f>VLOOKUP(B149,Classification!A:D,4,0)</f>
        <v>Angiotensin</v>
      </c>
      <c r="BB149" s="36" t="b">
        <f t="shared" ref="BB149" si="982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 t="shared" ref="BC149" si="983">_xlfn.AGGREGATE(9,6,CH149:CS149)-_xlfn.AGGREGATE(9,6,BV149:CG149)+12</f>
        <v>260</v>
      </c>
      <c r="BD149" s="40" t="s">
        <v>1375</v>
      </c>
      <c r="BE149" s="9" t="s">
        <v>1291</v>
      </c>
      <c r="BF149" s="119">
        <v>2.9</v>
      </c>
      <c r="BG149" s="51" t="s">
        <v>1</v>
      </c>
      <c r="BH149" s="51" t="s">
        <v>1</v>
      </c>
      <c r="BJ149" s="111" t="s">
        <v>1287</v>
      </c>
      <c r="BK149" s="112" t="s">
        <v>1287</v>
      </c>
      <c r="BL149" s="112" t="s">
        <v>1287</v>
      </c>
      <c r="BM149" s="112" t="s">
        <v>1287</v>
      </c>
      <c r="BN149" s="112" t="s">
        <v>1287</v>
      </c>
      <c r="BO149" s="112" t="s">
        <v>1287</v>
      </c>
      <c r="BP149" s="112" t="s">
        <v>1287</v>
      </c>
      <c r="BQ149" s="112" t="s">
        <v>1287</v>
      </c>
      <c r="BR149" s="112" t="s">
        <v>1287</v>
      </c>
      <c r="BS149" s="112" t="s">
        <v>1287</v>
      </c>
      <c r="BT149" s="112" t="s">
        <v>1287</v>
      </c>
      <c r="BU149" s="112" t="s">
        <v>1287</v>
      </c>
      <c r="BV149" s="111">
        <f t="shared" ref="BV149" si="984">E149</f>
        <v>24</v>
      </c>
      <c r="BW149" s="113" t="str">
        <f t="shared" ref="BW149" si="985">I149</f>
        <v>-</v>
      </c>
      <c r="BX149" s="114">
        <f t="shared" ref="BX149" si="986">M149</f>
        <v>61</v>
      </c>
      <c r="BY149" s="113">
        <f t="shared" ref="BY149" si="987">Q149</f>
        <v>93</v>
      </c>
      <c r="BZ149" s="114">
        <f t="shared" ref="BZ149" si="988">U149</f>
        <v>97</v>
      </c>
      <c r="CA149" s="113">
        <f t="shared" ref="CA149" si="989">Y149</f>
        <v>133</v>
      </c>
      <c r="CB149" s="114">
        <f t="shared" ref="CB149" si="990">AC149</f>
        <v>141</v>
      </c>
      <c r="CC149" s="113">
        <f t="shared" ref="CC149" si="991">AG149</f>
        <v>180</v>
      </c>
      <c r="CD149" s="114">
        <f t="shared" ref="CD149" si="992">AK149</f>
        <v>192</v>
      </c>
      <c r="CE149" s="113">
        <f t="shared" ref="CE149" si="993">AO149</f>
        <v>336</v>
      </c>
      <c r="CF149" s="114">
        <f t="shared" ref="CF149" si="994">AS149</f>
        <v>372</v>
      </c>
      <c r="CG149" s="113">
        <f t="shared" ref="CG149" si="995">AW149</f>
        <v>405</v>
      </c>
      <c r="CH149" s="111">
        <f t="shared" ref="CH149" si="996">G149</f>
        <v>56</v>
      </c>
      <c r="CI149" s="113" t="str">
        <f t="shared" ref="CI149" si="997">K149</f>
        <v>-</v>
      </c>
      <c r="CJ149" s="114">
        <f t="shared" ref="CJ149" si="998">O149</f>
        <v>90</v>
      </c>
      <c r="CK149" s="114">
        <f t="shared" ref="CK149" si="999">S149</f>
        <v>96</v>
      </c>
      <c r="CL149" s="114">
        <f t="shared" ref="CL149" si="1000">W149</f>
        <v>132</v>
      </c>
      <c r="CM149" s="114">
        <f t="shared" ref="CM149" si="1001">AA149</f>
        <v>140</v>
      </c>
      <c r="CN149" s="114">
        <f t="shared" ref="CN149" si="1002">AE149</f>
        <v>167</v>
      </c>
      <c r="CO149" s="114">
        <f t="shared" ref="CO149" si="1003">AI149</f>
        <v>182</v>
      </c>
      <c r="CP149" s="114">
        <f t="shared" ref="CP149" si="1004">AM149</f>
        <v>231</v>
      </c>
      <c r="CQ149" s="114">
        <f t="shared" ref="CQ149" si="1005">AQ149</f>
        <v>368</v>
      </c>
      <c r="CR149" s="114">
        <f t="shared" ref="CR149" si="1006">AU149</f>
        <v>404</v>
      </c>
      <c r="CS149" s="114">
        <f t="shared" ref="CS149" si="1007">AY149</f>
        <v>416</v>
      </c>
      <c r="CT149" s="109" t="e">
        <f t="shared" ref="CT149" si="1008">M149-K149</f>
        <v>#VALUE!</v>
      </c>
    </row>
    <row r="150" spans="1:1029" x14ac:dyDescent="0.2">
      <c r="A150" s="3" t="str">
        <f t="shared" ref="A150:A161" si="1009">CONCATENATE(B150,"_",C150)</f>
        <v>agtr2_human__wt</v>
      </c>
      <c r="B150" s="3" t="s">
        <v>159</v>
      </c>
      <c r="C150" s="3" t="s">
        <v>100</v>
      </c>
      <c r="D150" s="3" t="str">
        <f>IFERROR(MID(VLOOKUP($B150,Seqs!$A:$B,2,0),E150,1),"")</f>
        <v>D</v>
      </c>
      <c r="E150" s="3">
        <v>45</v>
      </c>
      <c r="F150" s="3" t="str">
        <f>IFERROR(MID(VLOOKUP($B150,Seqs!$A:$B,2,0),G150,1),"")</f>
        <v>Q</v>
      </c>
      <c r="G150" s="3">
        <v>72</v>
      </c>
      <c r="H150" s="3" t="str">
        <f>IFERROR(MID(VLOOKUP($B150,Seqs!$A:$B,2,0),I150,1),"")</f>
        <v/>
      </c>
      <c r="I150" s="23" t="s">
        <v>23</v>
      </c>
      <c r="J150" s="3" t="str">
        <f>IFERROR(MID(VLOOKUP($B150,Seqs!$A:$B,2,0),K150,1),"")</f>
        <v/>
      </c>
      <c r="K150" s="23" t="s">
        <v>23</v>
      </c>
      <c r="L150" s="3" t="str">
        <f>IFERROR(MID(VLOOKUP($B150,Seqs!$A:$B,2,0),M150,1),"")</f>
        <v>V</v>
      </c>
      <c r="M150" s="3">
        <v>78</v>
      </c>
      <c r="N150" s="3" t="str">
        <f>IFERROR(MID(VLOOKUP($B150,Seqs!$A:$B,2,0),O150,1),"")</f>
        <v>Y</v>
      </c>
      <c r="O150" s="3">
        <v>106</v>
      </c>
      <c r="P150" s="3" t="str">
        <f>IFERROR(MID(VLOOKUP($B150,Seqs!$A:$B,2,0),Q150,1),"")</f>
        <v>R</v>
      </c>
      <c r="Q150" s="3">
        <v>107</v>
      </c>
      <c r="R150" s="3" t="str">
        <f>IFERROR(MID(VLOOKUP($B150,Seqs!$A:$B,2,0),S150,1),"")</f>
        <v>F</v>
      </c>
      <c r="S150" s="3">
        <v>112</v>
      </c>
      <c r="T150" s="3" t="str">
        <f>IFERROR(MID(VLOOKUP($B150,Seqs!$A:$B,2,0),U150,1),"")</f>
        <v>G</v>
      </c>
      <c r="U150" s="3">
        <v>113</v>
      </c>
      <c r="V150" s="3" t="str">
        <f>IFERROR(MID(VLOOKUP($B150,Seqs!$A:$B,2,0),W150,1),"")</f>
        <v>Y</v>
      </c>
      <c r="W150" s="3">
        <v>148</v>
      </c>
      <c r="X150" s="3" t="str">
        <f>IFERROR(MID(VLOOKUP($B150,Seqs!$A:$B,2,0),Y150,1),"")</f>
        <v>P</v>
      </c>
      <c r="Y150" s="3">
        <v>149</v>
      </c>
      <c r="Z150" s="3" t="str">
        <f>IFERROR(MID(VLOOKUP($B150,Seqs!$A:$B,2,0),AA150,1),"")</f>
        <v>R</v>
      </c>
      <c r="AA150" s="3">
        <v>155</v>
      </c>
      <c r="AB150" s="3" t="str">
        <f>IFERROR(MID(VLOOKUP($B150,Seqs!$A:$B,2,0),AC150,1),"")</f>
        <v>N</v>
      </c>
      <c r="AC150" s="3">
        <v>156</v>
      </c>
      <c r="AD150" s="3" t="str">
        <f>IFERROR(MID(VLOOKUP($B150,Seqs!$A:$B,2,0),AE150,1),"")</f>
        <v>R</v>
      </c>
      <c r="AE150" s="3">
        <v>182</v>
      </c>
      <c r="AF150" s="3" t="str">
        <f>IFERROR(MID(VLOOKUP($B150,Seqs!$A:$B,2,0),AG150,1),"")</f>
        <v>C</v>
      </c>
      <c r="AG150" s="3">
        <v>195</v>
      </c>
      <c r="AH150" s="3" t="str">
        <f>IFERROR(MID(VLOOKUP($B150,Seqs!$A:$B,2,0),AI150,1),"")</f>
        <v>M</v>
      </c>
      <c r="AI150" s="3">
        <v>197</v>
      </c>
      <c r="AJ150" s="3" t="str">
        <f>IFERROR(MID(VLOOKUP($B150,Seqs!$A:$B,2,0),AK150,1),"")</f>
        <v>K</v>
      </c>
      <c r="AK150" s="3">
        <v>203</v>
      </c>
      <c r="AL150" s="3" t="str">
        <f>IFERROR(MID(VLOOKUP($B150,Seqs!$A:$B,2,0),AM150,1),"")</f>
        <v>T</v>
      </c>
      <c r="AM150" s="3">
        <v>241</v>
      </c>
      <c r="AN150" s="3" t="str">
        <f>IFERROR(MID(VLOOKUP($B150,Seqs!$A:$B,2,0),AO150,1),"")</f>
        <v>G</v>
      </c>
      <c r="AO150" s="3">
        <v>245</v>
      </c>
      <c r="AP150" s="3" t="str">
        <f>IFERROR(MID(VLOOKUP($B150,Seqs!$A:$B,2,0),AQ150,1),"")</f>
        <v>G</v>
      </c>
      <c r="AQ150" s="3">
        <v>285</v>
      </c>
      <c r="AR150" s="3" t="str">
        <f>IFERROR(MID(VLOOKUP($B150,Seqs!$A:$B,2,0),AS150,1),"")</f>
        <v>S</v>
      </c>
      <c r="AS150" s="3">
        <v>289</v>
      </c>
      <c r="AT150" s="3" t="str">
        <f>IFERROR(MID(VLOOKUP($B150,Seqs!$A:$B,2,0),AU150,1),"")</f>
        <v>V</v>
      </c>
      <c r="AU150" s="3">
        <v>321</v>
      </c>
      <c r="AV150" s="3" t="str">
        <f>IFERROR(MID(VLOOKUP($B150,Seqs!$A:$B,2,0),AW150,1),"")</f>
        <v>G</v>
      </c>
      <c r="AW150" s="3">
        <v>322</v>
      </c>
      <c r="AX150" s="3" t="str">
        <f>IFERROR(MID(VLOOKUP($B150,Seqs!$A:$B,2,0),AY150,1),"")</f>
        <v>P</v>
      </c>
      <c r="AY150" s="3">
        <v>336</v>
      </c>
      <c r="AZ150" s="77" t="str">
        <f>VLOOKUP(B150,Classification!A:D,2,0)</f>
        <v>A</v>
      </c>
      <c r="BA150" s="94" t="str">
        <f>VLOOKUP(B150,Classification!A:D,4,0)</f>
        <v>Angiotensin</v>
      </c>
      <c r="BB150" s="27" t="b">
        <f t="shared" ref="BB150:BB161" si="1010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23">
        <f t="shared" ref="BC150:BC161" si="1011">_xlfn.AGGREGATE(9,6,CH150:CS150)-_xlfn.AGGREGATE(9,6,BV150:CG150)+12</f>
        <v>265</v>
      </c>
      <c r="BD150" s="2" t="s">
        <v>23</v>
      </c>
      <c r="BE150" s="3" t="s">
        <v>23</v>
      </c>
      <c r="BF150" s="118" t="s">
        <v>23</v>
      </c>
      <c r="BG150" s="49" t="s">
        <v>1377</v>
      </c>
      <c r="BH150" s="49" t="s">
        <v>1377</v>
      </c>
      <c r="BI150" s="1"/>
      <c r="BJ150" s="70" t="s">
        <v>1287</v>
      </c>
      <c r="BK150" s="57" t="s">
        <v>1287</v>
      </c>
      <c r="BL150" s="57" t="s">
        <v>1287</v>
      </c>
      <c r="BM150" s="57" t="s">
        <v>1287</v>
      </c>
      <c r="BN150" s="57" t="s">
        <v>1287</v>
      </c>
      <c r="BO150" s="57" t="s">
        <v>1287</v>
      </c>
      <c r="BP150" s="57" t="s">
        <v>1287</v>
      </c>
      <c r="BQ150" s="57" t="s">
        <v>1287</v>
      </c>
      <c r="BR150" s="57" t="s">
        <v>1287</v>
      </c>
      <c r="BS150" s="57" t="s">
        <v>1287</v>
      </c>
      <c r="BT150" s="57" t="s">
        <v>1287</v>
      </c>
      <c r="BU150" s="57" t="s">
        <v>1287</v>
      </c>
      <c r="BV150" s="70">
        <f t="shared" ref="BV150:BV161" si="1012">E150</f>
        <v>45</v>
      </c>
      <c r="BW150" s="71" t="str">
        <f t="shared" ref="BW150:BW161" si="1013">I150</f>
        <v>-</v>
      </c>
      <c r="BX150" s="72">
        <f t="shared" ref="BX150:BX161" si="1014">M150</f>
        <v>78</v>
      </c>
      <c r="BY150" s="71">
        <f t="shared" ref="BY150:BY161" si="1015">Q150</f>
        <v>107</v>
      </c>
      <c r="BZ150" s="72">
        <f t="shared" ref="BZ150:BZ161" si="1016">U150</f>
        <v>113</v>
      </c>
      <c r="CA150" s="71">
        <f t="shared" ref="CA150:CA161" si="1017">Y150</f>
        <v>149</v>
      </c>
      <c r="CB150" s="72">
        <f t="shared" ref="CB150:CB161" si="1018">AC150</f>
        <v>156</v>
      </c>
      <c r="CC150" s="71">
        <f t="shared" ref="CC150:CC161" si="1019">AG150</f>
        <v>195</v>
      </c>
      <c r="CD150" s="72">
        <f t="shared" ref="CD150:CD161" si="1020">AK150</f>
        <v>203</v>
      </c>
      <c r="CE150" s="71">
        <f t="shared" ref="CE150:CE161" si="1021">AO150</f>
        <v>245</v>
      </c>
      <c r="CF150" s="72">
        <f t="shared" ref="CF150:CF161" si="1022">AS150</f>
        <v>289</v>
      </c>
      <c r="CG150" s="71">
        <f t="shared" ref="CG150:CG161" si="1023">AW150</f>
        <v>322</v>
      </c>
      <c r="CH150" s="70">
        <f t="shared" ref="CH150:CH161" si="1024">G150</f>
        <v>72</v>
      </c>
      <c r="CI150" s="71" t="str">
        <f t="shared" ref="CI150:CI161" si="1025">K150</f>
        <v>-</v>
      </c>
      <c r="CJ150" s="72">
        <f t="shared" ref="CJ150:CJ161" si="1026">O150</f>
        <v>106</v>
      </c>
      <c r="CK150" s="72">
        <f t="shared" ref="CK150:CK161" si="1027">S150</f>
        <v>112</v>
      </c>
      <c r="CL150" s="72">
        <f t="shared" ref="CL150:CL161" si="1028">W150</f>
        <v>148</v>
      </c>
      <c r="CM150" s="72">
        <f t="shared" ref="CM150:CM161" si="1029">AA150</f>
        <v>155</v>
      </c>
      <c r="CN150" s="72">
        <f t="shared" ref="CN150:CN161" si="1030">AE150</f>
        <v>182</v>
      </c>
      <c r="CO150" s="72">
        <f t="shared" ref="CO150:CO161" si="1031">AI150</f>
        <v>197</v>
      </c>
      <c r="CP150" s="72">
        <f t="shared" ref="CP150:CP161" si="1032">AM150</f>
        <v>241</v>
      </c>
      <c r="CQ150" s="72">
        <f t="shared" ref="CQ150:CQ161" si="1033">AQ150</f>
        <v>285</v>
      </c>
      <c r="CR150" s="72">
        <f t="shared" ref="CR150:CR161" si="1034">AU150</f>
        <v>321</v>
      </c>
      <c r="CS150" s="72">
        <f t="shared" ref="CS150:CS161" si="1035">AY150</f>
        <v>336</v>
      </c>
      <c r="CT150" s="23" t="e">
        <f t="shared" ref="CT150:CT161" si="1036">M150-K150</f>
        <v>#VALUE!</v>
      </c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</row>
    <row r="151" spans="1:1029" x14ac:dyDescent="0.2">
      <c r="A151" s="3" t="str">
        <f t="shared" si="1009"/>
        <v>agtr2_human_5UNF</v>
      </c>
      <c r="B151" s="3" t="s">
        <v>159</v>
      </c>
      <c r="C151" s="3" t="s">
        <v>1392</v>
      </c>
      <c r="D151" s="3" t="str">
        <f>IFERROR(MID(VLOOKUP($B151,Seqs!$A:$B,2,0),E151,1),"")</f>
        <v>A</v>
      </c>
      <c r="E151" s="3">
        <v>46</v>
      </c>
      <c r="F151" s="3" t="str">
        <f>IFERROR(MID(VLOOKUP($B151,Seqs!$A:$B,2,0),G151,1),"")</f>
        <v>Q</v>
      </c>
      <c r="G151" s="3">
        <v>72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V</v>
      </c>
      <c r="M151" s="3">
        <v>78</v>
      </c>
      <c r="N151" s="3" t="str">
        <f>IFERROR(MID(VLOOKUP($B151,Seqs!$A:$B,2,0),O151,1),"")</f>
        <v>Y</v>
      </c>
      <c r="O151" s="3">
        <v>106</v>
      </c>
      <c r="P151" s="3" t="str">
        <f>IFERROR(MID(VLOOKUP($B151,Seqs!$A:$B,2,0),Q151,1),"")</f>
        <v>R</v>
      </c>
      <c r="Q151" s="3">
        <v>107</v>
      </c>
      <c r="R151" s="3" t="str">
        <f>IFERROR(MID(VLOOKUP($B151,Seqs!$A:$B,2,0),S151,1),"")</f>
        <v>F</v>
      </c>
      <c r="S151" s="3">
        <v>112</v>
      </c>
      <c r="T151" s="3" t="str">
        <f>IFERROR(MID(VLOOKUP($B151,Seqs!$A:$B,2,0),U151,1),"")</f>
        <v>G</v>
      </c>
      <c r="U151" s="3">
        <v>113</v>
      </c>
      <c r="V151" s="3" t="str">
        <f>IFERROR(MID(VLOOKUP($B151,Seqs!$A:$B,2,0),W151,1),"")</f>
        <v>Y</v>
      </c>
      <c r="W151" s="3">
        <v>148</v>
      </c>
      <c r="X151" s="3" t="str">
        <f>IFERROR(MID(VLOOKUP($B151,Seqs!$A:$B,2,0),Y151,1),"")</f>
        <v/>
      </c>
      <c r="Y151" s="3" t="s">
        <v>23</v>
      </c>
      <c r="Z151" s="3" t="str">
        <f>IFERROR(MID(VLOOKUP($B151,Seqs!$A:$B,2,0),AA151,1),"")</f>
        <v/>
      </c>
      <c r="AA151" s="3" t="s">
        <v>23</v>
      </c>
      <c r="AB151" s="3" t="str">
        <f>IFERROR(MID(VLOOKUP($B151,Seqs!$A:$B,2,0),AC151,1),"")</f>
        <v>W</v>
      </c>
      <c r="AC151" s="3">
        <v>158</v>
      </c>
      <c r="AD151" s="3" t="str">
        <f>IFERROR(MID(VLOOKUP($B151,Seqs!$A:$B,2,0),AE151,1),"")</f>
        <v>R</v>
      </c>
      <c r="AE151" s="3">
        <v>182</v>
      </c>
      <c r="AF151" s="3" t="str">
        <f>IFERROR(MID(VLOOKUP($B151,Seqs!$A:$B,2,0),AG151,1),"")</f>
        <v>C</v>
      </c>
      <c r="AG151" s="3">
        <v>195</v>
      </c>
      <c r="AH151" s="3" t="str">
        <f>IFERROR(MID(VLOOKUP($B151,Seqs!$A:$B,2,0),AI151,1),"")</f>
        <v>M</v>
      </c>
      <c r="AI151" s="3">
        <v>197</v>
      </c>
      <c r="AJ151" s="3" t="str">
        <f>IFERROR(MID(VLOOKUP($B151,Seqs!$A:$B,2,0),AK151,1),"")</f>
        <v>Y</v>
      </c>
      <c r="AK151" s="3">
        <v>204</v>
      </c>
      <c r="AL151" s="3" t="str">
        <f>IFERROR(MID(VLOOKUP($B151,Seqs!$A:$B,2,0),AM151,1),"")</f>
        <v>T</v>
      </c>
      <c r="AM151" s="3">
        <v>241</v>
      </c>
      <c r="AN151" s="3" t="str">
        <f>IFERROR(MID(VLOOKUP($B151,Seqs!$A:$B,2,0),AO151,1),"")</f>
        <v>G</v>
      </c>
      <c r="AO151" s="3">
        <v>245</v>
      </c>
      <c r="AP151" s="3" t="str">
        <f>IFERROR(MID(VLOOKUP($B151,Seqs!$A:$B,2,0),AQ151,1),"")</f>
        <v>G</v>
      </c>
      <c r="AQ151" s="3">
        <v>285</v>
      </c>
      <c r="AR151" s="3" t="str">
        <f>IFERROR(MID(VLOOKUP($B151,Seqs!$A:$B,2,0),AS151,1),"")</f>
        <v>C</v>
      </c>
      <c r="AS151" s="3">
        <v>290</v>
      </c>
      <c r="AT151" s="3" t="str">
        <f>IFERROR(MID(VLOOKUP($B151,Seqs!$A:$B,2,0),AU151,1),"")</f>
        <v>V</v>
      </c>
      <c r="AU151" s="3">
        <v>321</v>
      </c>
      <c r="AV151" s="3" t="str">
        <f>IFERROR(MID(VLOOKUP($B151,Seqs!$A:$B,2,0),AW151,1),"")</f>
        <v>G</v>
      </c>
      <c r="AW151" s="3">
        <v>322</v>
      </c>
      <c r="AX151" s="3" t="str">
        <f>IFERROR(MID(VLOOKUP($B151,Seqs!$A:$B,2,0),AY151,1),"")</f>
        <v>R</v>
      </c>
      <c r="AY151" s="3">
        <v>334</v>
      </c>
      <c r="AZ151" s="77"/>
      <c r="BA151" s="94" t="str">
        <f>VLOOKUP(B151,Classification!A:D,4,0)</f>
        <v>Angiotensin</v>
      </c>
      <c r="BB151" s="27" t="b">
        <f t="shared" si="1010"/>
        <v>1</v>
      </c>
      <c r="BC151" s="23">
        <f t="shared" si="1011"/>
        <v>252</v>
      </c>
      <c r="BD151" s="2" t="s">
        <v>23</v>
      </c>
      <c r="BE151" s="3" t="s">
        <v>1291</v>
      </c>
      <c r="BF151" s="118">
        <v>2.8</v>
      </c>
      <c r="BG151" s="49" t="s">
        <v>1377</v>
      </c>
      <c r="BH151" s="49" t="s">
        <v>1</v>
      </c>
      <c r="BI151" s="1"/>
      <c r="BJ151" s="70" t="s">
        <v>1287</v>
      </c>
      <c r="BK151" s="57" t="s">
        <v>1287</v>
      </c>
      <c r="BL151" s="57" t="s">
        <v>1287</v>
      </c>
      <c r="BM151" s="57" t="s">
        <v>1287</v>
      </c>
      <c r="BN151" s="57" t="s">
        <v>1287</v>
      </c>
      <c r="BO151" s="57" t="s">
        <v>1287</v>
      </c>
      <c r="BP151" s="57" t="s">
        <v>1287</v>
      </c>
      <c r="BQ151" s="57" t="s">
        <v>1287</v>
      </c>
      <c r="BR151" s="57" t="s">
        <v>1287</v>
      </c>
      <c r="BS151" s="57" t="s">
        <v>1287</v>
      </c>
      <c r="BT151" s="57" t="s">
        <v>1287</v>
      </c>
      <c r="BU151" s="57" t="s">
        <v>1287</v>
      </c>
      <c r="BV151" s="70">
        <f t="shared" si="1012"/>
        <v>46</v>
      </c>
      <c r="BW151" s="71" t="str">
        <f t="shared" si="1013"/>
        <v>-</v>
      </c>
      <c r="BX151" s="72">
        <f t="shared" si="1014"/>
        <v>78</v>
      </c>
      <c r="BY151" s="71">
        <f t="shared" si="1015"/>
        <v>107</v>
      </c>
      <c r="BZ151" s="72">
        <f t="shared" si="1016"/>
        <v>113</v>
      </c>
      <c r="CA151" s="71" t="str">
        <f t="shared" si="1017"/>
        <v>-</v>
      </c>
      <c r="CB151" s="72">
        <f t="shared" si="1018"/>
        <v>158</v>
      </c>
      <c r="CC151" s="71">
        <f t="shared" si="1019"/>
        <v>195</v>
      </c>
      <c r="CD151" s="72">
        <f t="shared" si="1020"/>
        <v>204</v>
      </c>
      <c r="CE151" s="71">
        <f t="shared" si="1021"/>
        <v>245</v>
      </c>
      <c r="CF151" s="72">
        <f t="shared" si="1022"/>
        <v>290</v>
      </c>
      <c r="CG151" s="71">
        <f t="shared" si="1023"/>
        <v>322</v>
      </c>
      <c r="CH151" s="70">
        <f t="shared" si="1024"/>
        <v>72</v>
      </c>
      <c r="CI151" s="71" t="str">
        <f t="shared" si="1025"/>
        <v>-</v>
      </c>
      <c r="CJ151" s="72">
        <f t="shared" si="1026"/>
        <v>106</v>
      </c>
      <c r="CK151" s="72">
        <f t="shared" si="1027"/>
        <v>112</v>
      </c>
      <c r="CL151" s="72">
        <f t="shared" si="1028"/>
        <v>148</v>
      </c>
      <c r="CM151" s="72" t="str">
        <f t="shared" si="1029"/>
        <v>-</v>
      </c>
      <c r="CN151" s="72">
        <f t="shared" si="1030"/>
        <v>182</v>
      </c>
      <c r="CO151" s="72">
        <f t="shared" si="1031"/>
        <v>197</v>
      </c>
      <c r="CP151" s="72">
        <f t="shared" si="1032"/>
        <v>241</v>
      </c>
      <c r="CQ151" s="72">
        <f t="shared" si="1033"/>
        <v>285</v>
      </c>
      <c r="CR151" s="72">
        <f t="shared" si="1034"/>
        <v>321</v>
      </c>
      <c r="CS151" s="72">
        <f t="shared" si="1035"/>
        <v>334</v>
      </c>
      <c r="CT151" s="23" t="e">
        <f t="shared" si="1036"/>
        <v>#VALUE!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29" x14ac:dyDescent="0.2">
      <c r="A152" s="3" t="str">
        <f t="shared" si="1009"/>
        <v>agtr2_human_5UNG</v>
      </c>
      <c r="B152" s="3" t="s">
        <v>159</v>
      </c>
      <c r="C152" s="3" t="s">
        <v>1394</v>
      </c>
      <c r="D152" s="3" t="str">
        <f>IFERROR(MID(VLOOKUP($B152,Seqs!$A:$B,2,0),E152,1),"")</f>
        <v>D</v>
      </c>
      <c r="E152" s="3">
        <v>45</v>
      </c>
      <c r="F152" s="3" t="str">
        <f>IFERROR(MID(VLOOKUP($B152,Seqs!$A:$B,2,0),G152,1),"")</f>
        <v>C</v>
      </c>
      <c r="G152" s="3">
        <v>71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V</v>
      </c>
      <c r="M152" s="3">
        <v>78</v>
      </c>
      <c r="N152" s="3" t="str">
        <f>IFERROR(MID(VLOOKUP($B152,Seqs!$A:$B,2,0),O152,1),"")</f>
        <v>Y</v>
      </c>
      <c r="O152" s="3">
        <v>106</v>
      </c>
      <c r="P152" s="3" t="str">
        <f>IFERROR(MID(VLOOKUP($B152,Seqs!$A:$B,2,0),Q152,1),"")</f>
        <v>R</v>
      </c>
      <c r="Q152" s="3">
        <v>107</v>
      </c>
      <c r="R152" s="3" t="str">
        <f>IFERROR(MID(VLOOKUP($B152,Seqs!$A:$B,2,0),S152,1),"")</f>
        <v>F</v>
      </c>
      <c r="S152" s="3">
        <v>112</v>
      </c>
      <c r="T152" s="3" t="str">
        <f>IFERROR(MID(VLOOKUP($B152,Seqs!$A:$B,2,0),U152,1),"")</f>
        <v>G</v>
      </c>
      <c r="U152" s="3">
        <v>113</v>
      </c>
      <c r="V152" s="3" t="str">
        <f>IFERROR(MID(VLOOKUP($B152,Seqs!$A:$B,2,0),W152,1),"")</f>
        <v>Y</v>
      </c>
      <c r="W152" s="3">
        <v>148</v>
      </c>
      <c r="X152" s="3" t="str">
        <f>IFERROR(MID(VLOOKUP($B152,Seqs!$A:$B,2,0),Y152,1),"")</f>
        <v/>
      </c>
      <c r="Y152" s="3" t="s">
        <v>23</v>
      </c>
      <c r="Z152" s="3" t="str">
        <f>IFERROR(MID(VLOOKUP($B152,Seqs!$A:$B,2,0),AA152,1),"")</f>
        <v/>
      </c>
      <c r="AA152" s="3" t="s">
        <v>23</v>
      </c>
      <c r="AB152" s="3" t="str">
        <f>IFERROR(MID(VLOOKUP($B152,Seqs!$A:$B,2,0),AC152,1),"")</f>
        <v>Q</v>
      </c>
      <c r="AC152" s="3">
        <v>159</v>
      </c>
      <c r="AD152" s="3" t="str">
        <f>IFERROR(MID(VLOOKUP($B152,Seqs!$A:$B,2,0),AE152,1),"")</f>
        <v>R</v>
      </c>
      <c r="AE152" s="3">
        <v>182</v>
      </c>
      <c r="AF152" s="3" t="str">
        <f>IFERROR(MID(VLOOKUP($B152,Seqs!$A:$B,2,0),AG152,1),"")</f>
        <v>C</v>
      </c>
      <c r="AG152" s="3">
        <v>195</v>
      </c>
      <c r="AH152" s="3" t="str">
        <f>IFERROR(MID(VLOOKUP($B152,Seqs!$A:$B,2,0),AI152,1),"")</f>
        <v>M</v>
      </c>
      <c r="AI152" s="3">
        <v>197</v>
      </c>
      <c r="AJ152" s="3" t="str">
        <f>IFERROR(MID(VLOOKUP($B152,Seqs!$A:$B,2,0),AK152,1),"")</f>
        <v>K</v>
      </c>
      <c r="AK152" s="3">
        <v>203</v>
      </c>
      <c r="AL152" s="3" t="str">
        <f>IFERROR(MID(VLOOKUP($B152,Seqs!$A:$B,2,0),AM152,1),"")</f>
        <v>T</v>
      </c>
      <c r="AM152" s="3">
        <v>241</v>
      </c>
      <c r="AN152" s="3" t="str">
        <f>IFERROR(MID(VLOOKUP($B152,Seqs!$A:$B,2,0),AO152,1),"")</f>
        <v>G</v>
      </c>
      <c r="AO152" s="3">
        <v>245</v>
      </c>
      <c r="AP152" s="3" t="str">
        <f>IFERROR(MID(VLOOKUP($B152,Seqs!$A:$B,2,0),AQ152,1),"")</f>
        <v>G</v>
      </c>
      <c r="AQ152" s="3">
        <v>285</v>
      </c>
      <c r="AR152" s="3" t="str">
        <f>IFERROR(MID(VLOOKUP($B152,Seqs!$A:$B,2,0),AS152,1),"")</f>
        <v>S</v>
      </c>
      <c r="AS152" s="3">
        <v>289</v>
      </c>
      <c r="AT152" s="3" t="str">
        <f>IFERROR(MID(VLOOKUP($B152,Seqs!$A:$B,2,0),AU152,1),"")</f>
        <v>V</v>
      </c>
      <c r="AU152" s="3">
        <v>321</v>
      </c>
      <c r="AV152" s="3" t="str">
        <f>IFERROR(MID(VLOOKUP($B152,Seqs!$A:$B,2,0),AW152,1),"")</f>
        <v>G</v>
      </c>
      <c r="AW152" s="3">
        <v>322</v>
      </c>
      <c r="AX152" s="3" t="str">
        <f>IFERROR(MID(VLOOKUP($B152,Seqs!$A:$B,2,0),AY152,1),"")</f>
        <v>R</v>
      </c>
      <c r="AY152" s="3">
        <v>334</v>
      </c>
      <c r="AZ152" s="77" t="str">
        <f>VLOOKUP(B152,Classification!A:D,2,0)</f>
        <v>A</v>
      </c>
      <c r="BA152" s="94" t="str">
        <f>VLOOKUP(B152,Classification!A:D,4,0)</f>
        <v>Angiotensin</v>
      </c>
      <c r="BB152" s="27" t="b">
        <f t="shared" si="1010"/>
        <v>1</v>
      </c>
      <c r="BC152" s="23">
        <f t="shared" si="1011"/>
        <v>253</v>
      </c>
      <c r="BD152" s="2" t="s">
        <v>23</v>
      </c>
      <c r="BE152" s="3" t="s">
        <v>1291</v>
      </c>
      <c r="BF152" s="118">
        <v>2.8</v>
      </c>
      <c r="BG152" s="49" t="s">
        <v>1377</v>
      </c>
      <c r="BH152" s="49" t="s">
        <v>1281</v>
      </c>
      <c r="BI152" s="1"/>
      <c r="BJ152" s="70" t="s">
        <v>1287</v>
      </c>
      <c r="BK152" s="57" t="s">
        <v>1287</v>
      </c>
      <c r="BL152" s="57" t="s">
        <v>1287</v>
      </c>
      <c r="BM152" s="57" t="s">
        <v>1287</v>
      </c>
      <c r="BN152" s="57" t="s">
        <v>1287</v>
      </c>
      <c r="BO152" s="57" t="s">
        <v>1287</v>
      </c>
      <c r="BP152" s="57" t="s">
        <v>1287</v>
      </c>
      <c r="BQ152" s="57" t="s">
        <v>1287</v>
      </c>
      <c r="BR152" s="57" t="s">
        <v>1287</v>
      </c>
      <c r="BS152" s="57" t="s">
        <v>1287</v>
      </c>
      <c r="BT152" s="57" t="s">
        <v>1287</v>
      </c>
      <c r="BU152" s="57" t="s">
        <v>1287</v>
      </c>
      <c r="BV152" s="70">
        <f t="shared" si="1012"/>
        <v>45</v>
      </c>
      <c r="BW152" s="71" t="str">
        <f t="shared" si="1013"/>
        <v>-</v>
      </c>
      <c r="BX152" s="72">
        <f t="shared" si="1014"/>
        <v>78</v>
      </c>
      <c r="BY152" s="71">
        <f t="shared" si="1015"/>
        <v>107</v>
      </c>
      <c r="BZ152" s="72">
        <f t="shared" si="1016"/>
        <v>113</v>
      </c>
      <c r="CA152" s="71" t="str">
        <f t="shared" si="1017"/>
        <v>-</v>
      </c>
      <c r="CB152" s="72">
        <f t="shared" si="1018"/>
        <v>159</v>
      </c>
      <c r="CC152" s="71">
        <f t="shared" si="1019"/>
        <v>195</v>
      </c>
      <c r="CD152" s="72">
        <f t="shared" si="1020"/>
        <v>203</v>
      </c>
      <c r="CE152" s="71">
        <f t="shared" si="1021"/>
        <v>245</v>
      </c>
      <c r="CF152" s="72">
        <f t="shared" si="1022"/>
        <v>289</v>
      </c>
      <c r="CG152" s="71">
        <f t="shared" si="1023"/>
        <v>322</v>
      </c>
      <c r="CH152" s="70">
        <f t="shared" si="1024"/>
        <v>71</v>
      </c>
      <c r="CI152" s="71" t="str">
        <f t="shared" si="1025"/>
        <v>-</v>
      </c>
      <c r="CJ152" s="72">
        <f t="shared" si="1026"/>
        <v>106</v>
      </c>
      <c r="CK152" s="72">
        <f t="shared" si="1027"/>
        <v>112</v>
      </c>
      <c r="CL152" s="72">
        <f t="shared" si="1028"/>
        <v>148</v>
      </c>
      <c r="CM152" s="72" t="str">
        <f t="shared" si="1029"/>
        <v>-</v>
      </c>
      <c r="CN152" s="72">
        <f t="shared" si="1030"/>
        <v>182</v>
      </c>
      <c r="CO152" s="72">
        <f t="shared" si="1031"/>
        <v>197</v>
      </c>
      <c r="CP152" s="72">
        <f t="shared" si="1032"/>
        <v>241</v>
      </c>
      <c r="CQ152" s="72">
        <f t="shared" si="1033"/>
        <v>285</v>
      </c>
      <c r="CR152" s="72">
        <f t="shared" si="1034"/>
        <v>321</v>
      </c>
      <c r="CS152" s="72">
        <f t="shared" si="1035"/>
        <v>334</v>
      </c>
      <c r="CT152" s="23" t="e">
        <f t="shared" si="1036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29" x14ac:dyDescent="0.2">
      <c r="A153" s="3" t="str">
        <f t="shared" si="1009"/>
        <v>agtr2_human_5UNH</v>
      </c>
      <c r="B153" s="3" t="s">
        <v>159</v>
      </c>
      <c r="C153" s="3" t="s">
        <v>1395</v>
      </c>
      <c r="D153" s="3" t="str">
        <f>IFERROR(MID(VLOOKUP($B153,Seqs!$A:$B,2,0),E153,1),"")</f>
        <v>D</v>
      </c>
      <c r="E153" s="3">
        <v>45</v>
      </c>
      <c r="F153" s="3" t="str">
        <f>IFERROR(MID(VLOOKUP($B153,Seqs!$A:$B,2,0),G153,1),"")</f>
        <v>C</v>
      </c>
      <c r="G153" s="3">
        <v>70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K</v>
      </c>
      <c r="M153" s="3">
        <v>77</v>
      </c>
      <c r="N153" s="3" t="str">
        <f>IFERROR(MID(VLOOKUP($B153,Seqs!$A:$B,2,0),O153,1),"")</f>
        <v>Y</v>
      </c>
      <c r="O153" s="3">
        <v>106</v>
      </c>
      <c r="P153" s="3" t="str">
        <f>IFERROR(MID(VLOOKUP($B153,Seqs!$A:$B,2,0),Q153,1),"")</f>
        <v>R</v>
      </c>
      <c r="Q153" s="3">
        <v>107</v>
      </c>
      <c r="R153" s="3" t="str">
        <f>IFERROR(MID(VLOOKUP($B153,Seqs!$A:$B,2,0),S153,1),"")</f>
        <v>F</v>
      </c>
      <c r="S153" s="3">
        <v>112</v>
      </c>
      <c r="T153" s="3" t="str">
        <f>IFERROR(MID(VLOOKUP($B153,Seqs!$A:$B,2,0),U153,1),"")</f>
        <v>G</v>
      </c>
      <c r="U153" s="3">
        <v>113</v>
      </c>
      <c r="V153" s="3" t="str">
        <f>IFERROR(MID(VLOOKUP($B153,Seqs!$A:$B,2,0),W153,1),"")</f>
        <v>Y</v>
      </c>
      <c r="W153" s="3">
        <v>148</v>
      </c>
      <c r="X153" s="3" t="str">
        <f>IFERROR(MID(VLOOKUP($B153,Seqs!$A:$B,2,0),Y153,1),"")</f>
        <v/>
      </c>
      <c r="Y153" s="3" t="s">
        <v>23</v>
      </c>
      <c r="Z153" s="3" t="str">
        <f>IFERROR(MID(VLOOKUP($B153,Seqs!$A:$B,2,0),AA153,1),"")</f>
        <v/>
      </c>
      <c r="AA153" s="3" t="s">
        <v>23</v>
      </c>
      <c r="AB153" s="3" t="str">
        <f>IFERROR(MID(VLOOKUP($B153,Seqs!$A:$B,2,0),AC153,1),"")</f>
        <v>Y</v>
      </c>
      <c r="AC153" s="3">
        <v>162</v>
      </c>
      <c r="AD153" s="3" t="str">
        <f>IFERROR(MID(VLOOKUP($B153,Seqs!$A:$B,2,0),AE153,1),"")</f>
        <v>R</v>
      </c>
      <c r="AE153" s="3">
        <v>182</v>
      </c>
      <c r="AF153" s="3" t="str">
        <f>IFERROR(MID(VLOOKUP($B153,Seqs!$A:$B,2,0),AG153,1),"")</f>
        <v>C</v>
      </c>
      <c r="AG153" s="3">
        <v>195</v>
      </c>
      <c r="AH153" s="3" t="str">
        <f>IFERROR(MID(VLOOKUP($B153,Seqs!$A:$B,2,0),AI153,1),"")</f>
        <v>M</v>
      </c>
      <c r="AI153" s="3">
        <v>197</v>
      </c>
      <c r="AJ153" s="3" t="str">
        <f>IFERROR(MID(VLOOKUP($B153,Seqs!$A:$B,2,0),AK153,1),"")</f>
        <v>Y</v>
      </c>
      <c r="AK153" s="3">
        <v>204</v>
      </c>
      <c r="AL153" s="3" t="str">
        <f>IFERROR(MID(VLOOKUP($B153,Seqs!$A:$B,2,0),AM153,1),"")</f>
        <v>T</v>
      </c>
      <c r="AM153" s="3">
        <v>241</v>
      </c>
      <c r="AN153" s="3" t="str">
        <f>IFERROR(MID(VLOOKUP($B153,Seqs!$A:$B,2,0),AO153,1),"")</f>
        <v>G</v>
      </c>
      <c r="AO153" s="3">
        <v>245</v>
      </c>
      <c r="AP153" s="3" t="str">
        <f>IFERROR(MID(VLOOKUP($B153,Seqs!$A:$B,2,0),AQ153,1),"")</f>
        <v>G</v>
      </c>
      <c r="AQ153" s="3">
        <v>285</v>
      </c>
      <c r="AR153" s="3" t="str">
        <f>IFERROR(MID(VLOOKUP($B153,Seqs!$A:$B,2,0),AS153,1),"")</f>
        <v>S</v>
      </c>
      <c r="AS153" s="3">
        <v>289</v>
      </c>
      <c r="AT153" s="3" t="str">
        <f>IFERROR(MID(VLOOKUP($B153,Seqs!$A:$B,2,0),AU153,1),"")</f>
        <v>V</v>
      </c>
      <c r="AU153" s="3">
        <v>321</v>
      </c>
      <c r="AV153" s="3" t="str">
        <f>IFERROR(MID(VLOOKUP($B153,Seqs!$A:$B,2,0),AW153,1),"")</f>
        <v>G</v>
      </c>
      <c r="AW153" s="3">
        <v>322</v>
      </c>
      <c r="AX153" s="3" t="str">
        <f>IFERROR(MID(VLOOKUP($B153,Seqs!$A:$B,2,0),AY153,1),"")</f>
        <v>V</v>
      </c>
      <c r="AY153" s="3">
        <v>332</v>
      </c>
      <c r="AZ153" s="77" t="str">
        <f>VLOOKUP(B153,Classification!A:D,2,0)</f>
        <v>A</v>
      </c>
      <c r="BA153" s="94" t="str">
        <f>VLOOKUP(B153,Classification!A:D,4,0)</f>
        <v>Angiotensin</v>
      </c>
      <c r="BB153" s="27" t="b">
        <f t="shared" si="1010"/>
        <v>1</v>
      </c>
      <c r="BC153" s="23">
        <f t="shared" si="1011"/>
        <v>247</v>
      </c>
      <c r="BD153" s="2" t="s">
        <v>23</v>
      </c>
      <c r="BE153" s="3" t="s">
        <v>1291</v>
      </c>
      <c r="BF153" s="118">
        <v>2.9</v>
      </c>
      <c r="BG153" s="49" t="s">
        <v>1377</v>
      </c>
      <c r="BH153" s="49" t="s">
        <v>1281</v>
      </c>
      <c r="BI153" s="1"/>
      <c r="BJ153" s="70" t="s">
        <v>1287</v>
      </c>
      <c r="BK153" s="57" t="s">
        <v>1287</v>
      </c>
      <c r="BL153" s="57" t="s">
        <v>1287</v>
      </c>
      <c r="BM153" s="57" t="s">
        <v>1287</v>
      </c>
      <c r="BN153" s="57" t="s">
        <v>1287</v>
      </c>
      <c r="BO153" s="57" t="s">
        <v>1287</v>
      </c>
      <c r="BP153" s="57" t="s">
        <v>1287</v>
      </c>
      <c r="BQ153" s="57" t="s">
        <v>1287</v>
      </c>
      <c r="BR153" s="57" t="s">
        <v>1287</v>
      </c>
      <c r="BS153" s="57" t="s">
        <v>1287</v>
      </c>
      <c r="BT153" s="57" t="s">
        <v>1287</v>
      </c>
      <c r="BU153" s="57" t="s">
        <v>1287</v>
      </c>
      <c r="BV153" s="70">
        <f t="shared" si="1012"/>
        <v>45</v>
      </c>
      <c r="BW153" s="71" t="str">
        <f t="shared" si="1013"/>
        <v>-</v>
      </c>
      <c r="BX153" s="72">
        <f t="shared" si="1014"/>
        <v>77</v>
      </c>
      <c r="BY153" s="71">
        <f t="shared" si="1015"/>
        <v>107</v>
      </c>
      <c r="BZ153" s="72">
        <f t="shared" si="1016"/>
        <v>113</v>
      </c>
      <c r="CA153" s="71" t="str">
        <f t="shared" si="1017"/>
        <v>-</v>
      </c>
      <c r="CB153" s="72">
        <f t="shared" si="1018"/>
        <v>162</v>
      </c>
      <c r="CC153" s="71">
        <f t="shared" si="1019"/>
        <v>195</v>
      </c>
      <c r="CD153" s="72">
        <f t="shared" si="1020"/>
        <v>204</v>
      </c>
      <c r="CE153" s="71">
        <f t="shared" si="1021"/>
        <v>245</v>
      </c>
      <c r="CF153" s="72">
        <f t="shared" si="1022"/>
        <v>289</v>
      </c>
      <c r="CG153" s="71">
        <f t="shared" si="1023"/>
        <v>322</v>
      </c>
      <c r="CH153" s="70">
        <f t="shared" si="1024"/>
        <v>70</v>
      </c>
      <c r="CI153" s="71" t="str">
        <f t="shared" si="1025"/>
        <v>-</v>
      </c>
      <c r="CJ153" s="72">
        <f t="shared" si="1026"/>
        <v>106</v>
      </c>
      <c r="CK153" s="72">
        <f t="shared" si="1027"/>
        <v>112</v>
      </c>
      <c r="CL153" s="72">
        <f t="shared" si="1028"/>
        <v>148</v>
      </c>
      <c r="CM153" s="72" t="str">
        <f t="shared" si="1029"/>
        <v>-</v>
      </c>
      <c r="CN153" s="72">
        <f t="shared" si="1030"/>
        <v>182</v>
      </c>
      <c r="CO153" s="72">
        <f t="shared" si="1031"/>
        <v>197</v>
      </c>
      <c r="CP153" s="72">
        <f t="shared" si="1032"/>
        <v>241</v>
      </c>
      <c r="CQ153" s="72">
        <f t="shared" si="1033"/>
        <v>285</v>
      </c>
      <c r="CR153" s="72">
        <f t="shared" si="1034"/>
        <v>321</v>
      </c>
      <c r="CS153" s="72">
        <f t="shared" si="1035"/>
        <v>332</v>
      </c>
      <c r="CT153" s="23" t="e">
        <f t="shared" si="1036"/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29" x14ac:dyDescent="0.2">
      <c r="A154" s="3" t="str">
        <f t="shared" ref="A154" si="1037">CONCATENATE(B154,"_",C154)</f>
        <v>agtr2_human_5XJM</v>
      </c>
      <c r="B154" s="3" t="s">
        <v>159</v>
      </c>
      <c r="C154" s="3" t="s">
        <v>1511</v>
      </c>
      <c r="D154" s="3" t="str">
        <f>IFERROR(MID(VLOOKUP($B154,Seqs!$A:$B,2,0),E154,1),"")</f>
        <v>A</v>
      </c>
      <c r="E154" s="3">
        <v>46</v>
      </c>
      <c r="F154" s="3" t="str">
        <f>IFERROR(MID(VLOOKUP($B154,Seqs!$A:$B,2,0),G154,1),"")</f>
        <v>K</v>
      </c>
      <c r="G154" s="3">
        <v>73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V</v>
      </c>
      <c r="M154" s="3">
        <v>78</v>
      </c>
      <c r="N154" s="3" t="str">
        <f>IFERROR(MID(VLOOKUP($B154,Seqs!$A:$B,2,0),O154,1),"")</f>
        <v>Y</v>
      </c>
      <c r="O154" s="3">
        <v>106</v>
      </c>
      <c r="P154" s="3" t="str">
        <f>IFERROR(MID(VLOOKUP($B154,Seqs!$A:$B,2,0),Q154,1),"")</f>
        <v>R</v>
      </c>
      <c r="Q154" s="3">
        <v>107</v>
      </c>
      <c r="R154" s="3" t="str">
        <f>IFERROR(MID(VLOOKUP($B154,Seqs!$A:$B,2,0),S154,1),"")</f>
        <v>F</v>
      </c>
      <c r="S154" s="3">
        <v>112</v>
      </c>
      <c r="T154" s="3" t="str">
        <f>IFERROR(MID(VLOOKUP($B154,Seqs!$A:$B,2,0),U154,1),"")</f>
        <v>G</v>
      </c>
      <c r="U154" s="3">
        <v>113</v>
      </c>
      <c r="V154" s="3" t="str">
        <f>IFERROR(MID(VLOOKUP($B154,Seqs!$A:$B,2,0),W154,1),"")</f>
        <v>Y</v>
      </c>
      <c r="W154" s="3">
        <v>148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R</v>
      </c>
      <c r="AC154" s="3">
        <v>155</v>
      </c>
      <c r="AD154" s="3" t="str">
        <f>IFERROR(MID(VLOOKUP($B154,Seqs!$A:$B,2,0),AE154,1),"")</f>
        <v>F</v>
      </c>
      <c r="AE154" s="3">
        <v>181</v>
      </c>
      <c r="AF154" s="3" t="str">
        <f>IFERROR(MID(VLOOKUP($B154,Seqs!$A:$B,2,0),AG154,1),"")</f>
        <v>C</v>
      </c>
      <c r="AG154" s="3">
        <v>195</v>
      </c>
      <c r="AH154" s="3" t="str">
        <f>IFERROR(MID(VLOOKUP($B154,Seqs!$A:$B,2,0),AI154,1),"")</f>
        <v>M</v>
      </c>
      <c r="AI154" s="3">
        <v>197</v>
      </c>
      <c r="AJ154" s="3" t="str">
        <f>IFERROR(MID(VLOOKUP($B154,Seqs!$A:$B,2,0),AK154,1),"")</f>
        <v>K</v>
      </c>
      <c r="AK154" s="3">
        <v>203</v>
      </c>
      <c r="AL154" s="3" t="str">
        <f>IFERROR(MID(VLOOKUP($B154,Seqs!$A:$B,2,0),AM154,1),"")</f>
        <v>N</v>
      </c>
      <c r="AM154" s="3">
        <v>242</v>
      </c>
      <c r="AN154" s="3" t="str">
        <f>IFERROR(MID(VLOOKUP($B154,Seqs!$A:$B,2,0),AO154,1),"")</f>
        <v>N</v>
      </c>
      <c r="AO154" s="3">
        <v>247</v>
      </c>
      <c r="AP154" s="3" t="str">
        <f>IFERROR(MID(VLOOKUP($B154,Seqs!$A:$B,2,0),AQ154,1),"")</f>
        <v>G</v>
      </c>
      <c r="AQ154" s="3">
        <v>285</v>
      </c>
      <c r="AR154" s="3" t="str">
        <f>IFERROR(MID(VLOOKUP($B154,Seqs!$A:$B,2,0),AS154,1),"")</f>
        <v>S</v>
      </c>
      <c r="AS154" s="3">
        <v>289</v>
      </c>
      <c r="AT154" s="3" t="str">
        <f>IFERROR(MID(VLOOKUP($B154,Seqs!$A:$B,2,0),AU154,1),"")</f>
        <v>F</v>
      </c>
      <c r="AU154" s="3">
        <v>320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7" t="str">
        <f>VLOOKUP(B154,Classification!A:D,2,0)</f>
        <v>A</v>
      </c>
      <c r="BA154" s="94" t="str">
        <f>VLOOKUP(B154,Classification!A:D,4,0)</f>
        <v>Angiotensin</v>
      </c>
      <c r="BB154" s="27" t="b">
        <f t="shared" ref="BB154" si="1038">AND(E154&lt;G154,OR(G154&lt;I154,I154="-"),OR(I154&lt;K154,I154="-"),OR(K154&lt;M154,K154="-"),M154&lt;O154,OR(O154&lt;Q154,Q154="-"),OR(Q154&lt;S154,Q154="-"),OR(S154&lt;U154,S154="-"),U154&lt;W154,OR(W154&lt;Y154,Y154="-"),OR(Y154&lt;AA154,Y154="-"),OR(AA154&lt;AC154,AA154="-"),AC154&lt;AE154,OR(AE154&lt;AG154,AG154="-"),OR(AG154&lt;AI154,AG154="-"),OR(AI154&lt;AK154,AI154="-"),AK154&lt;AM154,AM154&lt;AO154,AO154&lt;AQ154,AQ154&lt;AS154,AS154&lt;AU154,OR(AU154&lt;AW154,AW154="-"),OR(AW154&lt;AY154,AW154="-"))</f>
        <v>1</v>
      </c>
      <c r="BC154" s="23">
        <f t="shared" ref="BC154" si="1039">_xlfn.AGGREGATE(9,6,CH154:CS154)-_xlfn.AGGREGATE(9,6,BV154:CG154)+12</f>
        <v>243</v>
      </c>
      <c r="BD154" s="2" t="s">
        <v>23</v>
      </c>
      <c r="BE154" s="3" t="s">
        <v>1291</v>
      </c>
      <c r="BF154" s="118">
        <v>3.2</v>
      </c>
      <c r="BG154" s="49" t="s">
        <v>1</v>
      </c>
      <c r="BH154" s="49" t="s">
        <v>1</v>
      </c>
      <c r="BI154" s="1"/>
      <c r="BJ154" s="70" t="s">
        <v>1287</v>
      </c>
      <c r="BK154" s="57" t="s">
        <v>1287</v>
      </c>
      <c r="BL154" s="57" t="s">
        <v>1287</v>
      </c>
      <c r="BM154" s="57" t="s">
        <v>1287</v>
      </c>
      <c r="BN154" s="57" t="s">
        <v>1287</v>
      </c>
      <c r="BO154" s="57" t="s">
        <v>1287</v>
      </c>
      <c r="BP154" s="57" t="s">
        <v>1287</v>
      </c>
      <c r="BQ154" s="57" t="s">
        <v>1287</v>
      </c>
      <c r="BR154" s="57" t="s">
        <v>1287</v>
      </c>
      <c r="BS154" s="57" t="s">
        <v>1287</v>
      </c>
      <c r="BT154" s="57" t="s">
        <v>1287</v>
      </c>
      <c r="BU154" s="57" t="s">
        <v>1287</v>
      </c>
      <c r="BV154" s="70">
        <f t="shared" ref="BV154" si="1040">E154</f>
        <v>46</v>
      </c>
      <c r="BW154" s="71" t="str">
        <f t="shared" ref="BW154" si="1041">I154</f>
        <v>-</v>
      </c>
      <c r="BX154" s="72">
        <f t="shared" ref="BX154" si="1042">M154</f>
        <v>78</v>
      </c>
      <c r="BY154" s="71">
        <f t="shared" ref="BY154" si="1043">Q154</f>
        <v>107</v>
      </c>
      <c r="BZ154" s="72">
        <f t="shared" ref="BZ154" si="1044">U154</f>
        <v>113</v>
      </c>
      <c r="CA154" s="71" t="str">
        <f t="shared" ref="CA154" si="1045">Y154</f>
        <v>-</v>
      </c>
      <c r="CB154" s="72">
        <f t="shared" ref="CB154" si="1046">AC154</f>
        <v>155</v>
      </c>
      <c r="CC154" s="71">
        <f t="shared" ref="CC154" si="1047">AG154</f>
        <v>195</v>
      </c>
      <c r="CD154" s="72">
        <f t="shared" ref="CD154" si="1048">AK154</f>
        <v>203</v>
      </c>
      <c r="CE154" s="71">
        <f t="shared" ref="CE154" si="1049">AO154</f>
        <v>247</v>
      </c>
      <c r="CF154" s="72">
        <f t="shared" ref="CF154" si="1050">AS154</f>
        <v>289</v>
      </c>
      <c r="CG154" s="71" t="str">
        <f t="shared" ref="CG154" si="1051">AW154</f>
        <v>-</v>
      </c>
      <c r="CH154" s="70">
        <f t="shared" ref="CH154" si="1052">G154</f>
        <v>73</v>
      </c>
      <c r="CI154" s="71" t="str">
        <f t="shared" ref="CI154" si="1053">K154</f>
        <v>-</v>
      </c>
      <c r="CJ154" s="72">
        <f t="shared" ref="CJ154" si="1054">O154</f>
        <v>106</v>
      </c>
      <c r="CK154" s="72">
        <f t="shared" ref="CK154" si="1055">S154</f>
        <v>112</v>
      </c>
      <c r="CL154" s="72">
        <f t="shared" ref="CL154" si="1056">W154</f>
        <v>148</v>
      </c>
      <c r="CM154" s="72" t="str">
        <f t="shared" ref="CM154" si="1057">AA154</f>
        <v>-</v>
      </c>
      <c r="CN154" s="72">
        <f t="shared" ref="CN154" si="1058">AE154</f>
        <v>181</v>
      </c>
      <c r="CO154" s="72">
        <f t="shared" ref="CO154" si="1059">AI154</f>
        <v>197</v>
      </c>
      <c r="CP154" s="72">
        <f t="shared" ref="CP154" si="1060">AM154</f>
        <v>242</v>
      </c>
      <c r="CQ154" s="72">
        <f t="shared" ref="CQ154" si="1061">AQ154</f>
        <v>285</v>
      </c>
      <c r="CR154" s="72">
        <f t="shared" ref="CR154" si="1062">AU154</f>
        <v>320</v>
      </c>
      <c r="CS154" s="72" t="str">
        <f t="shared" ref="CS154" si="1063">AY154</f>
        <v>-</v>
      </c>
      <c r="CT154" s="23" t="e">
        <f t="shared" ref="CT154" si="1064">M154-K154</f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29" s="12" customFormat="1" x14ac:dyDescent="0.2">
      <c r="A155" s="9" t="str">
        <f t="shared" ref="A155" si="1065">CONCATENATE(B155,"_",C155)</f>
        <v>agtr2_human_6JOD</v>
      </c>
      <c r="B155" s="9" t="s">
        <v>159</v>
      </c>
      <c r="C155" s="9" t="s">
        <v>1634</v>
      </c>
      <c r="D155" s="9" t="str">
        <f>IFERROR(MID(VLOOKUP($B155,Seqs!$A:$B,2,0),E155,1),"")</f>
        <v>A</v>
      </c>
      <c r="E155" s="9">
        <v>46</v>
      </c>
      <c r="F155" s="9" t="str">
        <f>IFERROR(MID(VLOOKUP($B155,Seqs!$A:$B,2,0),G155,1),"")</f>
        <v>C</v>
      </c>
      <c r="G155" s="9">
        <v>70</v>
      </c>
      <c r="H155" s="9" t="str">
        <f>IFERROR(MID(VLOOKUP($B155,Seqs!$A:$B,2,0),I155,1),"")</f>
        <v/>
      </c>
      <c r="I155" s="109" t="s">
        <v>23</v>
      </c>
      <c r="J155" s="9" t="str">
        <f>IFERROR(MID(VLOOKUP($B155,Seqs!$A:$B,2,0),K155,1),"")</f>
        <v/>
      </c>
      <c r="K155" s="109" t="s">
        <v>23</v>
      </c>
      <c r="L155" s="9" t="str">
        <f>IFERROR(MID(VLOOKUP($B155,Seqs!$A:$B,2,0),M155,1),"")</f>
        <v>K</v>
      </c>
      <c r="M155" s="9">
        <v>77</v>
      </c>
      <c r="N155" s="9" t="str">
        <f>IFERROR(MID(VLOOKUP($B155,Seqs!$A:$B,2,0),O155,1),"")</f>
        <v>Y</v>
      </c>
      <c r="O155" s="9">
        <v>106</v>
      </c>
      <c r="P155" s="9" t="str">
        <f>IFERROR(MID(VLOOKUP($B155,Seqs!$A:$B,2,0),Q155,1),"")</f>
        <v>R</v>
      </c>
      <c r="Q155" s="9">
        <v>107</v>
      </c>
      <c r="R155" s="9" t="str">
        <f>IFERROR(MID(VLOOKUP($B155,Seqs!$A:$B,2,0),S155,1),"")</f>
        <v>F</v>
      </c>
      <c r="S155" s="9">
        <v>112</v>
      </c>
      <c r="T155" s="9" t="str">
        <f>IFERROR(MID(VLOOKUP($B155,Seqs!$A:$B,2,0),U155,1),"")</f>
        <v>G</v>
      </c>
      <c r="U155" s="9">
        <v>113</v>
      </c>
      <c r="V155" s="9" t="str">
        <f>IFERROR(MID(VLOOKUP($B155,Seqs!$A:$B,2,0),W155,1),"")</f>
        <v>Y</v>
      </c>
      <c r="W155" s="9">
        <v>148</v>
      </c>
      <c r="X155" s="9" t="str">
        <f>IFERROR(MID(VLOOKUP($B155,Seqs!$A:$B,2,0),Y155,1),"")</f>
        <v/>
      </c>
      <c r="Y155" s="9" t="s">
        <v>23</v>
      </c>
      <c r="Z155" s="9" t="str">
        <f>IFERROR(MID(VLOOKUP($B155,Seqs!$A:$B,2,0),AA155,1),"")</f>
        <v/>
      </c>
      <c r="AA155" s="9" t="s">
        <v>23</v>
      </c>
      <c r="AB155" s="9" t="str">
        <f>IFERROR(MID(VLOOKUP($B155,Seqs!$A:$B,2,0),AC155,1),"")</f>
        <v>N</v>
      </c>
      <c r="AC155" s="9">
        <v>156</v>
      </c>
      <c r="AD155" s="9" t="str">
        <f>IFERROR(MID(VLOOKUP($B155,Seqs!$A:$B,2,0),AE155,1),"")</f>
        <v>R</v>
      </c>
      <c r="AE155" s="9">
        <v>182</v>
      </c>
      <c r="AF155" s="9" t="str">
        <f>IFERROR(MID(VLOOKUP($B155,Seqs!$A:$B,2,0),AG155,1),"")</f>
        <v>C</v>
      </c>
      <c r="AG155" s="9">
        <v>195</v>
      </c>
      <c r="AH155" s="9" t="str">
        <f>IFERROR(MID(VLOOKUP($B155,Seqs!$A:$B,2,0),AI155,1),"")</f>
        <v>M</v>
      </c>
      <c r="AI155" s="9">
        <v>197</v>
      </c>
      <c r="AJ155" s="9" t="str">
        <f>IFERROR(MID(VLOOKUP($B155,Seqs!$A:$B,2,0),AK155,1),"")</f>
        <v>K</v>
      </c>
      <c r="AK155" s="9">
        <v>203</v>
      </c>
      <c r="AL155" s="9" t="str">
        <f>IFERROR(MID(VLOOKUP($B155,Seqs!$A:$B,2,0),AM155,1),"")</f>
        <v>N</v>
      </c>
      <c r="AM155" s="9">
        <v>242</v>
      </c>
      <c r="AN155" s="9" t="str">
        <f>IFERROR(MID(VLOOKUP($B155,Seqs!$A:$B,2,0),AO155,1),"")</f>
        <v>G</v>
      </c>
      <c r="AO155" s="9">
        <v>245</v>
      </c>
      <c r="AP155" s="9" t="str">
        <f>IFERROR(MID(VLOOKUP($B155,Seqs!$A:$B,2,0),AQ155,1),"")</f>
        <v>G</v>
      </c>
      <c r="AQ155" s="9">
        <v>285</v>
      </c>
      <c r="AR155" s="9" t="str">
        <f>IFERROR(MID(VLOOKUP($B155,Seqs!$A:$B,2,0),AS155,1),"")</f>
        <v>S</v>
      </c>
      <c r="AS155" s="9">
        <v>289</v>
      </c>
      <c r="AT155" s="9" t="str">
        <f>IFERROR(MID(VLOOKUP($B155,Seqs!$A:$B,2,0),AU155,1),"")</f>
        <v>V</v>
      </c>
      <c r="AU155" s="9">
        <v>321</v>
      </c>
      <c r="AV155" s="9" t="str">
        <f>IFERROR(MID(VLOOKUP($B155,Seqs!$A:$B,2,0),AW155,1),"")</f>
        <v>G</v>
      </c>
      <c r="AW155" s="9">
        <v>322</v>
      </c>
      <c r="AX155" s="9" t="str">
        <f>IFERROR(MID(VLOOKUP($B155,Seqs!$A:$B,2,0),AY155,1),"")</f>
        <v>R</v>
      </c>
      <c r="AY155" s="9">
        <v>334</v>
      </c>
      <c r="AZ155" s="110" t="str">
        <f>VLOOKUP(B155,Classification!A:D,2,0)</f>
        <v>A</v>
      </c>
      <c r="BA155" s="98" t="str">
        <f>VLOOKUP(B155,Classification!A:D,4,0)</f>
        <v>Angiotensin</v>
      </c>
      <c r="BB155" s="36" t="b">
        <f t="shared" ref="BB155" si="1066">AND(E155&lt;G155,OR(G155&lt;I155,I155="-"),OR(I155&lt;K155,I155="-"),OR(K155&lt;M155,K155="-"),M155&lt;O155,OR(O155&lt;Q155,Q155="-"),OR(Q155&lt;S155,Q155="-"),OR(S155&lt;U155,S155="-"),U155&lt;W155,OR(W155&lt;Y155,Y155="-"),OR(Y155&lt;AA155,Y155="-"),OR(AA155&lt;AC155,AA155="-"),AC155&lt;AE155,OR(AE155&lt;AG155,AG155="-"),OR(AG155&lt;AI155,AG155="-"),OR(AI155&lt;AK155,AI155="-"),AK155&lt;AM155,AM155&lt;AO155,AO155&lt;AQ155,AQ155&lt;AS155,AS155&lt;AU155,OR(AU155&lt;AW155,AW155="-"),OR(AW155&lt;AY155,AW155="-"))</f>
        <v>1</v>
      </c>
      <c r="BC155" s="109">
        <f t="shared" ref="BC155" si="1067">_xlfn.AGGREGATE(9,6,CH155:CS155)-_xlfn.AGGREGATE(9,6,BV155:CG155)+12</f>
        <v>256</v>
      </c>
      <c r="BD155" s="40" t="s">
        <v>1375</v>
      </c>
      <c r="BE155" s="9" t="s">
        <v>1291</v>
      </c>
      <c r="BF155" s="119">
        <v>3.2</v>
      </c>
      <c r="BG155" s="51" t="s">
        <v>1</v>
      </c>
      <c r="BH155" s="51" t="s">
        <v>1</v>
      </c>
      <c r="BJ155" s="111" t="s">
        <v>1287</v>
      </c>
      <c r="BK155" s="112" t="s">
        <v>1287</v>
      </c>
      <c r="BL155" s="112" t="s">
        <v>1287</v>
      </c>
      <c r="BM155" s="112" t="s">
        <v>1287</v>
      </c>
      <c r="BN155" s="112" t="s">
        <v>1287</v>
      </c>
      <c r="BO155" s="112" t="s">
        <v>1287</v>
      </c>
      <c r="BP155" s="112" t="s">
        <v>1287</v>
      </c>
      <c r="BQ155" s="112" t="s">
        <v>1287</v>
      </c>
      <c r="BR155" s="112" t="s">
        <v>1287</v>
      </c>
      <c r="BS155" s="112" t="s">
        <v>1287</v>
      </c>
      <c r="BT155" s="112" t="s">
        <v>1287</v>
      </c>
      <c r="BU155" s="112" t="s">
        <v>1287</v>
      </c>
      <c r="BV155" s="111">
        <f t="shared" ref="BV155" si="1068">E155</f>
        <v>46</v>
      </c>
      <c r="BW155" s="113" t="str">
        <f t="shared" ref="BW155" si="1069">I155</f>
        <v>-</v>
      </c>
      <c r="BX155" s="114">
        <f t="shared" ref="BX155" si="1070">M155</f>
        <v>77</v>
      </c>
      <c r="BY155" s="113">
        <f t="shared" ref="BY155" si="1071">Q155</f>
        <v>107</v>
      </c>
      <c r="BZ155" s="114">
        <f t="shared" ref="BZ155" si="1072">U155</f>
        <v>113</v>
      </c>
      <c r="CA155" s="113" t="str">
        <f t="shared" ref="CA155" si="1073">Y155</f>
        <v>-</v>
      </c>
      <c r="CB155" s="114">
        <f t="shared" ref="CB155" si="1074">AC155</f>
        <v>156</v>
      </c>
      <c r="CC155" s="113">
        <f t="shared" ref="CC155" si="1075">AG155</f>
        <v>195</v>
      </c>
      <c r="CD155" s="114">
        <f t="shared" ref="CD155" si="1076">AK155</f>
        <v>203</v>
      </c>
      <c r="CE155" s="113">
        <f t="shared" ref="CE155" si="1077">AO155</f>
        <v>245</v>
      </c>
      <c r="CF155" s="114">
        <f t="shared" ref="CF155" si="1078">AS155</f>
        <v>289</v>
      </c>
      <c r="CG155" s="113">
        <f t="shared" ref="CG155" si="1079">AW155</f>
        <v>322</v>
      </c>
      <c r="CH155" s="111">
        <f t="shared" ref="CH155" si="1080">G155</f>
        <v>70</v>
      </c>
      <c r="CI155" s="113" t="str">
        <f t="shared" ref="CI155" si="1081">K155</f>
        <v>-</v>
      </c>
      <c r="CJ155" s="114">
        <f t="shared" ref="CJ155" si="1082">O155</f>
        <v>106</v>
      </c>
      <c r="CK155" s="114">
        <f t="shared" ref="CK155" si="1083">S155</f>
        <v>112</v>
      </c>
      <c r="CL155" s="114">
        <f t="shared" ref="CL155" si="1084">W155</f>
        <v>148</v>
      </c>
      <c r="CM155" s="114" t="str">
        <f t="shared" ref="CM155" si="1085">AA155</f>
        <v>-</v>
      </c>
      <c r="CN155" s="114">
        <f t="shared" ref="CN155" si="1086">AE155</f>
        <v>182</v>
      </c>
      <c r="CO155" s="114">
        <f t="shared" ref="CO155" si="1087">AI155</f>
        <v>197</v>
      </c>
      <c r="CP155" s="114">
        <f t="shared" ref="CP155" si="1088">AM155</f>
        <v>242</v>
      </c>
      <c r="CQ155" s="114">
        <f t="shared" ref="CQ155" si="1089">AQ155</f>
        <v>285</v>
      </c>
      <c r="CR155" s="114">
        <f t="shared" ref="CR155" si="1090">AU155</f>
        <v>321</v>
      </c>
      <c r="CS155" s="114">
        <f t="shared" ref="CS155" si="1091">AY155</f>
        <v>334</v>
      </c>
      <c r="CT155" s="109" t="e">
        <f t="shared" ref="CT155" si="1092">M155-K155</f>
        <v>#VALUE!</v>
      </c>
    </row>
    <row r="156" spans="1:1029" x14ac:dyDescent="0.2">
      <c r="A156" s="3" t="str">
        <f t="shared" si="1009"/>
        <v>apj_human__wt</v>
      </c>
      <c r="B156" s="3" t="s">
        <v>160</v>
      </c>
      <c r="C156" s="3" t="s">
        <v>100</v>
      </c>
      <c r="D156" s="3" t="str">
        <f>IFERROR(MID(VLOOKUP($B156,Seqs!$A:$B,2,0),E156,1),"")</f>
        <v>A</v>
      </c>
      <c r="E156" s="3">
        <v>29</v>
      </c>
      <c r="F156" s="3" t="str">
        <f>IFERROR(MID(VLOOKUP($B156,Seqs!$A:$B,2,0),G156,1),"")</f>
        <v>S</v>
      </c>
      <c r="G156" s="3">
        <v>56</v>
      </c>
      <c r="H156" s="3" t="str">
        <f>IFERROR(MID(VLOOKUP($B156,Seqs!$A:$B,2,0),I156,1),"")</f>
        <v>S</v>
      </c>
      <c r="I156" s="23">
        <v>57</v>
      </c>
      <c r="J156" s="3" t="str">
        <f>IFERROR(MID(VLOOKUP($B156,Seqs!$A:$B,2,0),K156,1),"")</f>
        <v>R</v>
      </c>
      <c r="K156" s="23">
        <v>61</v>
      </c>
      <c r="L156" s="3" t="str">
        <f>IFERROR(MID(VLOOKUP($B156,Seqs!$A:$B,2,0),M156,1),"")</f>
        <v>R</v>
      </c>
      <c r="M156" s="3">
        <v>62</v>
      </c>
      <c r="N156" s="3" t="str">
        <f>IFERROR(MID(VLOOKUP($B156,Seqs!$A:$B,2,0),O156,1),"")</f>
        <v>D</v>
      </c>
      <c r="O156" s="3">
        <v>92</v>
      </c>
      <c r="P156" s="3" t="str">
        <f>IFERROR(MID(VLOOKUP($B156,Seqs!$A:$B,2,0),Q156,1),"")</f>
        <v>D</v>
      </c>
      <c r="Q156" s="3">
        <v>94</v>
      </c>
      <c r="R156" s="3" t="str">
        <f>IFERROR(MID(VLOOKUP($B156,Seqs!$A:$B,2,0),S156,1),"")</f>
        <v>F</v>
      </c>
      <c r="S156" s="3">
        <v>97</v>
      </c>
      <c r="T156" s="3" t="str">
        <f>IFERROR(MID(VLOOKUP($B156,Seqs!$A:$B,2,0),U156,1),"")</f>
        <v>G</v>
      </c>
      <c r="U156" s="3">
        <v>98</v>
      </c>
      <c r="V156" s="3" t="str">
        <f>IFERROR(MID(VLOOKUP($B156,Seqs!$A:$B,2,0),W156,1),"")</f>
        <v>R</v>
      </c>
      <c r="W156" s="3">
        <v>133</v>
      </c>
      <c r="X156" s="3" t="str">
        <f>IFERROR(MID(VLOOKUP($B156,Seqs!$A:$B,2,0),Y156,1),"")</f>
        <v>P</v>
      </c>
      <c r="Y156" s="3">
        <v>134</v>
      </c>
      <c r="Z156" s="3" t="str">
        <f>IFERROR(MID(VLOOKUP($B156,Seqs!$A:$B,2,0),AA156,1),"")</f>
        <v>R</v>
      </c>
      <c r="AA156" s="3">
        <v>141</v>
      </c>
      <c r="AB156" s="3" t="str">
        <f>IFERROR(MID(VLOOKUP($B156,Seqs!$A:$B,2,0),AC156,1),"")</f>
        <v>L</v>
      </c>
      <c r="AC156" s="3">
        <v>142</v>
      </c>
      <c r="AD156" s="3" t="str">
        <f>IFERROR(MID(VLOOKUP($B156,Seqs!$A:$B,2,0),AE156,1),"")</f>
        <v>R</v>
      </c>
      <c r="AE156" s="3">
        <v>168</v>
      </c>
      <c r="AF156" s="3" t="str">
        <f>IFERROR(MID(VLOOKUP($B156,Seqs!$A:$B,2,0),AG156,1),"")</f>
        <v>C</v>
      </c>
      <c r="AG156" s="3">
        <v>181</v>
      </c>
      <c r="AH156" s="3" t="str">
        <f>IFERROR(MID(VLOOKUP($B156,Seqs!$A:$B,2,0),AI156,1),"")</f>
        <v>M</v>
      </c>
      <c r="AI156" s="3">
        <v>183</v>
      </c>
      <c r="AJ156" s="3" t="str">
        <f>IFERROR(MID(VLOOKUP($B156,Seqs!$A:$B,2,0),AK156,1),"")</f>
        <v>S</v>
      </c>
      <c r="AK156" s="3">
        <v>193</v>
      </c>
      <c r="AL156" s="3" t="str">
        <f>IFERROR(MID(VLOOKUP($B156,Seqs!$A:$B,2,0),AM156,1),"")</f>
        <v>E</v>
      </c>
      <c r="AM156" s="3">
        <v>235</v>
      </c>
      <c r="AN156" s="3" t="str">
        <f>IFERROR(MID(VLOOKUP($B156,Seqs!$A:$B,2,0),AO156,1),"")</f>
        <v>K</v>
      </c>
      <c r="AO156" s="3">
        <v>242</v>
      </c>
      <c r="AP156" s="3" t="str">
        <f>IFERROR(MID(VLOOKUP($B156,Seqs!$A:$B,2,0),AQ156,1),"")</f>
        <v>L</v>
      </c>
      <c r="AQ156" s="3">
        <v>276</v>
      </c>
      <c r="AR156" s="3" t="str">
        <f>IFERROR(MID(VLOOKUP($B156,Seqs!$A:$B,2,0),AS156,1),"")</f>
        <v>P</v>
      </c>
      <c r="AS156" s="3">
        <v>280</v>
      </c>
      <c r="AT156" s="3" t="str">
        <f>IFERROR(MID(VLOOKUP($B156,Seqs!$A:$B,2,0),AU156,1),"")</f>
        <v>F</v>
      </c>
      <c r="AU156" s="3">
        <v>312</v>
      </c>
      <c r="AV156" s="3" t="str">
        <f>IFERROR(MID(VLOOKUP($B156,Seqs!$A:$B,2,0),AW156,1),"")</f>
        <v>D</v>
      </c>
      <c r="AW156" s="3">
        <v>313</v>
      </c>
      <c r="AX156" s="3" t="str">
        <f>IFERROR(MID(VLOOKUP($B156,Seqs!$A:$B,2,0),AY156,1),"")</f>
        <v>G</v>
      </c>
      <c r="AY156" s="3">
        <v>327</v>
      </c>
      <c r="AZ156" s="77" t="str">
        <f>VLOOKUP(B156,Classification!A:D,2,0)</f>
        <v>A</v>
      </c>
      <c r="BA156" s="94" t="str">
        <f>VLOOKUP(B156,Classification!A:D,4,0)</f>
        <v>Apelin</v>
      </c>
      <c r="BB156" s="27" t="b">
        <f t="shared" si="1010"/>
        <v>1</v>
      </c>
      <c r="BC156" s="23">
        <f t="shared" si="1011"/>
        <v>268</v>
      </c>
      <c r="BD156" s="2"/>
      <c r="BE156" s="3" t="s">
        <v>23</v>
      </c>
      <c r="BF156" s="118" t="s">
        <v>23</v>
      </c>
      <c r="BG156" s="49" t="s">
        <v>1281</v>
      </c>
      <c r="BH156" s="49" t="s">
        <v>1281</v>
      </c>
      <c r="BI156" s="1"/>
      <c r="BJ156" s="70" t="s">
        <v>1287</v>
      </c>
      <c r="BK156" s="57" t="s">
        <v>1287</v>
      </c>
      <c r="BL156" s="57" t="s">
        <v>1287</v>
      </c>
      <c r="BM156" s="57" t="s">
        <v>1287</v>
      </c>
      <c r="BN156" s="57" t="s">
        <v>1287</v>
      </c>
      <c r="BO156" s="57" t="s">
        <v>1287</v>
      </c>
      <c r="BP156" s="57" t="s">
        <v>1287</v>
      </c>
      <c r="BQ156" s="57" t="s">
        <v>1287</v>
      </c>
      <c r="BR156" s="57" t="s">
        <v>1287</v>
      </c>
      <c r="BS156" s="57" t="s">
        <v>1287</v>
      </c>
      <c r="BT156" s="57" t="s">
        <v>1287</v>
      </c>
      <c r="BU156" s="57" t="s">
        <v>1287</v>
      </c>
      <c r="BV156" s="70">
        <f t="shared" si="1012"/>
        <v>29</v>
      </c>
      <c r="BW156" s="71">
        <f t="shared" si="1013"/>
        <v>57</v>
      </c>
      <c r="BX156" s="72">
        <f t="shared" si="1014"/>
        <v>62</v>
      </c>
      <c r="BY156" s="71">
        <f t="shared" si="1015"/>
        <v>94</v>
      </c>
      <c r="BZ156" s="72">
        <f t="shared" si="1016"/>
        <v>98</v>
      </c>
      <c r="CA156" s="71">
        <f t="shared" si="1017"/>
        <v>134</v>
      </c>
      <c r="CB156" s="72">
        <f t="shared" si="1018"/>
        <v>142</v>
      </c>
      <c r="CC156" s="71">
        <f t="shared" si="1019"/>
        <v>181</v>
      </c>
      <c r="CD156" s="72">
        <f t="shared" si="1020"/>
        <v>193</v>
      </c>
      <c r="CE156" s="71">
        <f t="shared" si="1021"/>
        <v>242</v>
      </c>
      <c r="CF156" s="72">
        <f t="shared" si="1022"/>
        <v>280</v>
      </c>
      <c r="CG156" s="71">
        <f t="shared" si="1023"/>
        <v>313</v>
      </c>
      <c r="CH156" s="70">
        <f t="shared" si="1024"/>
        <v>56</v>
      </c>
      <c r="CI156" s="71">
        <f t="shared" si="1025"/>
        <v>61</v>
      </c>
      <c r="CJ156" s="72">
        <f t="shared" si="1026"/>
        <v>92</v>
      </c>
      <c r="CK156" s="72">
        <f t="shared" si="1027"/>
        <v>97</v>
      </c>
      <c r="CL156" s="72">
        <f t="shared" si="1028"/>
        <v>133</v>
      </c>
      <c r="CM156" s="72">
        <f t="shared" si="1029"/>
        <v>141</v>
      </c>
      <c r="CN156" s="72">
        <f t="shared" si="1030"/>
        <v>168</v>
      </c>
      <c r="CO156" s="72">
        <f t="shared" si="1031"/>
        <v>183</v>
      </c>
      <c r="CP156" s="72">
        <f t="shared" si="1032"/>
        <v>235</v>
      </c>
      <c r="CQ156" s="72">
        <f t="shared" si="1033"/>
        <v>276</v>
      </c>
      <c r="CR156" s="72">
        <f t="shared" si="1034"/>
        <v>312</v>
      </c>
      <c r="CS156" s="72">
        <f t="shared" si="1035"/>
        <v>327</v>
      </c>
      <c r="CT156" s="23">
        <f t="shared" si="1036"/>
        <v>1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29" x14ac:dyDescent="0.2">
      <c r="A157" s="3" t="str">
        <f t="shared" si="1009"/>
        <v>apj_human_5VBL</v>
      </c>
      <c r="B157" s="3" t="s">
        <v>160</v>
      </c>
      <c r="C157" s="3" t="s">
        <v>1414</v>
      </c>
      <c r="D157" s="3" t="str">
        <f>IFERROR(MID(VLOOKUP($B157,Seqs!$A:$B,2,0),E157,1),"")</f>
        <v>A</v>
      </c>
      <c r="E157" s="3">
        <v>29</v>
      </c>
      <c r="F157" s="3" t="str">
        <f>IFERROR(MID(VLOOKUP($B157,Seqs!$A:$B,2,0),G157,1),"")</f>
        <v>S</v>
      </c>
      <c r="G157" s="3">
        <v>56</v>
      </c>
      <c r="H157" s="3" t="str">
        <f>IFERROR(MID(VLOOKUP($B157,Seqs!$A:$B,2,0),I157,1),"")</f>
        <v>S</v>
      </c>
      <c r="I157" s="23">
        <v>57</v>
      </c>
      <c r="J157" s="3" t="str">
        <f>IFERROR(MID(VLOOKUP($B157,Seqs!$A:$B,2,0),K157,1),"")</f>
        <v>R</v>
      </c>
      <c r="K157" s="23">
        <v>61</v>
      </c>
      <c r="L157" s="3" t="str">
        <f>IFERROR(MID(VLOOKUP($B157,Seqs!$A:$B,2,0),M157,1),"")</f>
        <v>R</v>
      </c>
      <c r="M157" s="3">
        <v>62</v>
      </c>
      <c r="N157" s="3" t="str">
        <f>IFERROR(MID(VLOOKUP($B157,Seqs!$A:$B,2,0),O157,1),"")</f>
        <v>D</v>
      </c>
      <c r="O157" s="3">
        <v>92</v>
      </c>
      <c r="P157" s="3" t="str">
        <f>IFERROR(MID(VLOOKUP($B157,Seqs!$A:$B,2,0),Q157,1),"")</f>
        <v>D</v>
      </c>
      <c r="Q157" s="3">
        <v>94</v>
      </c>
      <c r="R157" s="3" t="str">
        <f>IFERROR(MID(VLOOKUP($B157,Seqs!$A:$B,2,0),S157,1),"")</f>
        <v>F</v>
      </c>
      <c r="S157" s="3">
        <v>97</v>
      </c>
      <c r="T157" s="3" t="str">
        <f>IFERROR(MID(VLOOKUP($B157,Seqs!$A:$B,2,0),U157,1),"")</f>
        <v>G</v>
      </c>
      <c r="U157" s="3">
        <v>98</v>
      </c>
      <c r="V157" s="3" t="str">
        <f>IFERROR(MID(VLOOKUP($B157,Seqs!$A:$B,2,0),W157,1),"")</f>
        <v>R</v>
      </c>
      <c r="W157" s="3">
        <v>133</v>
      </c>
      <c r="X157" s="3" t="str">
        <f>IFERROR(MID(VLOOKUP($B157,Seqs!$A:$B,2,0),Y157,1),"")</f>
        <v/>
      </c>
      <c r="Y157" s="3" t="s">
        <v>23</v>
      </c>
      <c r="Z157" s="3" t="str">
        <f>IFERROR(MID(VLOOKUP($B157,Seqs!$A:$B,2,0),AA157,1),"")</f>
        <v/>
      </c>
      <c r="AA157" s="3" t="s">
        <v>23</v>
      </c>
      <c r="AB157" s="3" t="str">
        <f>IFERROR(MID(VLOOKUP($B157,Seqs!$A:$B,2,0),AC157,1),"")</f>
        <v>R</v>
      </c>
      <c r="AC157" s="3">
        <v>141</v>
      </c>
      <c r="AD157" s="3" t="str">
        <f>IFERROR(MID(VLOOKUP($B157,Seqs!$A:$B,2,0),AE157,1),"")</f>
        <v>R</v>
      </c>
      <c r="AE157" s="3">
        <v>168</v>
      </c>
      <c r="AF157" s="3" t="str">
        <f>IFERROR(MID(VLOOKUP($B157,Seqs!$A:$B,2,0),AG157,1),"")</f>
        <v>C</v>
      </c>
      <c r="AG157" s="3">
        <v>181</v>
      </c>
      <c r="AH157" s="3" t="str">
        <f>IFERROR(MID(VLOOKUP($B157,Seqs!$A:$B,2,0),AI157,1),"")</f>
        <v>M</v>
      </c>
      <c r="AI157" s="3">
        <v>183</v>
      </c>
      <c r="AJ157" s="3" t="str">
        <f>IFERROR(MID(VLOOKUP($B157,Seqs!$A:$B,2,0),AK157,1),"")</f>
        <v>S</v>
      </c>
      <c r="AK157" s="3">
        <v>193</v>
      </c>
      <c r="AL157" s="3" t="str">
        <f>IFERROR(MID(VLOOKUP($B157,Seqs!$A:$B,2,0),AM157,1),"")</f>
        <v>A</v>
      </c>
      <c r="AM157" s="3">
        <v>229</v>
      </c>
      <c r="AN157" s="3" t="str">
        <f>IFERROR(MID(VLOOKUP($B157,Seqs!$A:$B,2,0),AO157,1),"")</f>
        <v>R</v>
      </c>
      <c r="AO157" s="3">
        <v>244</v>
      </c>
      <c r="AP157" s="3" t="str">
        <f>IFERROR(MID(VLOOKUP($B157,Seqs!$A:$B,2,0),AQ157,1),"")</f>
        <v>L</v>
      </c>
      <c r="AQ157" s="3">
        <v>276</v>
      </c>
      <c r="AR157" s="3" t="str">
        <f>IFERROR(MID(VLOOKUP($B157,Seqs!$A:$B,2,0),AS157,1),"")</f>
        <v>P</v>
      </c>
      <c r="AS157" s="3">
        <v>280</v>
      </c>
      <c r="AT157" s="3" t="str">
        <f>IFERROR(MID(VLOOKUP($B157,Seqs!$A:$B,2,0),AU157,1),"")</f>
        <v>F</v>
      </c>
      <c r="AU157" s="3">
        <v>312</v>
      </c>
      <c r="AV157" s="3" t="str">
        <f>IFERROR(MID(VLOOKUP($B157,Seqs!$A:$B,2,0),AW157,1),"")</f>
        <v>D</v>
      </c>
      <c r="AW157" s="3">
        <v>313</v>
      </c>
      <c r="AX157" s="3" t="str">
        <f>IFERROR(MID(VLOOKUP($B157,Seqs!$A:$B,2,0),AY157,1),"")</f>
        <v>G</v>
      </c>
      <c r="AY157" s="3">
        <v>327</v>
      </c>
      <c r="AZ157" s="77" t="str">
        <f>VLOOKUP(B157,Classification!A:D,2,0)</f>
        <v>A</v>
      </c>
      <c r="BA157" s="94" t="str">
        <f>VLOOKUP(B157,Classification!A:D,4,0)</f>
        <v>Apelin</v>
      </c>
      <c r="BB157" s="27" t="b">
        <f t="shared" si="1010"/>
        <v>1</v>
      </c>
      <c r="BC157" s="23">
        <f t="shared" si="1011"/>
        <v>254</v>
      </c>
      <c r="BD157" s="2" t="s">
        <v>1376</v>
      </c>
      <c r="BE157" s="3" t="s">
        <v>1374</v>
      </c>
      <c r="BF157" s="118">
        <v>2.6</v>
      </c>
      <c r="BG157" s="49" t="s">
        <v>1281</v>
      </c>
      <c r="BH157" s="49" t="s">
        <v>1281</v>
      </c>
      <c r="BI157" s="1"/>
      <c r="BJ157" s="70" t="s">
        <v>1287</v>
      </c>
      <c r="BK157" s="57" t="s">
        <v>1287</v>
      </c>
      <c r="BL157" s="57" t="s">
        <v>1287</v>
      </c>
      <c r="BM157" s="57" t="s">
        <v>1287</v>
      </c>
      <c r="BN157" s="57" t="s">
        <v>1287</v>
      </c>
      <c r="BO157" s="57" t="s">
        <v>1287</v>
      </c>
      <c r="BP157" s="57" t="s">
        <v>1287</v>
      </c>
      <c r="BQ157" s="57" t="s">
        <v>1287</v>
      </c>
      <c r="BR157" s="57" t="s">
        <v>1287</v>
      </c>
      <c r="BS157" s="57" t="s">
        <v>1287</v>
      </c>
      <c r="BT157" s="57" t="s">
        <v>1287</v>
      </c>
      <c r="BU157" s="57" t="s">
        <v>1287</v>
      </c>
      <c r="BV157" s="70">
        <f t="shared" si="1012"/>
        <v>29</v>
      </c>
      <c r="BW157" s="71">
        <f t="shared" si="1013"/>
        <v>57</v>
      </c>
      <c r="BX157" s="72">
        <f t="shared" si="1014"/>
        <v>62</v>
      </c>
      <c r="BY157" s="71">
        <f t="shared" si="1015"/>
        <v>94</v>
      </c>
      <c r="BZ157" s="72">
        <f t="shared" si="1016"/>
        <v>98</v>
      </c>
      <c r="CA157" s="71" t="str">
        <f t="shared" si="1017"/>
        <v>-</v>
      </c>
      <c r="CB157" s="72">
        <f t="shared" si="1018"/>
        <v>141</v>
      </c>
      <c r="CC157" s="71">
        <f t="shared" si="1019"/>
        <v>181</v>
      </c>
      <c r="CD157" s="72">
        <f t="shared" si="1020"/>
        <v>193</v>
      </c>
      <c r="CE157" s="71">
        <f t="shared" si="1021"/>
        <v>244</v>
      </c>
      <c r="CF157" s="72">
        <f t="shared" si="1022"/>
        <v>280</v>
      </c>
      <c r="CG157" s="71">
        <f t="shared" si="1023"/>
        <v>313</v>
      </c>
      <c r="CH157" s="70">
        <f t="shared" si="1024"/>
        <v>56</v>
      </c>
      <c r="CI157" s="71">
        <f t="shared" si="1025"/>
        <v>61</v>
      </c>
      <c r="CJ157" s="72">
        <f t="shared" si="1026"/>
        <v>92</v>
      </c>
      <c r="CK157" s="72">
        <f t="shared" si="1027"/>
        <v>97</v>
      </c>
      <c r="CL157" s="72">
        <f t="shared" si="1028"/>
        <v>133</v>
      </c>
      <c r="CM157" s="72" t="str">
        <f t="shared" si="1029"/>
        <v>-</v>
      </c>
      <c r="CN157" s="72">
        <f t="shared" si="1030"/>
        <v>168</v>
      </c>
      <c r="CO157" s="72">
        <f t="shared" si="1031"/>
        <v>183</v>
      </c>
      <c r="CP157" s="72">
        <f t="shared" si="1032"/>
        <v>229</v>
      </c>
      <c r="CQ157" s="72">
        <f t="shared" si="1033"/>
        <v>276</v>
      </c>
      <c r="CR157" s="72">
        <f t="shared" si="1034"/>
        <v>312</v>
      </c>
      <c r="CS157" s="72">
        <f t="shared" si="1035"/>
        <v>327</v>
      </c>
      <c r="CT157" s="23">
        <f t="shared" si="1036"/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29" x14ac:dyDescent="0.2">
      <c r="A158" s="3" t="str">
        <f t="shared" si="1009"/>
        <v>c5ar1_human__wt</v>
      </c>
      <c r="B158" s="3" t="s">
        <v>165</v>
      </c>
      <c r="C158" s="3" t="s">
        <v>100</v>
      </c>
      <c r="D158" s="3" t="str">
        <f>IFERROR(MID(VLOOKUP($B158,Seqs!$A:$B,2,0),E158,1),"")</f>
        <v>R</v>
      </c>
      <c r="E158" s="3">
        <v>34</v>
      </c>
      <c r="F158" s="3" t="str">
        <f>IFERROR(MID(VLOOKUP($B158,Seqs!$A:$B,2,0),G158,1),"")</f>
        <v>E</v>
      </c>
      <c r="G158" s="3">
        <v>65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T</v>
      </c>
      <c r="M158" s="3">
        <v>69</v>
      </c>
      <c r="N158" s="3" t="str">
        <f>IFERROR(MID(VLOOKUP($B158,Seqs!$A:$B,2,0),O158,1),"")</f>
        <v>H</v>
      </c>
      <c r="O158" s="3">
        <v>99</v>
      </c>
      <c r="P158" s="3" t="str">
        <f>IFERROR(MID(VLOOKUP($B158,Seqs!$A:$B,2,0),Q158,1),"")</f>
        <v>H</v>
      </c>
      <c r="Q158" s="3">
        <v>101</v>
      </c>
      <c r="R158" s="3" t="str">
        <f>IFERROR(MID(VLOOKUP($B158,Seqs!$A:$B,2,0),S158,1),"")</f>
        <v>F</v>
      </c>
      <c r="S158" s="3">
        <v>104</v>
      </c>
      <c r="T158" s="3" t="str">
        <f>IFERROR(MID(VLOOKUP($B158,Seqs!$A:$B,2,0),U158,1),"")</f>
        <v>G</v>
      </c>
      <c r="U158" s="3">
        <v>105</v>
      </c>
      <c r="V158" s="3" t="str">
        <f>IFERROR(MID(VLOOKUP($B158,Seqs!$A:$B,2,0),W158,1),"")</f>
        <v>K</v>
      </c>
      <c r="W158" s="3">
        <v>140</v>
      </c>
      <c r="X158" s="3" t="str">
        <f>IFERROR(MID(VLOOKUP($B158,Seqs!$A:$B,2,0),Y158,1),"")</f>
        <v>P</v>
      </c>
      <c r="Y158" s="3">
        <v>141</v>
      </c>
      <c r="Z158" s="3" t="str">
        <f>IFERROR(MID(VLOOKUP($B158,Seqs!$A:$B,2,0),AA158,1),"")</f>
        <v>R</v>
      </c>
      <c r="AA158" s="3">
        <v>148</v>
      </c>
      <c r="AB158" s="3" t="str">
        <f>IFERROR(MID(VLOOKUP($B158,Seqs!$A:$B,2,0),AC158,1),"")</f>
        <v>G</v>
      </c>
      <c r="AC158" s="3">
        <v>149</v>
      </c>
      <c r="AD158" s="3" t="str">
        <f>IFERROR(MID(VLOOKUP($B158,Seqs!$A:$B,2,0),AE158,1),"")</f>
        <v>R</v>
      </c>
      <c r="AE158" s="3">
        <v>175</v>
      </c>
      <c r="AF158" s="3" t="str">
        <f>IFERROR(MID(VLOOKUP($B158,Seqs!$A:$B,2,0),AG158,1),"")</f>
        <v>C</v>
      </c>
      <c r="AG158" s="3">
        <v>188</v>
      </c>
      <c r="AH158" s="3" t="str">
        <f>IFERROR(MID(VLOOKUP($B158,Seqs!$A:$B,2,0),AI158,1),"")</f>
        <v>V</v>
      </c>
      <c r="AI158" s="3">
        <v>190</v>
      </c>
      <c r="AJ158" s="3" t="str">
        <f>IFERROR(MID(VLOOKUP($B158,Seqs!$A:$B,2,0),AK158,1),"")</f>
        <v>D</v>
      </c>
      <c r="AK158" s="3">
        <v>195</v>
      </c>
      <c r="AL158" s="3" t="str">
        <f>IFERROR(MID(VLOOKUP($B158,Seqs!$A:$B,2,0),AM158,1),"")</f>
        <v>R</v>
      </c>
      <c r="AM158" s="3">
        <v>232</v>
      </c>
      <c r="AN158" s="3" t="str">
        <f>IFERROR(MID(VLOOKUP($B158,Seqs!$A:$B,2,0),AO158,1),"")</f>
        <v>T</v>
      </c>
      <c r="AO158" s="3">
        <v>238</v>
      </c>
      <c r="AP158" s="3" t="str">
        <f>IFERROR(MID(VLOOKUP($B158,Seqs!$A:$B,2,0),AQ158,1),"")</f>
        <v>L</v>
      </c>
      <c r="AQ158" s="3">
        <v>268</v>
      </c>
      <c r="AR158" s="3" t="str">
        <f>IFERROR(MID(VLOOKUP($B158,Seqs!$A:$B,2,0),AS158,1),"")</f>
        <v>S</v>
      </c>
      <c r="AS158" s="3">
        <v>272</v>
      </c>
      <c r="AT158" s="3" t="str">
        <f>IFERROR(MID(VLOOKUP($B158,Seqs!$A:$B,2,0),AU158,1),"")</f>
        <v>A</v>
      </c>
      <c r="AU158" s="3">
        <v>303</v>
      </c>
      <c r="AV158" s="3" t="str">
        <f>IFERROR(MID(VLOOKUP($B158,Seqs!$A:$B,2,0),AW158,1),"")</f>
        <v>G</v>
      </c>
      <c r="AW158" s="3">
        <v>304</v>
      </c>
      <c r="AX158" s="3" t="str">
        <f>IFERROR(MID(VLOOKUP($B158,Seqs!$A:$B,2,0),AY158,1),"")</f>
        <v>K</v>
      </c>
      <c r="AY158" s="3">
        <v>313</v>
      </c>
      <c r="AZ158" s="77" t="str">
        <f>VLOOKUP(B158,Classification!A:D,2,0)</f>
        <v>A</v>
      </c>
      <c r="BA158" s="94" t="str">
        <f>VLOOKUP(B158,Classification!A:D,4,0)</f>
        <v>Complementpeptide</v>
      </c>
      <c r="BB158" s="27" t="b">
        <f t="shared" si="1010"/>
        <v>1</v>
      </c>
      <c r="BC158" s="23">
        <f t="shared" si="1011"/>
        <v>253</v>
      </c>
      <c r="BD158" s="2" t="s">
        <v>23</v>
      </c>
      <c r="BE158" s="3" t="s">
        <v>1374</v>
      </c>
      <c r="BF158" s="118" t="s">
        <v>23</v>
      </c>
      <c r="BI158" s="1"/>
      <c r="BJ158" s="70" t="s">
        <v>1287</v>
      </c>
      <c r="BK158" s="57" t="s">
        <v>1287</v>
      </c>
      <c r="BL158" s="57" t="s">
        <v>1287</v>
      </c>
      <c r="BM158" s="57" t="s">
        <v>1287</v>
      </c>
      <c r="BN158" s="57" t="s">
        <v>1287</v>
      </c>
      <c r="BO158" s="57" t="s">
        <v>1287</v>
      </c>
      <c r="BP158" s="57" t="s">
        <v>1287</v>
      </c>
      <c r="BQ158" s="57" t="s">
        <v>1287</v>
      </c>
      <c r="BR158" s="57" t="s">
        <v>1287</v>
      </c>
      <c r="BS158" s="57" t="s">
        <v>1287</v>
      </c>
      <c r="BT158" s="57" t="s">
        <v>1287</v>
      </c>
      <c r="BU158" s="57" t="s">
        <v>1287</v>
      </c>
      <c r="BV158" s="70">
        <f t="shared" si="1012"/>
        <v>34</v>
      </c>
      <c r="BW158" s="71" t="str">
        <f t="shared" si="1013"/>
        <v>-</v>
      </c>
      <c r="BX158" s="72">
        <f t="shared" si="1014"/>
        <v>69</v>
      </c>
      <c r="BY158" s="71">
        <f t="shared" si="1015"/>
        <v>101</v>
      </c>
      <c r="BZ158" s="72">
        <f t="shared" si="1016"/>
        <v>105</v>
      </c>
      <c r="CA158" s="71">
        <f t="shared" si="1017"/>
        <v>141</v>
      </c>
      <c r="CB158" s="72">
        <f t="shared" si="1018"/>
        <v>149</v>
      </c>
      <c r="CC158" s="71">
        <f t="shared" si="1019"/>
        <v>188</v>
      </c>
      <c r="CD158" s="72">
        <f t="shared" si="1020"/>
        <v>195</v>
      </c>
      <c r="CE158" s="71">
        <f t="shared" si="1021"/>
        <v>238</v>
      </c>
      <c r="CF158" s="72">
        <f t="shared" si="1022"/>
        <v>272</v>
      </c>
      <c r="CG158" s="71">
        <f t="shared" si="1023"/>
        <v>304</v>
      </c>
      <c r="CH158" s="70">
        <f t="shared" si="1024"/>
        <v>65</v>
      </c>
      <c r="CI158" s="71" t="str">
        <f t="shared" si="1025"/>
        <v>-</v>
      </c>
      <c r="CJ158" s="72">
        <f t="shared" si="1026"/>
        <v>99</v>
      </c>
      <c r="CK158" s="72">
        <f t="shared" si="1027"/>
        <v>104</v>
      </c>
      <c r="CL158" s="72">
        <f t="shared" si="1028"/>
        <v>140</v>
      </c>
      <c r="CM158" s="72">
        <f t="shared" si="1029"/>
        <v>148</v>
      </c>
      <c r="CN158" s="72">
        <f t="shared" si="1030"/>
        <v>175</v>
      </c>
      <c r="CO158" s="72">
        <f t="shared" si="1031"/>
        <v>190</v>
      </c>
      <c r="CP158" s="72">
        <f t="shared" si="1032"/>
        <v>232</v>
      </c>
      <c r="CQ158" s="72">
        <f t="shared" si="1033"/>
        <v>268</v>
      </c>
      <c r="CR158" s="72">
        <f t="shared" si="1034"/>
        <v>303</v>
      </c>
      <c r="CS158" s="72">
        <f t="shared" si="1035"/>
        <v>313</v>
      </c>
      <c r="CT158" s="23" t="e">
        <f t="shared" si="1036"/>
        <v>#VALUE!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29" x14ac:dyDescent="0.2">
      <c r="A159" s="3" t="str">
        <f t="shared" si="1009"/>
        <v>c5ar1_human_5O9H</v>
      </c>
      <c r="B159" s="3" t="s">
        <v>165</v>
      </c>
      <c r="C159" s="3" t="s">
        <v>1479</v>
      </c>
      <c r="D159" s="3" t="str">
        <f>IFERROR(MID(VLOOKUP($B159,Seqs!$A:$B,2,0),E159,1),"")</f>
        <v>R</v>
      </c>
      <c r="E159" s="3">
        <v>34</v>
      </c>
      <c r="F159" s="3" t="str">
        <f>IFERROR(MID(VLOOKUP($B159,Seqs!$A:$B,2,0),G159,1),"")</f>
        <v>E</v>
      </c>
      <c r="G159" s="3">
        <v>65</v>
      </c>
      <c r="H159" s="3" t="str">
        <f>IFERROR(MID(VLOOKUP($B159,Seqs!$A:$B,2,0),I159,1),"")</f>
        <v/>
      </c>
      <c r="I159" s="23" t="s">
        <v>23</v>
      </c>
      <c r="J159" s="3" t="str">
        <f>IFERROR(MID(VLOOKUP($B159,Seqs!$A:$B,2,0),K159,1),"")</f>
        <v/>
      </c>
      <c r="K159" s="23" t="s">
        <v>23</v>
      </c>
      <c r="L159" s="3" t="str">
        <f>IFERROR(MID(VLOOKUP($B159,Seqs!$A:$B,2,0),M159,1),"")</f>
        <v>T</v>
      </c>
      <c r="M159" s="3">
        <v>69</v>
      </c>
      <c r="N159" s="3" t="str">
        <f>IFERROR(MID(VLOOKUP($B159,Seqs!$A:$B,2,0),O159,1),"")</f>
        <v>H</v>
      </c>
      <c r="O159" s="3">
        <v>99</v>
      </c>
      <c r="P159" s="3" t="str">
        <f>IFERROR(MID(VLOOKUP($B159,Seqs!$A:$B,2,0),Q159,1),"")</f>
        <v>H</v>
      </c>
      <c r="Q159" s="3">
        <v>101</v>
      </c>
      <c r="R159" s="3" t="str">
        <f>IFERROR(MID(VLOOKUP($B159,Seqs!$A:$B,2,0),S159,1),"")</f>
        <v>F</v>
      </c>
      <c r="S159" s="3">
        <v>104</v>
      </c>
      <c r="T159" s="3" t="str">
        <f>IFERROR(MID(VLOOKUP($B159,Seqs!$A:$B,2,0),U159,1),"")</f>
        <v>G</v>
      </c>
      <c r="U159" s="3">
        <v>105</v>
      </c>
      <c r="V159" s="3" t="str">
        <f>IFERROR(MID(VLOOKUP($B159,Seqs!$A:$B,2,0),W159,1),"")</f>
        <v>K</v>
      </c>
      <c r="W159" s="3">
        <v>140</v>
      </c>
      <c r="X159" s="3" t="str">
        <f>IFERROR(MID(VLOOKUP($B159,Seqs!$A:$B,2,0),Y159,1),"")</f>
        <v>P</v>
      </c>
      <c r="Y159" s="3">
        <v>141</v>
      </c>
      <c r="Z159" s="3" t="str">
        <f>IFERROR(MID(VLOOKUP($B159,Seqs!$A:$B,2,0),AA159,1),"")</f>
        <v>R</v>
      </c>
      <c r="AA159" s="3">
        <v>148</v>
      </c>
      <c r="AB159" s="3" t="str">
        <f>IFERROR(MID(VLOOKUP($B159,Seqs!$A:$B,2,0),AC159,1),"")</f>
        <v>G</v>
      </c>
      <c r="AC159" s="3">
        <v>149</v>
      </c>
      <c r="AD159" s="3" t="str">
        <f>IFERROR(MID(VLOOKUP($B159,Seqs!$A:$B,2,0),AE159,1),"")</f>
        <v>R</v>
      </c>
      <c r="AE159" s="3">
        <v>175</v>
      </c>
      <c r="AF159" s="3" t="str">
        <f>IFERROR(MID(VLOOKUP($B159,Seqs!$A:$B,2,0),AG159,1),"")</f>
        <v>C</v>
      </c>
      <c r="AG159" s="3">
        <v>188</v>
      </c>
      <c r="AH159" s="3" t="str">
        <f>IFERROR(MID(VLOOKUP($B159,Seqs!$A:$B,2,0),AI159,1),"")</f>
        <v>V</v>
      </c>
      <c r="AI159" s="3">
        <v>190</v>
      </c>
      <c r="AJ159" s="3" t="str">
        <f>IFERROR(MID(VLOOKUP($B159,Seqs!$A:$B,2,0),AK159,1),"")</f>
        <v>D</v>
      </c>
      <c r="AK159" s="3">
        <v>195</v>
      </c>
      <c r="AL159" s="3" t="str">
        <f>IFERROR(MID(VLOOKUP($B159,Seqs!$A:$B,2,0),AM159,1),"")</f>
        <v>R</v>
      </c>
      <c r="AM159" s="3">
        <v>232</v>
      </c>
      <c r="AN159" s="3" t="str">
        <f>IFERROR(MID(VLOOKUP($B159,Seqs!$A:$B,2,0),AO159,1),"")</f>
        <v>T</v>
      </c>
      <c r="AO159" s="3">
        <v>238</v>
      </c>
      <c r="AP159" s="3" t="str">
        <f>IFERROR(MID(VLOOKUP($B159,Seqs!$A:$B,2,0),AQ159,1),"")</f>
        <v>L</v>
      </c>
      <c r="AQ159" s="3">
        <v>268</v>
      </c>
      <c r="AR159" s="3" t="str">
        <f>IFERROR(MID(VLOOKUP($B159,Seqs!$A:$B,2,0),AS159,1),"")</f>
        <v>S</v>
      </c>
      <c r="AS159" s="3">
        <v>272</v>
      </c>
      <c r="AT159" s="3" t="str">
        <f>IFERROR(MID(VLOOKUP($B159,Seqs!$A:$B,2,0),AU159,1),"")</f>
        <v>F</v>
      </c>
      <c r="AU159" s="3">
        <v>307</v>
      </c>
      <c r="AV159" s="3" t="str">
        <f>IFERROR(MID(VLOOKUP($B159,Seqs!$A:$B,2,0),AW159,1),"")</f>
        <v/>
      </c>
      <c r="AW159" s="3" t="s">
        <v>23</v>
      </c>
      <c r="AX159" s="3" t="str">
        <f>IFERROR(MID(VLOOKUP($B159,Seqs!$A:$B,2,0),AY159,1),"")</f>
        <v/>
      </c>
      <c r="AY159" s="3" t="s">
        <v>23</v>
      </c>
      <c r="AZ159" s="77" t="str">
        <f>VLOOKUP(B159,Classification!A:D,2,0)</f>
        <v>A</v>
      </c>
      <c r="BA159" s="94" t="str">
        <f>VLOOKUP(B159,Classification!A:D,4,0)</f>
        <v>Complementpeptide</v>
      </c>
      <c r="BB159" s="27" t="b">
        <f t="shared" si="1010"/>
        <v>1</v>
      </c>
      <c r="BC159" s="23">
        <f t="shared" si="1011"/>
        <v>248</v>
      </c>
      <c r="BD159" s="2" t="s">
        <v>1376</v>
      </c>
      <c r="BE159" s="3" t="s">
        <v>1374</v>
      </c>
      <c r="BF159" s="118">
        <v>2.7</v>
      </c>
      <c r="BG159" s="49" t="s">
        <v>1</v>
      </c>
      <c r="BH159" s="49" t="s">
        <v>1</v>
      </c>
      <c r="BI159" s="1"/>
      <c r="BJ159" s="70" t="s">
        <v>1287</v>
      </c>
      <c r="BK159" s="57" t="s">
        <v>1287</v>
      </c>
      <c r="BL159" s="57" t="s">
        <v>1287</v>
      </c>
      <c r="BM159" s="57" t="s">
        <v>1287</v>
      </c>
      <c r="BN159" s="57" t="s">
        <v>1287</v>
      </c>
      <c r="BO159" s="57" t="s">
        <v>1287</v>
      </c>
      <c r="BP159" s="57" t="s">
        <v>1287</v>
      </c>
      <c r="BQ159" s="57" t="s">
        <v>1287</v>
      </c>
      <c r="BR159" s="57" t="s">
        <v>1287</v>
      </c>
      <c r="BS159" s="57" t="s">
        <v>1287</v>
      </c>
      <c r="BT159" s="57" t="s">
        <v>1287</v>
      </c>
      <c r="BU159" s="57" t="s">
        <v>1287</v>
      </c>
      <c r="BV159" s="70">
        <f t="shared" si="1012"/>
        <v>34</v>
      </c>
      <c r="BW159" s="71" t="str">
        <f t="shared" si="1013"/>
        <v>-</v>
      </c>
      <c r="BX159" s="72">
        <f t="shared" si="1014"/>
        <v>69</v>
      </c>
      <c r="BY159" s="71">
        <f t="shared" si="1015"/>
        <v>101</v>
      </c>
      <c r="BZ159" s="72">
        <f t="shared" si="1016"/>
        <v>105</v>
      </c>
      <c r="CA159" s="71">
        <f t="shared" si="1017"/>
        <v>141</v>
      </c>
      <c r="CB159" s="72">
        <f t="shared" si="1018"/>
        <v>149</v>
      </c>
      <c r="CC159" s="71">
        <f t="shared" si="1019"/>
        <v>188</v>
      </c>
      <c r="CD159" s="72">
        <f t="shared" si="1020"/>
        <v>195</v>
      </c>
      <c r="CE159" s="71">
        <f t="shared" si="1021"/>
        <v>238</v>
      </c>
      <c r="CF159" s="72">
        <f t="shared" si="1022"/>
        <v>272</v>
      </c>
      <c r="CG159" s="71" t="str">
        <f t="shared" si="1023"/>
        <v>-</v>
      </c>
      <c r="CH159" s="70">
        <f t="shared" si="1024"/>
        <v>65</v>
      </c>
      <c r="CI159" s="71" t="str">
        <f t="shared" si="1025"/>
        <v>-</v>
      </c>
      <c r="CJ159" s="72">
        <f t="shared" si="1026"/>
        <v>99</v>
      </c>
      <c r="CK159" s="72">
        <f t="shared" si="1027"/>
        <v>104</v>
      </c>
      <c r="CL159" s="72">
        <f t="shared" si="1028"/>
        <v>140</v>
      </c>
      <c r="CM159" s="72">
        <f t="shared" si="1029"/>
        <v>148</v>
      </c>
      <c r="CN159" s="72">
        <f t="shared" si="1030"/>
        <v>175</v>
      </c>
      <c r="CO159" s="72">
        <f t="shared" si="1031"/>
        <v>190</v>
      </c>
      <c r="CP159" s="72">
        <f t="shared" si="1032"/>
        <v>232</v>
      </c>
      <c r="CQ159" s="72">
        <f t="shared" si="1033"/>
        <v>268</v>
      </c>
      <c r="CR159" s="72">
        <f t="shared" si="1034"/>
        <v>307</v>
      </c>
      <c r="CS159" s="72" t="str">
        <f t="shared" si="1035"/>
        <v>-</v>
      </c>
      <c r="CT159" s="23" t="e">
        <f t="shared" si="1036"/>
        <v>#VALUE!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29" x14ac:dyDescent="0.2">
      <c r="A160" s="3" t="str">
        <f t="shared" si="1009"/>
        <v>c5ar1_human_6C1Q</v>
      </c>
      <c r="B160" s="3" t="s">
        <v>165</v>
      </c>
      <c r="C160" s="3" t="s">
        <v>1498</v>
      </c>
      <c r="D160" s="3" t="str">
        <f>IFERROR(MID(VLOOKUP($B160,Seqs!$A:$B,2,0),E160,1),"")</f>
        <v>M</v>
      </c>
      <c r="E160" s="3">
        <v>120</v>
      </c>
      <c r="F160" s="3" t="str">
        <f>IFERROR(MID(VLOOKUP($B160,Seqs!$A:$B,2,0),G160,1),"")</f>
        <v>G</v>
      </c>
      <c r="G160" s="3">
        <v>151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I</v>
      </c>
      <c r="M160" s="3">
        <v>155</v>
      </c>
      <c r="N160" s="3" t="str">
        <f>IFERROR(MID(VLOOKUP($B160,Seqs!$A:$B,2,0),O160,1),"")</f>
        <v>K</v>
      </c>
      <c r="O160" s="3">
        <v>185</v>
      </c>
      <c r="P160" s="3" t="str">
        <f>IFERROR(MID(VLOOKUP($B160,Seqs!$A:$B,2,0),Q160,1),"")</f>
        <v>L</v>
      </c>
      <c r="Q160" s="3">
        <v>187</v>
      </c>
      <c r="R160" s="3" t="str">
        <f>IFERROR(MID(VLOOKUP($B160,Seqs!$A:$B,2,0),S160,1),"")</f>
        <v>V</v>
      </c>
      <c r="S160" s="3">
        <v>190</v>
      </c>
      <c r="T160" s="3" t="str">
        <f>IFERROR(MID(VLOOKUP($B160,Seqs!$A:$B,2,0),U160,1),"")</f>
        <v>D</v>
      </c>
      <c r="U160" s="3">
        <v>191</v>
      </c>
      <c r="V160" s="3" t="str">
        <f>IFERROR(MID(VLOOKUP($B160,Seqs!$A:$B,2,0),W160,1),"")</f>
        <v>L</v>
      </c>
      <c r="W160" s="3">
        <v>226</v>
      </c>
      <c r="X160" s="3" t="str">
        <f>IFERROR(MID(VLOOKUP($B160,Seqs!$A:$B,2,0),Y160,1),"")</f>
        <v>L</v>
      </c>
      <c r="Y160" s="3">
        <v>227</v>
      </c>
      <c r="Z160" s="3" t="str">
        <f>IFERROR(MID(VLOOKUP($B160,Seqs!$A:$B,2,0),AA160,1),"")</f>
        <v>A</v>
      </c>
      <c r="AA160" s="3">
        <v>234</v>
      </c>
      <c r="AB160" s="3" t="str">
        <f>IFERROR(MID(VLOOKUP($B160,Seqs!$A:$B,2,0),AC160,1),"")</f>
        <v>T</v>
      </c>
      <c r="AC160" s="3">
        <v>235</v>
      </c>
      <c r="AD160" s="3" t="str">
        <f>IFERROR(MID(VLOOKUP($B160,Seqs!$A:$B,2,0),AE160,1),"")</f>
        <v>T</v>
      </c>
      <c r="AE160" s="3">
        <v>261</v>
      </c>
      <c r="AF160" s="3" t="str">
        <f>IFERROR(MID(VLOOKUP($B160,Seqs!$A:$B,2,0),AG160,1),"")</f>
        <v>T</v>
      </c>
      <c r="AG160" s="3">
        <v>274</v>
      </c>
      <c r="AH160" s="3" t="str">
        <f>IFERROR(MID(VLOOKUP($B160,Seqs!$A:$B,2,0),AI160,1),"")</f>
        <v>L</v>
      </c>
      <c r="AI160" s="3">
        <v>276</v>
      </c>
      <c r="AJ160" s="3" t="str">
        <f>IFERROR(MID(VLOOKUP($B160,Seqs!$A:$B,2,0),AK160,1),"")</f>
        <v>L</v>
      </c>
      <c r="AK160" s="3">
        <v>281</v>
      </c>
      <c r="AL160" s="3" t="str">
        <f>IFERROR(MID(VLOOKUP($B160,Seqs!$A:$B,2,0),AM160,1),"")</f>
        <v>L</v>
      </c>
      <c r="AM160" s="3">
        <v>318</v>
      </c>
      <c r="AN160" s="3" t="str">
        <f>IFERROR(MID(VLOOKUP($B160,Seqs!$A:$B,2,0),AO160,1),"")</f>
        <v>L</v>
      </c>
      <c r="AO160" s="3">
        <v>323</v>
      </c>
      <c r="AP160" s="3" t="str">
        <f>IFERROR(MID(VLOOKUP($B160,Seqs!$A:$B,2,0),AQ160,1),"")</f>
        <v/>
      </c>
      <c r="AQ160" s="3">
        <v>354</v>
      </c>
      <c r="AR160" s="3" t="str">
        <f>IFERROR(MID(VLOOKUP($B160,Seqs!$A:$B,2,0),AS160,1),"")</f>
        <v/>
      </c>
      <c r="AS160" s="3">
        <v>358</v>
      </c>
      <c r="AT160" s="3" t="str">
        <f>IFERROR(MID(VLOOKUP($B160,Seqs!$A:$B,2,0),AU160,1),"")</f>
        <v/>
      </c>
      <c r="AU160" s="3">
        <v>394</v>
      </c>
      <c r="AV160" s="3" t="str">
        <f>IFERROR(MID(VLOOKUP($B160,Seqs!$A:$B,2,0),AW160,1),"")</f>
        <v/>
      </c>
      <c r="AW160" s="3" t="s">
        <v>23</v>
      </c>
      <c r="AX160" s="3" t="str">
        <f>IFERROR(MID(VLOOKUP($B160,Seqs!$A:$B,2,0),AY160,1),"")</f>
        <v/>
      </c>
      <c r="AY160" s="3" t="s">
        <v>23</v>
      </c>
      <c r="AZ160" s="77" t="str">
        <f>VLOOKUP(B160,Classification!A:D,2,0)</f>
        <v>A</v>
      </c>
      <c r="BA160" s="94" t="str">
        <f>VLOOKUP(B160,Classification!A:D,4,0)</f>
        <v>Complementpeptide</v>
      </c>
      <c r="BB160" s="27" t="b">
        <f t="shared" si="1010"/>
        <v>1</v>
      </c>
      <c r="BC160" s="23">
        <f t="shared" si="1011"/>
        <v>250</v>
      </c>
      <c r="BD160" s="2" t="s">
        <v>23</v>
      </c>
      <c r="BE160" s="3" t="s">
        <v>1374</v>
      </c>
      <c r="BF160" s="118">
        <v>2.9</v>
      </c>
      <c r="BG160" s="49" t="s">
        <v>1281</v>
      </c>
      <c r="BH160" s="49" t="s">
        <v>1281</v>
      </c>
      <c r="BI160" s="1"/>
      <c r="BJ160" s="70" t="s">
        <v>1287</v>
      </c>
      <c r="BK160" s="57" t="s">
        <v>1287</v>
      </c>
      <c r="BL160" s="57" t="s">
        <v>1287</v>
      </c>
      <c r="BM160" s="57" t="s">
        <v>1287</v>
      </c>
      <c r="BN160" s="57" t="s">
        <v>1287</v>
      </c>
      <c r="BO160" s="57" t="s">
        <v>1287</v>
      </c>
      <c r="BP160" s="57" t="s">
        <v>1287</v>
      </c>
      <c r="BQ160" s="57" t="s">
        <v>1287</v>
      </c>
      <c r="BR160" s="57" t="s">
        <v>1287</v>
      </c>
      <c r="BS160" s="57" t="s">
        <v>1287</v>
      </c>
      <c r="BT160" s="57" t="s">
        <v>1287</v>
      </c>
      <c r="BU160" s="57" t="s">
        <v>1287</v>
      </c>
      <c r="BV160" s="70">
        <f t="shared" si="1012"/>
        <v>120</v>
      </c>
      <c r="BW160" s="71" t="str">
        <f t="shared" si="1013"/>
        <v>-</v>
      </c>
      <c r="BX160" s="72">
        <f t="shared" si="1014"/>
        <v>155</v>
      </c>
      <c r="BY160" s="71">
        <f t="shared" si="1015"/>
        <v>187</v>
      </c>
      <c r="BZ160" s="72">
        <f t="shared" si="1016"/>
        <v>191</v>
      </c>
      <c r="CA160" s="71">
        <f t="shared" si="1017"/>
        <v>227</v>
      </c>
      <c r="CB160" s="72">
        <f t="shared" si="1018"/>
        <v>235</v>
      </c>
      <c r="CC160" s="71">
        <f t="shared" si="1019"/>
        <v>274</v>
      </c>
      <c r="CD160" s="72">
        <f t="shared" si="1020"/>
        <v>281</v>
      </c>
      <c r="CE160" s="71">
        <f t="shared" si="1021"/>
        <v>323</v>
      </c>
      <c r="CF160" s="72">
        <f t="shared" si="1022"/>
        <v>358</v>
      </c>
      <c r="CG160" s="71" t="str">
        <f t="shared" si="1023"/>
        <v>-</v>
      </c>
      <c r="CH160" s="70">
        <f t="shared" si="1024"/>
        <v>151</v>
      </c>
      <c r="CI160" s="71" t="str">
        <f t="shared" si="1025"/>
        <v>-</v>
      </c>
      <c r="CJ160" s="72">
        <f t="shared" si="1026"/>
        <v>185</v>
      </c>
      <c r="CK160" s="72">
        <f t="shared" si="1027"/>
        <v>190</v>
      </c>
      <c r="CL160" s="72">
        <f t="shared" si="1028"/>
        <v>226</v>
      </c>
      <c r="CM160" s="72">
        <f t="shared" si="1029"/>
        <v>234</v>
      </c>
      <c r="CN160" s="72">
        <f t="shared" si="1030"/>
        <v>261</v>
      </c>
      <c r="CO160" s="72">
        <f t="shared" si="1031"/>
        <v>276</v>
      </c>
      <c r="CP160" s="72">
        <f t="shared" si="1032"/>
        <v>318</v>
      </c>
      <c r="CQ160" s="72">
        <f t="shared" si="1033"/>
        <v>354</v>
      </c>
      <c r="CR160" s="72">
        <f t="shared" si="1034"/>
        <v>394</v>
      </c>
      <c r="CS160" s="72" t="str">
        <f t="shared" si="1035"/>
        <v>-</v>
      </c>
      <c r="CT160" s="23" t="e">
        <f t="shared" si="1036"/>
        <v>#VALUE!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30" x14ac:dyDescent="0.2">
      <c r="A161" s="3" t="str">
        <f t="shared" si="1009"/>
        <v>c5ar1_human_6C1R</v>
      </c>
      <c r="B161" s="3" t="s">
        <v>165</v>
      </c>
      <c r="C161" s="3" t="s">
        <v>1499</v>
      </c>
      <c r="D161" s="3" t="str">
        <f>IFERROR(MID(VLOOKUP($B161,Seqs!$A:$B,2,0),E161,1),"")</f>
        <v>M</v>
      </c>
      <c r="E161" s="3">
        <v>120</v>
      </c>
      <c r="F161" s="3" t="str">
        <f>IFERROR(MID(VLOOKUP($B161,Seqs!$A:$B,2,0),G161,1),"")</f>
        <v>G</v>
      </c>
      <c r="G161" s="3">
        <v>151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I</v>
      </c>
      <c r="M161" s="3">
        <v>155</v>
      </c>
      <c r="N161" s="3" t="str">
        <f>IFERROR(MID(VLOOKUP($B161,Seqs!$A:$B,2,0),O161,1),"")</f>
        <v>K</v>
      </c>
      <c r="O161" s="3">
        <v>185</v>
      </c>
      <c r="P161" s="3" t="str">
        <f>IFERROR(MID(VLOOKUP($B161,Seqs!$A:$B,2,0),Q161,1),"")</f>
        <v>L</v>
      </c>
      <c r="Q161" s="3">
        <v>187</v>
      </c>
      <c r="R161" s="3" t="str">
        <f>IFERROR(MID(VLOOKUP($B161,Seqs!$A:$B,2,0),S161,1),"")</f>
        <v>V</v>
      </c>
      <c r="S161" s="3">
        <v>190</v>
      </c>
      <c r="T161" s="3" t="str">
        <f>IFERROR(MID(VLOOKUP($B161,Seqs!$A:$B,2,0),U161,1),"")</f>
        <v>D</v>
      </c>
      <c r="U161" s="3">
        <v>191</v>
      </c>
      <c r="V161" s="3" t="str">
        <f>IFERROR(MID(VLOOKUP($B161,Seqs!$A:$B,2,0),W161,1),"")</f>
        <v>L</v>
      </c>
      <c r="W161" s="3">
        <v>226</v>
      </c>
      <c r="X161" s="3" t="str">
        <f>IFERROR(MID(VLOOKUP($B161,Seqs!$A:$B,2,0),Y161,1),"")</f>
        <v>L</v>
      </c>
      <c r="Y161" s="3">
        <v>227</v>
      </c>
      <c r="Z161" s="3" t="str">
        <f>IFERROR(MID(VLOOKUP($B161,Seqs!$A:$B,2,0),AA161,1),"")</f>
        <v>A</v>
      </c>
      <c r="AA161" s="3">
        <v>234</v>
      </c>
      <c r="AB161" s="3" t="str">
        <f>IFERROR(MID(VLOOKUP($B161,Seqs!$A:$B,2,0),AC161,1),"")</f>
        <v>T</v>
      </c>
      <c r="AC161" s="3">
        <v>235</v>
      </c>
      <c r="AD161" s="3" t="str">
        <f>IFERROR(MID(VLOOKUP($B161,Seqs!$A:$B,2,0),AE161,1),"")</f>
        <v>T</v>
      </c>
      <c r="AE161" s="3">
        <v>261</v>
      </c>
      <c r="AF161" s="3" t="str">
        <f>IFERROR(MID(VLOOKUP($B161,Seqs!$A:$B,2,0),AG161,1),"")</f>
        <v>T</v>
      </c>
      <c r="AG161" s="3">
        <v>274</v>
      </c>
      <c r="AH161" s="3" t="str">
        <f>IFERROR(MID(VLOOKUP($B161,Seqs!$A:$B,2,0),AI161,1),"")</f>
        <v>L</v>
      </c>
      <c r="AI161" s="3">
        <v>276</v>
      </c>
      <c r="AJ161" s="3" t="str">
        <f>IFERROR(MID(VLOOKUP($B161,Seqs!$A:$B,2,0),AK161,1),"")</f>
        <v>L</v>
      </c>
      <c r="AK161" s="3">
        <v>281</v>
      </c>
      <c r="AL161" s="3" t="str">
        <f>IFERROR(MID(VLOOKUP($B161,Seqs!$A:$B,2,0),AM161,1),"")</f>
        <v>L</v>
      </c>
      <c r="AM161" s="3">
        <v>318</v>
      </c>
      <c r="AN161" s="3" t="str">
        <f>IFERROR(MID(VLOOKUP($B161,Seqs!$A:$B,2,0),AO161,1),"")</f>
        <v>L</v>
      </c>
      <c r="AO161" s="3">
        <v>323</v>
      </c>
      <c r="AP161" s="3" t="str">
        <f>IFERROR(MID(VLOOKUP($B161,Seqs!$A:$B,2,0),AQ161,1),"")</f>
        <v/>
      </c>
      <c r="AQ161" s="3">
        <v>354</v>
      </c>
      <c r="AR161" s="3" t="str">
        <f>IFERROR(MID(VLOOKUP($B161,Seqs!$A:$B,2,0),AS161,1),"")</f>
        <v/>
      </c>
      <c r="AS161" s="3">
        <v>358</v>
      </c>
      <c r="AT161" s="3" t="str">
        <f>IFERROR(MID(VLOOKUP($B161,Seqs!$A:$B,2,0),AU161,1),"")</f>
        <v/>
      </c>
      <c r="AU161" s="3">
        <v>394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7" t="str">
        <f>VLOOKUP(B161,Classification!A:D,2,0)</f>
        <v>A</v>
      </c>
      <c r="BA161" s="94" t="str">
        <f>VLOOKUP(B161,Classification!A:D,4,0)</f>
        <v>Complementpeptide</v>
      </c>
      <c r="BB161" s="27" t="b">
        <f t="shared" si="1010"/>
        <v>1</v>
      </c>
      <c r="BC161" s="23">
        <f t="shared" si="1011"/>
        <v>250</v>
      </c>
      <c r="BD161" s="2" t="s">
        <v>23</v>
      </c>
      <c r="BE161" s="3" t="s">
        <v>1374</v>
      </c>
      <c r="BF161" s="118">
        <v>2.2000000000000002</v>
      </c>
      <c r="BG161" s="49" t="s">
        <v>1281</v>
      </c>
      <c r="BH161" s="49" t="s">
        <v>1281</v>
      </c>
      <c r="BI161" s="1"/>
      <c r="BJ161" s="70" t="s">
        <v>1287</v>
      </c>
      <c r="BK161" s="57" t="s">
        <v>1287</v>
      </c>
      <c r="BL161" s="57" t="s">
        <v>1287</v>
      </c>
      <c r="BM161" s="57" t="s">
        <v>1287</v>
      </c>
      <c r="BN161" s="57" t="s">
        <v>1287</v>
      </c>
      <c r="BO161" s="57" t="s">
        <v>1287</v>
      </c>
      <c r="BP161" s="57" t="s">
        <v>1287</v>
      </c>
      <c r="BQ161" s="57" t="s">
        <v>1287</v>
      </c>
      <c r="BR161" s="57" t="s">
        <v>1287</v>
      </c>
      <c r="BS161" s="57" t="s">
        <v>1287</v>
      </c>
      <c r="BT161" s="57" t="s">
        <v>1287</v>
      </c>
      <c r="BU161" s="57" t="s">
        <v>1287</v>
      </c>
      <c r="BV161" s="70">
        <f t="shared" si="1012"/>
        <v>120</v>
      </c>
      <c r="BW161" s="71" t="str">
        <f t="shared" si="1013"/>
        <v>-</v>
      </c>
      <c r="BX161" s="72">
        <f t="shared" si="1014"/>
        <v>155</v>
      </c>
      <c r="BY161" s="71">
        <f t="shared" si="1015"/>
        <v>187</v>
      </c>
      <c r="BZ161" s="72">
        <f t="shared" si="1016"/>
        <v>191</v>
      </c>
      <c r="CA161" s="71">
        <f t="shared" si="1017"/>
        <v>227</v>
      </c>
      <c r="CB161" s="72">
        <f t="shared" si="1018"/>
        <v>235</v>
      </c>
      <c r="CC161" s="71">
        <f t="shared" si="1019"/>
        <v>274</v>
      </c>
      <c r="CD161" s="72">
        <f t="shared" si="1020"/>
        <v>281</v>
      </c>
      <c r="CE161" s="71">
        <f t="shared" si="1021"/>
        <v>323</v>
      </c>
      <c r="CF161" s="72">
        <f t="shared" si="1022"/>
        <v>358</v>
      </c>
      <c r="CG161" s="71" t="str">
        <f t="shared" si="1023"/>
        <v>-</v>
      </c>
      <c r="CH161" s="70">
        <f t="shared" si="1024"/>
        <v>151</v>
      </c>
      <c r="CI161" s="71" t="str">
        <f t="shared" si="1025"/>
        <v>-</v>
      </c>
      <c r="CJ161" s="72">
        <f t="shared" si="1026"/>
        <v>185</v>
      </c>
      <c r="CK161" s="72">
        <f t="shared" si="1027"/>
        <v>190</v>
      </c>
      <c r="CL161" s="72">
        <f t="shared" si="1028"/>
        <v>226</v>
      </c>
      <c r="CM161" s="72">
        <f t="shared" si="1029"/>
        <v>234</v>
      </c>
      <c r="CN161" s="72">
        <f t="shared" si="1030"/>
        <v>261</v>
      </c>
      <c r="CO161" s="72">
        <f t="shared" si="1031"/>
        <v>276</v>
      </c>
      <c r="CP161" s="72">
        <f t="shared" si="1032"/>
        <v>318</v>
      </c>
      <c r="CQ161" s="72">
        <f t="shared" si="1033"/>
        <v>354</v>
      </c>
      <c r="CR161" s="72">
        <f t="shared" si="1034"/>
        <v>394</v>
      </c>
      <c r="CS161" s="72" t="str">
        <f t="shared" si="1035"/>
        <v>-</v>
      </c>
      <c r="CT161" s="23" t="e">
        <f t="shared" si="1036"/>
        <v>#VALUE!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30" x14ac:dyDescent="0.2">
      <c r="A162" s="3" t="str">
        <f t="shared" si="951"/>
        <v>ccr2_human__wt</v>
      </c>
      <c r="B162" s="3" t="s">
        <v>170</v>
      </c>
      <c r="C162" s="3" t="s">
        <v>100</v>
      </c>
      <c r="D162" s="3" t="str">
        <f>IFERROR(MID(VLOOKUP($B162,Seqs!$A:$B,2,0),E162,1),"")</f>
        <v>V</v>
      </c>
      <c r="E162" s="3">
        <v>37</v>
      </c>
      <c r="F162" s="3" t="str">
        <f>IFERROR(MID(VLOOKUP($B162,Seqs!$A:$B,2,0),G162,1),"")</f>
        <v>C</v>
      </c>
      <c r="G162" s="3">
        <v>70</v>
      </c>
      <c r="H162" s="3" t="str">
        <f>IFERROR(MID(VLOOKUP($B162,Seqs!$A:$B,2,0),I162,1),"")</f>
        <v>K</v>
      </c>
      <c r="I162" s="23">
        <v>71</v>
      </c>
      <c r="J162" s="3" t="str">
        <f>IFERROR(MID(VLOOKUP($B162,Seqs!$A:$B,2,0),K162,1),"")</f>
        <v>K</v>
      </c>
      <c r="K162" s="23">
        <v>74</v>
      </c>
      <c r="L162" s="3" t="str">
        <f>IFERROR(MID(VLOOKUP($B162,Seqs!$A:$B,2,0),M162,1),"")</f>
        <v>C</v>
      </c>
      <c r="M162" s="3">
        <v>75</v>
      </c>
      <c r="N162" s="3" t="str">
        <f>IFERROR(MID(VLOOKUP($B162,Seqs!$A:$B,2,0),O162,1),"")</f>
        <v>N</v>
      </c>
      <c r="O162" s="3">
        <v>104</v>
      </c>
      <c r="P162" s="3" t="str">
        <f>IFERROR(MID(VLOOKUP($B162,Seqs!$A:$B,2,0),Q162,1),"")</f>
        <v>E</v>
      </c>
      <c r="Q162" s="3">
        <v>105</v>
      </c>
      <c r="R162" s="3" t="str">
        <f>IFERROR(MID(VLOOKUP($B162,Seqs!$A:$B,2,0),S162,1),"")</f>
        <v>F</v>
      </c>
      <c r="S162" s="3">
        <v>108</v>
      </c>
      <c r="T162" s="3" t="str">
        <f>IFERROR(MID(VLOOKUP($B162,Seqs!$A:$B,2,0),U162,1),"")</f>
        <v>G</v>
      </c>
      <c r="U162" s="3">
        <v>109</v>
      </c>
      <c r="V162" s="3" t="str">
        <f>IFERROR(MID(VLOOKUP($B162,Seqs!$A:$B,2,0),W162,1),"")</f>
        <v>H</v>
      </c>
      <c r="W162" s="3">
        <v>144</v>
      </c>
      <c r="X162" s="3" t="str">
        <f>IFERROR(MID(VLOOKUP($B162,Seqs!$A:$B,2,0),Y162,1),"")</f>
        <v>A</v>
      </c>
      <c r="Y162" s="3">
        <v>145</v>
      </c>
      <c r="Z162" s="3" t="str">
        <f>IFERROR(MID(VLOOKUP($B162,Seqs!$A:$B,2,0),AA162,1),"")</f>
        <v>R</v>
      </c>
      <c r="AA162" s="3">
        <v>152</v>
      </c>
      <c r="AB162" s="3" t="str">
        <f>IFERROR(MID(VLOOKUP($B162,Seqs!$A:$B,2,0),AC162,1),"")</f>
        <v>T</v>
      </c>
      <c r="AC162" s="9">
        <v>153</v>
      </c>
      <c r="AD162" s="3" t="str">
        <f>IFERROR(MID(VLOOKUP($B162,Seqs!$A:$B,2,0),AE162,1),"")</f>
        <v>T</v>
      </c>
      <c r="AE162" s="3">
        <v>179</v>
      </c>
      <c r="AF162" s="3" t="str">
        <f>IFERROR(MID(VLOOKUP($B162,Seqs!$A:$B,2,0),AG162,1),"")</f>
        <v>C</v>
      </c>
      <c r="AG162" s="3">
        <v>190</v>
      </c>
      <c r="AH162" s="3" t="str">
        <f>IFERROR(MID(VLOOKUP($B162,Seqs!$A:$B,2,0),AI162,1),"")</f>
        <v>P</v>
      </c>
      <c r="AI162" s="3">
        <v>192</v>
      </c>
      <c r="AJ162" s="3" t="str">
        <f>IFERROR(MID(VLOOKUP($B162,Seqs!$A:$B,2,0),AK162,1),"")</f>
        <v>P</v>
      </c>
      <c r="AK162" s="3">
        <v>195</v>
      </c>
      <c r="AL162" s="3" t="str">
        <f>IFERROR(MID(VLOOKUP($B162,Seqs!$A:$B,2,0),AM162,1),"")</f>
        <v>C</v>
      </c>
      <c r="AM162" s="3">
        <v>232</v>
      </c>
      <c r="AN162" s="3" t="str">
        <f>IFERROR(MID(VLOOKUP($B162,Seqs!$A:$B,2,0),AO162,1),"")</f>
        <v>K</v>
      </c>
      <c r="AO162" s="3">
        <v>236</v>
      </c>
      <c r="AP162" s="3" t="str">
        <f>IFERROR(MID(VLOOKUP($B162,Seqs!$A:$B,2,0),AQ162,1),"")</f>
        <v>G</v>
      </c>
      <c r="AQ162" s="3">
        <v>273</v>
      </c>
      <c r="AR162" s="3" t="str">
        <f>IFERROR(MID(VLOOKUP($B162,Seqs!$A:$B,2,0),AS162,1),"")</f>
        <v>E</v>
      </c>
      <c r="AS162" s="3">
        <v>278</v>
      </c>
      <c r="AT162" s="3" t="str">
        <f>IFERROR(MID(VLOOKUP($B162,Seqs!$A:$B,2,0),AU162,1),"")</f>
        <v>V</v>
      </c>
      <c r="AU162" s="3">
        <v>308</v>
      </c>
      <c r="AV162" s="3" t="str">
        <f>IFERROR(MID(VLOOKUP($B162,Seqs!$A:$B,2,0),AW162,1),"")</f>
        <v>G</v>
      </c>
      <c r="AW162" s="3">
        <v>309</v>
      </c>
      <c r="AX162" s="3" t="str">
        <f>IFERROR(MID(VLOOKUP($B162,Seqs!$A:$B,2,0),AY162,1),"")</f>
        <v>L</v>
      </c>
      <c r="AY162" s="3">
        <v>320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952"/>
        <v>1</v>
      </c>
      <c r="BC162" s="23">
        <f t="shared" si="729"/>
        <v>265</v>
      </c>
      <c r="BD162" s="2" t="s">
        <v>23</v>
      </c>
      <c r="BE162" s="3" t="s">
        <v>23</v>
      </c>
      <c r="BF162" s="118" t="s">
        <v>23</v>
      </c>
      <c r="BG162" s="49" t="s">
        <v>1372</v>
      </c>
      <c r="BH162" s="49" t="s">
        <v>1377</v>
      </c>
      <c r="BI162" s="1"/>
      <c r="BJ162" s="70" t="s">
        <v>1287</v>
      </c>
      <c r="BK162" s="57" t="s">
        <v>1287</v>
      </c>
      <c r="BL162" s="57" t="s">
        <v>1287</v>
      </c>
      <c r="BM162" s="57" t="s">
        <v>1287</v>
      </c>
      <c r="BN162" s="57" t="s">
        <v>1287</v>
      </c>
      <c r="BO162" s="57" t="s">
        <v>1287</v>
      </c>
      <c r="BP162" s="57" t="s">
        <v>1287</v>
      </c>
      <c r="BQ162" s="57" t="s">
        <v>1287</v>
      </c>
      <c r="BR162" s="57" t="s">
        <v>1287</v>
      </c>
      <c r="BS162" s="57" t="s">
        <v>1287</v>
      </c>
      <c r="BT162" s="57" t="s">
        <v>1287</v>
      </c>
      <c r="BU162" s="57" t="s">
        <v>1287</v>
      </c>
      <c r="BV162" s="70">
        <f t="shared" si="730"/>
        <v>37</v>
      </c>
      <c r="BW162" s="71">
        <f t="shared" si="731"/>
        <v>71</v>
      </c>
      <c r="BX162" s="72">
        <f t="shared" si="732"/>
        <v>75</v>
      </c>
      <c r="BY162" s="71">
        <f t="shared" si="733"/>
        <v>105</v>
      </c>
      <c r="BZ162" s="72">
        <f t="shared" si="734"/>
        <v>109</v>
      </c>
      <c r="CA162" s="71">
        <f t="shared" si="735"/>
        <v>145</v>
      </c>
      <c r="CB162" s="72">
        <f t="shared" si="736"/>
        <v>153</v>
      </c>
      <c r="CC162" s="71">
        <f t="shared" si="737"/>
        <v>190</v>
      </c>
      <c r="CD162" s="72">
        <f t="shared" si="738"/>
        <v>195</v>
      </c>
      <c r="CE162" s="71">
        <f t="shared" si="739"/>
        <v>236</v>
      </c>
      <c r="CF162" s="72">
        <f t="shared" si="740"/>
        <v>278</v>
      </c>
      <c r="CG162" s="71">
        <f t="shared" si="741"/>
        <v>309</v>
      </c>
      <c r="CH162" s="70">
        <f t="shared" si="742"/>
        <v>70</v>
      </c>
      <c r="CI162" s="71">
        <f t="shared" si="743"/>
        <v>74</v>
      </c>
      <c r="CJ162" s="72">
        <f t="shared" si="744"/>
        <v>104</v>
      </c>
      <c r="CK162" s="72">
        <f t="shared" si="745"/>
        <v>108</v>
      </c>
      <c r="CL162" s="72">
        <f t="shared" si="746"/>
        <v>144</v>
      </c>
      <c r="CM162" s="72">
        <f t="shared" si="747"/>
        <v>152</v>
      </c>
      <c r="CN162" s="72">
        <f t="shared" si="748"/>
        <v>179</v>
      </c>
      <c r="CO162" s="72">
        <f t="shared" si="749"/>
        <v>192</v>
      </c>
      <c r="CP162" s="72">
        <f t="shared" si="750"/>
        <v>232</v>
      </c>
      <c r="CQ162" s="72">
        <f t="shared" si="751"/>
        <v>273</v>
      </c>
      <c r="CR162" s="72">
        <f t="shared" si="752"/>
        <v>308</v>
      </c>
      <c r="CS162" s="72">
        <f t="shared" si="753"/>
        <v>320</v>
      </c>
      <c r="CT162" s="23">
        <f t="shared" si="754"/>
        <v>1</v>
      </c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  <c r="WW162" s="6"/>
      <c r="WX162" s="6"/>
      <c r="WY162" s="6"/>
      <c r="WZ162" s="6"/>
      <c r="XA162" s="6"/>
      <c r="XB162" s="6"/>
      <c r="XC162" s="6"/>
      <c r="XD162" s="6"/>
      <c r="XE162" s="6"/>
      <c r="XF162" s="6"/>
      <c r="XG162" s="6"/>
      <c r="XH162" s="6"/>
      <c r="XI162" s="6"/>
      <c r="XJ162" s="6"/>
      <c r="XK162" s="6"/>
      <c r="XL162" s="6"/>
      <c r="XM162" s="6"/>
      <c r="XN162" s="6"/>
      <c r="XO162" s="6"/>
      <c r="XP162" s="6"/>
      <c r="XQ162" s="6"/>
      <c r="XR162" s="6"/>
      <c r="XS162" s="6"/>
      <c r="XT162" s="6"/>
      <c r="XU162" s="6"/>
      <c r="XV162" s="6"/>
      <c r="XW162" s="6"/>
      <c r="XX162" s="6"/>
      <c r="XY162" s="6"/>
      <c r="XZ162" s="6"/>
      <c r="YA162" s="6"/>
      <c r="YB162" s="6"/>
      <c r="YC162" s="6"/>
      <c r="YD162" s="6"/>
      <c r="YE162" s="6"/>
      <c r="YF162" s="6"/>
      <c r="YG162" s="6"/>
      <c r="YH162" s="6"/>
      <c r="YI162" s="6"/>
      <c r="YJ162" s="6"/>
      <c r="YK162" s="6"/>
      <c r="YL162" s="6"/>
      <c r="YM162" s="6"/>
      <c r="YN162" s="6"/>
      <c r="YO162" s="6"/>
      <c r="YP162" s="6"/>
      <c r="YQ162" s="6"/>
      <c r="YR162" s="6"/>
      <c r="YS162" s="6"/>
      <c r="YT162" s="6"/>
      <c r="YU162" s="6"/>
      <c r="YV162" s="6"/>
      <c r="YW162" s="6"/>
      <c r="YX162" s="6"/>
      <c r="YY162" s="6"/>
      <c r="YZ162" s="6"/>
      <c r="ZA162" s="6"/>
      <c r="ZB162" s="6"/>
      <c r="ZC162" s="6"/>
      <c r="ZD162" s="6"/>
      <c r="ZE162" s="6"/>
      <c r="ZF162" s="6"/>
      <c r="ZG162" s="6"/>
      <c r="ZH162" s="6"/>
      <c r="ZI162" s="6"/>
      <c r="ZJ162" s="6"/>
      <c r="ZK162" s="6"/>
      <c r="ZL162" s="6"/>
      <c r="ZM162" s="6"/>
      <c r="ZN162" s="6"/>
      <c r="ZO162" s="6"/>
      <c r="ZP162" s="6"/>
      <c r="ZQ162" s="6"/>
      <c r="ZR162" s="6"/>
      <c r="ZS162" s="6"/>
      <c r="ZT162" s="6"/>
      <c r="ZU162" s="6"/>
      <c r="ZV162" s="6"/>
      <c r="ZW162" s="6"/>
      <c r="ZX162" s="6"/>
      <c r="ZY162" s="6"/>
      <c r="ZZ162" s="6"/>
      <c r="AAA162" s="6"/>
      <c r="AAB162" s="6"/>
      <c r="AAC162" s="6"/>
      <c r="AAD162" s="6"/>
      <c r="AAE162" s="6"/>
      <c r="AAF162" s="6"/>
      <c r="AAG162" s="6"/>
      <c r="AAH162" s="6"/>
      <c r="AAI162" s="6"/>
      <c r="AAJ162" s="6"/>
      <c r="AAK162" s="6"/>
      <c r="AAL162" s="6"/>
      <c r="AAM162" s="6"/>
      <c r="AAN162" s="6"/>
      <c r="AAO162" s="6"/>
      <c r="AAP162" s="6"/>
      <c r="AAQ162" s="6"/>
      <c r="AAR162" s="6"/>
      <c r="AAS162" s="6"/>
      <c r="AAT162" s="6"/>
      <c r="AAU162" s="6"/>
      <c r="AAV162" s="6"/>
      <c r="AAW162" s="6"/>
      <c r="AAX162" s="6"/>
      <c r="AAY162" s="6"/>
      <c r="AAZ162" s="6"/>
      <c r="ABA162" s="6"/>
      <c r="ABB162" s="6"/>
      <c r="ABC162" s="6"/>
      <c r="ABD162" s="6"/>
      <c r="ABE162" s="6"/>
      <c r="ABF162" s="6"/>
      <c r="ABG162" s="6"/>
      <c r="ABH162" s="6"/>
      <c r="ABI162" s="6"/>
      <c r="ABJ162" s="6"/>
      <c r="ABK162" s="6"/>
      <c r="ABL162" s="6"/>
      <c r="ABM162" s="6"/>
      <c r="ABN162" s="6"/>
      <c r="ABO162" s="6"/>
      <c r="ABP162" s="6"/>
      <c r="ABQ162" s="6"/>
      <c r="ABR162" s="6"/>
      <c r="ABS162" s="6"/>
      <c r="ABT162" s="6"/>
      <c r="ABU162" s="6"/>
      <c r="ABV162" s="6"/>
      <c r="ABW162" s="6"/>
      <c r="ABX162" s="6"/>
      <c r="ABY162" s="6"/>
      <c r="ABZ162" s="6"/>
      <c r="ACA162" s="6"/>
      <c r="ACB162" s="6"/>
      <c r="ACC162" s="6"/>
      <c r="ACD162" s="6"/>
      <c r="ACE162" s="6"/>
      <c r="ACF162" s="6"/>
      <c r="ACG162" s="6"/>
      <c r="ACH162" s="6"/>
      <c r="ACI162" s="6"/>
      <c r="ACJ162" s="6"/>
      <c r="ACK162" s="6"/>
      <c r="ACL162" s="6"/>
      <c r="ACM162" s="6"/>
      <c r="ACN162" s="6"/>
      <c r="ACO162" s="6"/>
      <c r="ACP162" s="6"/>
      <c r="ACQ162" s="6"/>
      <c r="ACR162" s="6"/>
      <c r="ACS162" s="6"/>
      <c r="ACT162" s="6"/>
      <c r="ACU162" s="6"/>
      <c r="ACV162" s="6"/>
      <c r="ACW162" s="6"/>
      <c r="ACX162" s="6"/>
      <c r="ACY162" s="6"/>
      <c r="ACZ162" s="6"/>
      <c r="ADA162" s="6"/>
      <c r="ADB162" s="6"/>
      <c r="ADC162" s="6"/>
      <c r="ADD162" s="6"/>
      <c r="ADE162" s="6"/>
      <c r="ADF162" s="6"/>
      <c r="ADG162" s="6"/>
      <c r="ADH162" s="6"/>
      <c r="ADI162" s="6"/>
      <c r="ADJ162" s="6"/>
      <c r="ADK162" s="6"/>
      <c r="ADL162" s="6"/>
      <c r="ADM162" s="6"/>
      <c r="ADN162" s="6"/>
      <c r="ADO162" s="6"/>
      <c r="ADP162" s="6"/>
      <c r="ADQ162" s="6"/>
      <c r="ADR162" s="6"/>
      <c r="ADS162" s="6"/>
      <c r="ADT162" s="6"/>
      <c r="ADU162" s="6"/>
      <c r="ADV162" s="6"/>
      <c r="ADW162" s="6"/>
      <c r="ADX162" s="6"/>
      <c r="ADY162" s="6"/>
      <c r="ADZ162" s="6"/>
      <c r="AEA162" s="6"/>
      <c r="AEB162" s="6"/>
      <c r="AEC162" s="6"/>
      <c r="AED162" s="6"/>
      <c r="AEE162" s="6"/>
      <c r="AEF162" s="6"/>
      <c r="AEG162" s="6"/>
      <c r="AEH162" s="6"/>
      <c r="AEI162" s="6"/>
      <c r="AEJ162" s="6"/>
      <c r="AEK162" s="6"/>
      <c r="AEL162" s="6"/>
      <c r="AEM162" s="6"/>
      <c r="AEN162" s="6"/>
      <c r="AEO162" s="6"/>
      <c r="AEP162" s="6"/>
      <c r="AEQ162" s="6"/>
      <c r="AER162" s="6"/>
      <c r="AES162" s="6"/>
      <c r="AET162" s="6"/>
      <c r="AEU162" s="6"/>
      <c r="AEV162" s="6"/>
      <c r="AEW162" s="6"/>
      <c r="AEX162" s="6"/>
      <c r="AEY162" s="6"/>
      <c r="AEZ162" s="6"/>
      <c r="AFA162" s="6"/>
      <c r="AFB162" s="6"/>
      <c r="AFC162" s="6"/>
      <c r="AFD162" s="6"/>
      <c r="AFE162" s="6"/>
      <c r="AFF162" s="6"/>
      <c r="AFG162" s="6"/>
      <c r="AFH162" s="6"/>
      <c r="AFI162" s="6"/>
      <c r="AFJ162" s="6"/>
      <c r="AFK162" s="6"/>
      <c r="AFL162" s="6"/>
      <c r="AFM162" s="6"/>
      <c r="AFN162" s="6"/>
      <c r="AFO162" s="6"/>
      <c r="AFP162" s="6"/>
      <c r="AFQ162" s="6"/>
      <c r="AFR162" s="6"/>
      <c r="AFS162" s="6"/>
      <c r="AFT162" s="6"/>
      <c r="AFU162" s="6"/>
      <c r="AFV162" s="6"/>
      <c r="AFW162" s="6"/>
      <c r="AFX162" s="6"/>
      <c r="AFY162" s="6"/>
      <c r="AFZ162" s="6"/>
      <c r="AGA162" s="6"/>
      <c r="AGB162" s="6"/>
      <c r="AGC162" s="6"/>
      <c r="AGD162" s="6"/>
      <c r="AGE162" s="6"/>
      <c r="AGF162" s="6"/>
      <c r="AGG162" s="6"/>
      <c r="AGH162" s="6"/>
      <c r="AGI162" s="6"/>
      <c r="AGJ162" s="6"/>
      <c r="AGK162" s="6"/>
      <c r="AGL162" s="6"/>
      <c r="AGM162" s="6"/>
      <c r="AGN162" s="6"/>
      <c r="AGO162" s="6"/>
      <c r="AGP162" s="6"/>
      <c r="AGQ162" s="6"/>
      <c r="AGR162" s="6"/>
      <c r="AGS162" s="6"/>
      <c r="AGT162" s="6"/>
      <c r="AGU162" s="6"/>
      <c r="AGV162" s="6"/>
      <c r="AGW162" s="6"/>
      <c r="AGX162" s="6"/>
      <c r="AGY162" s="6"/>
      <c r="AGZ162" s="6"/>
      <c r="AHA162" s="6"/>
      <c r="AHB162" s="6"/>
      <c r="AHC162" s="6"/>
      <c r="AHD162" s="6"/>
      <c r="AHE162" s="6"/>
      <c r="AHF162" s="6"/>
      <c r="AHG162" s="6"/>
      <c r="AHH162" s="6"/>
      <c r="AHI162" s="6"/>
      <c r="AHJ162" s="6"/>
      <c r="AHK162" s="6"/>
      <c r="AHL162" s="6"/>
      <c r="AHM162" s="6"/>
      <c r="AHN162" s="6"/>
      <c r="AHO162" s="6"/>
      <c r="AHP162" s="6"/>
      <c r="AHQ162" s="6"/>
      <c r="AHR162" s="6"/>
      <c r="AHS162" s="6"/>
      <c r="AHT162" s="6"/>
      <c r="AHU162" s="6"/>
      <c r="AHV162" s="6"/>
      <c r="AHW162" s="6"/>
      <c r="AHX162" s="6"/>
      <c r="AHY162" s="6"/>
      <c r="AHZ162" s="6"/>
      <c r="AIA162" s="6"/>
      <c r="AIB162" s="6"/>
      <c r="AIC162" s="6"/>
      <c r="AID162" s="6"/>
      <c r="AIE162" s="6"/>
      <c r="AIF162" s="6"/>
      <c r="AIG162" s="6"/>
      <c r="AIH162" s="6"/>
      <c r="AII162" s="6"/>
      <c r="AIJ162" s="6"/>
      <c r="AIK162" s="6"/>
      <c r="AIL162" s="6"/>
      <c r="AIM162" s="6"/>
      <c r="AIN162" s="6"/>
      <c r="AIO162" s="6"/>
      <c r="AIP162" s="6"/>
      <c r="AIQ162" s="6"/>
      <c r="AIR162" s="6"/>
      <c r="AIS162" s="6"/>
      <c r="AIT162" s="6"/>
      <c r="AIU162" s="6"/>
      <c r="AIV162" s="6"/>
      <c r="AIW162" s="6"/>
      <c r="AIX162" s="6"/>
      <c r="AIY162" s="6"/>
      <c r="AIZ162" s="6"/>
      <c r="AJA162" s="6"/>
      <c r="AJB162" s="6"/>
      <c r="AJC162" s="6"/>
      <c r="AJD162" s="6"/>
      <c r="AJE162" s="6"/>
      <c r="AJF162" s="6"/>
      <c r="AJG162" s="6"/>
      <c r="AJH162" s="6"/>
      <c r="AJI162" s="6"/>
      <c r="AJJ162" s="6"/>
      <c r="AJK162" s="6"/>
      <c r="AJL162" s="6"/>
      <c r="AJM162" s="6"/>
      <c r="AJN162" s="6"/>
      <c r="AJO162" s="6"/>
      <c r="AJP162" s="6"/>
      <c r="AJQ162" s="6"/>
      <c r="AJR162" s="6"/>
      <c r="AJS162" s="6"/>
      <c r="AJT162" s="6"/>
      <c r="AJU162" s="6"/>
      <c r="AJV162" s="6"/>
      <c r="AJW162" s="6"/>
      <c r="AJX162" s="6"/>
      <c r="AJY162" s="6"/>
      <c r="AJZ162" s="6"/>
      <c r="AKA162" s="6"/>
      <c r="AKB162" s="6"/>
      <c r="AKC162" s="6"/>
      <c r="AKD162" s="6"/>
      <c r="AKE162" s="6"/>
      <c r="AKF162" s="6"/>
      <c r="AKG162" s="6"/>
      <c r="AKH162" s="6"/>
      <c r="AKI162" s="6"/>
      <c r="AKJ162" s="6"/>
      <c r="AKK162" s="6"/>
      <c r="AKL162" s="6"/>
      <c r="AKM162" s="6"/>
      <c r="AKN162" s="6"/>
      <c r="AKO162" s="6"/>
      <c r="AKP162" s="6"/>
      <c r="AKQ162" s="6"/>
      <c r="AKR162" s="6"/>
      <c r="AKS162" s="6"/>
      <c r="AKT162" s="6"/>
      <c r="AKU162" s="6"/>
      <c r="AKV162" s="6"/>
      <c r="AKW162" s="6"/>
      <c r="AKX162" s="6"/>
      <c r="AKY162" s="6"/>
      <c r="AKZ162" s="6"/>
      <c r="ALA162" s="6"/>
      <c r="ALB162" s="6"/>
      <c r="ALC162" s="6"/>
      <c r="ALD162" s="6"/>
      <c r="ALE162" s="6"/>
      <c r="ALF162" s="6"/>
      <c r="ALG162" s="6"/>
      <c r="ALH162" s="6"/>
      <c r="ALI162" s="6"/>
      <c r="ALJ162" s="6"/>
      <c r="ALK162" s="6"/>
      <c r="ALL162" s="6"/>
      <c r="ALM162" s="6"/>
      <c r="ALN162" s="6"/>
      <c r="ALO162" s="6"/>
      <c r="ALP162" s="6"/>
      <c r="ALQ162" s="6"/>
      <c r="ALR162" s="6"/>
      <c r="ALS162" s="6"/>
      <c r="ALT162" s="6"/>
      <c r="ALU162" s="6"/>
      <c r="ALV162" s="6"/>
      <c r="ALW162" s="6"/>
      <c r="ALX162" s="6"/>
      <c r="ALY162" s="6"/>
      <c r="ALZ162" s="6"/>
      <c r="AMA162" s="6"/>
      <c r="AMB162" s="6"/>
      <c r="AMC162" s="6"/>
      <c r="AMD162" s="6"/>
      <c r="AME162" s="6"/>
      <c r="AMF162" s="6"/>
      <c r="AMG162" s="6"/>
      <c r="AMH162" s="6"/>
      <c r="AMI162" s="6"/>
      <c r="AMJ162" s="6"/>
      <c r="AMK162" s="6"/>
      <c r="AML162" s="6"/>
      <c r="AMM162" s="6"/>
      <c r="AMN162" s="6"/>
      <c r="AMO162" s="6"/>
      <c r="AMP162" s="6"/>
    </row>
    <row r="163" spans="1:1030" x14ac:dyDescent="0.2">
      <c r="A163" s="3" t="str">
        <f t="shared" si="951"/>
        <v>ccr2_human_5T1A</v>
      </c>
      <c r="B163" s="3" t="s">
        <v>170</v>
      </c>
      <c r="C163" s="3" t="s">
        <v>1378</v>
      </c>
      <c r="D163" s="3" t="str">
        <f>IFERROR(MID(VLOOKUP($B163,Seqs!$A:$B,2,0),E163,1),"")</f>
        <v>V</v>
      </c>
      <c r="E163" s="3">
        <v>37</v>
      </c>
      <c r="F163" s="3" t="str">
        <f>IFERROR(MID(VLOOKUP($B163,Seqs!$A:$B,2,0),G163,1),"")</f>
        <v>C</v>
      </c>
      <c r="G163" s="3">
        <v>70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C</v>
      </c>
      <c r="M163" s="3">
        <v>75</v>
      </c>
      <c r="N163" s="3" t="str">
        <f>IFERROR(MID(VLOOKUP($B163,Seqs!$A:$B,2,0),O163,1),"")</f>
        <v>N</v>
      </c>
      <c r="O163" s="3">
        <v>104</v>
      </c>
      <c r="P163" s="3" t="str">
        <f>IFERROR(MID(VLOOKUP($B163,Seqs!$A:$B,2,0),Q163,1),"")</f>
        <v>E</v>
      </c>
      <c r="Q163" s="3">
        <v>105</v>
      </c>
      <c r="R163" s="3" t="str">
        <f>IFERROR(MID(VLOOKUP($B163,Seqs!$A:$B,2,0),S163,1),"")</f>
        <v>F</v>
      </c>
      <c r="S163" s="3">
        <v>108</v>
      </c>
      <c r="T163" s="3" t="str">
        <f>IFERROR(MID(VLOOKUP($B163,Seqs!$A:$B,2,0),U163,1),"")</f>
        <v>G</v>
      </c>
      <c r="U163" s="3">
        <v>109</v>
      </c>
      <c r="V163" s="3" t="str">
        <f>IFERROR(MID(VLOOKUP($B163,Seqs!$A:$B,2,0),W163,1),"")</f>
        <v>H</v>
      </c>
      <c r="W163" s="3">
        <v>144</v>
      </c>
      <c r="X163" s="3" t="str">
        <f>IFERROR(MID(VLOOKUP($B163,Seqs!$A:$B,2,0),Y163,1),"")</f>
        <v>A</v>
      </c>
      <c r="Y163" s="3">
        <v>145</v>
      </c>
      <c r="Z163" s="3" t="str">
        <f>IFERROR(MID(VLOOKUP($B163,Seqs!$A:$B,2,0),AA163,1),"")</f>
        <v>R</v>
      </c>
      <c r="AA163" s="3">
        <v>152</v>
      </c>
      <c r="AB163" s="3" t="str">
        <f>IFERROR(MID(VLOOKUP($B163,Seqs!$A:$B,2,0),AC163,1),"")</f>
        <v>T</v>
      </c>
      <c r="AC163" s="9">
        <v>153</v>
      </c>
      <c r="AD163" s="3" t="str">
        <f>IFERROR(MID(VLOOKUP($B163,Seqs!$A:$B,2,0),AE163,1),"")</f>
        <v>T</v>
      </c>
      <c r="AE163" s="3">
        <v>179</v>
      </c>
      <c r="AF163" s="3" t="str">
        <f>IFERROR(MID(VLOOKUP($B163,Seqs!$A:$B,2,0),AG163,1),"")</f>
        <v>C</v>
      </c>
      <c r="AG163" s="3">
        <v>190</v>
      </c>
      <c r="AH163" s="3" t="str">
        <f>IFERROR(MID(VLOOKUP($B163,Seqs!$A:$B,2,0),AI163,1),"")</f>
        <v>P</v>
      </c>
      <c r="AI163" s="3">
        <v>192</v>
      </c>
      <c r="AJ163" s="3" t="str">
        <f>IFERROR(MID(VLOOKUP($B163,Seqs!$A:$B,2,0),AK163,1),"")</f>
        <v>P</v>
      </c>
      <c r="AK163" s="3">
        <v>195</v>
      </c>
      <c r="AL163" s="3" t="str">
        <f>IFERROR(MID(VLOOKUP($B163,Seqs!$A:$B,2,0),AM163,1),"")</f>
        <v>T</v>
      </c>
      <c r="AM163" s="3">
        <v>228</v>
      </c>
      <c r="AN163" s="3" t="str">
        <f>IFERROR(MID(VLOOKUP($B163,Seqs!$A:$B,2,0),AO163,1),"")</f>
        <v>K</v>
      </c>
      <c r="AO163" s="3">
        <v>236</v>
      </c>
      <c r="AP163" s="3" t="str">
        <f>IFERROR(MID(VLOOKUP($B163,Seqs!$A:$B,2,0),AQ163,1),"")</f>
        <v>G</v>
      </c>
      <c r="AQ163" s="3">
        <v>273</v>
      </c>
      <c r="AR163" s="3" t="str">
        <f>IFERROR(MID(VLOOKUP($B163,Seqs!$A:$B,2,0),AS163,1),"")</f>
        <v>E</v>
      </c>
      <c r="AS163" s="3">
        <v>278</v>
      </c>
      <c r="AT163" s="3" t="str">
        <f>IFERROR(MID(VLOOKUP($B163,Seqs!$A:$B,2,0),AU163,1),"")</f>
        <v>V</v>
      </c>
      <c r="AU163" s="3">
        <v>308</v>
      </c>
      <c r="AV163" s="3" t="str">
        <f>IFERROR(MID(VLOOKUP($B163,Seqs!$A:$B,2,0),AW163,1),"")</f>
        <v>G</v>
      </c>
      <c r="AW163" s="3">
        <v>309</v>
      </c>
      <c r="AX163" s="3" t="str">
        <f>IFERROR(MID(VLOOKUP($B163,Seqs!$A:$B,2,0),AY163,1),"")</f>
        <v>L</v>
      </c>
      <c r="AY163" s="3">
        <v>320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952"/>
        <v>1</v>
      </c>
      <c r="BC163" s="23">
        <f t="shared" si="729"/>
        <v>258</v>
      </c>
      <c r="BD163" s="16" t="s">
        <v>1376</v>
      </c>
      <c r="BE163" s="3" t="s">
        <v>1374</v>
      </c>
      <c r="BF163" s="118">
        <v>2.81</v>
      </c>
      <c r="BG163" s="49" t="s">
        <v>1</v>
      </c>
      <c r="BH163" s="49" t="s">
        <v>1377</v>
      </c>
      <c r="BI163" s="1"/>
      <c r="BJ163" s="70" t="s">
        <v>1287</v>
      </c>
      <c r="BK163" s="57" t="s">
        <v>1287</v>
      </c>
      <c r="BL163" s="57" t="s">
        <v>1287</v>
      </c>
      <c r="BM163" s="57" t="s">
        <v>1287</v>
      </c>
      <c r="BN163" s="57" t="s">
        <v>1287</v>
      </c>
      <c r="BO163" s="57" t="s">
        <v>1287</v>
      </c>
      <c r="BP163" s="57" t="s">
        <v>1287</v>
      </c>
      <c r="BQ163" s="57" t="s">
        <v>1287</v>
      </c>
      <c r="BR163" s="57" t="s">
        <v>1287</v>
      </c>
      <c r="BS163" s="57" t="s">
        <v>1287</v>
      </c>
      <c r="BT163" s="57" t="s">
        <v>1287</v>
      </c>
      <c r="BU163" s="57" t="s">
        <v>1287</v>
      </c>
      <c r="BV163" s="70">
        <f t="shared" si="730"/>
        <v>37</v>
      </c>
      <c r="BW163" s="71" t="str">
        <f t="shared" si="731"/>
        <v>-</v>
      </c>
      <c r="BX163" s="72">
        <f t="shared" si="732"/>
        <v>75</v>
      </c>
      <c r="BY163" s="71">
        <f t="shared" si="733"/>
        <v>105</v>
      </c>
      <c r="BZ163" s="72">
        <f t="shared" si="734"/>
        <v>109</v>
      </c>
      <c r="CA163" s="71">
        <f t="shared" si="735"/>
        <v>145</v>
      </c>
      <c r="CB163" s="72">
        <f t="shared" si="736"/>
        <v>153</v>
      </c>
      <c r="CC163" s="71">
        <f t="shared" si="737"/>
        <v>190</v>
      </c>
      <c r="CD163" s="72">
        <f t="shared" si="738"/>
        <v>195</v>
      </c>
      <c r="CE163" s="71">
        <f t="shared" si="739"/>
        <v>236</v>
      </c>
      <c r="CF163" s="72">
        <f t="shared" si="740"/>
        <v>278</v>
      </c>
      <c r="CG163" s="71">
        <f t="shared" si="741"/>
        <v>309</v>
      </c>
      <c r="CH163" s="70">
        <f t="shared" si="742"/>
        <v>70</v>
      </c>
      <c r="CI163" s="71" t="str">
        <f t="shared" si="743"/>
        <v>-</v>
      </c>
      <c r="CJ163" s="72">
        <f t="shared" si="744"/>
        <v>104</v>
      </c>
      <c r="CK163" s="72">
        <f t="shared" si="745"/>
        <v>108</v>
      </c>
      <c r="CL163" s="72">
        <f t="shared" si="746"/>
        <v>144</v>
      </c>
      <c r="CM163" s="72">
        <f t="shared" si="747"/>
        <v>152</v>
      </c>
      <c r="CN163" s="72">
        <f t="shared" si="748"/>
        <v>179</v>
      </c>
      <c r="CO163" s="72">
        <f t="shared" si="749"/>
        <v>192</v>
      </c>
      <c r="CP163" s="72">
        <f t="shared" si="750"/>
        <v>228</v>
      </c>
      <c r="CQ163" s="72">
        <f t="shared" si="751"/>
        <v>273</v>
      </c>
      <c r="CR163" s="72">
        <f t="shared" si="752"/>
        <v>308</v>
      </c>
      <c r="CS163" s="72">
        <f t="shared" si="753"/>
        <v>320</v>
      </c>
      <c r="CT163" s="23" t="e">
        <f t="shared" si="754"/>
        <v>#VALUE!</v>
      </c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6"/>
      <c r="ACQ163" s="6"/>
      <c r="ACR163" s="6"/>
      <c r="ACS163" s="6"/>
      <c r="ACT163" s="6"/>
      <c r="ACU163" s="6"/>
      <c r="ACV163" s="6"/>
      <c r="ACW163" s="6"/>
      <c r="ACX163" s="6"/>
      <c r="ACY163" s="6"/>
      <c r="ACZ163" s="6"/>
      <c r="ADA163" s="6"/>
      <c r="ADB163" s="6"/>
      <c r="ADC163" s="6"/>
      <c r="ADD163" s="6"/>
      <c r="ADE163" s="6"/>
      <c r="ADF163" s="6"/>
      <c r="ADG163" s="6"/>
      <c r="ADH163" s="6"/>
      <c r="ADI163" s="6"/>
      <c r="ADJ163" s="6"/>
      <c r="ADK163" s="6"/>
      <c r="ADL163" s="6"/>
      <c r="ADM163" s="6"/>
      <c r="ADN163" s="6"/>
      <c r="ADO163" s="6"/>
      <c r="ADP163" s="6"/>
      <c r="ADQ163" s="6"/>
      <c r="ADR163" s="6"/>
      <c r="ADS163" s="6"/>
      <c r="ADT163" s="6"/>
      <c r="ADU163" s="6"/>
      <c r="ADV163" s="6"/>
      <c r="ADW163" s="6"/>
      <c r="ADX163" s="6"/>
      <c r="ADY163" s="6"/>
      <c r="ADZ163" s="6"/>
      <c r="AEA163" s="6"/>
      <c r="AEB163" s="6"/>
      <c r="AEC163" s="6"/>
      <c r="AED163" s="6"/>
      <c r="AEE163" s="6"/>
      <c r="AEF163" s="6"/>
      <c r="AEG163" s="6"/>
      <c r="AEH163" s="6"/>
      <c r="AEI163" s="6"/>
      <c r="AEJ163" s="6"/>
      <c r="AEK163" s="6"/>
      <c r="AEL163" s="6"/>
      <c r="AEM163" s="6"/>
      <c r="AEN163" s="6"/>
      <c r="AEO163" s="6"/>
      <c r="AEP163" s="6"/>
      <c r="AEQ163" s="6"/>
      <c r="AER163" s="6"/>
      <c r="AES163" s="6"/>
      <c r="AET163" s="6"/>
      <c r="AEU163" s="6"/>
      <c r="AEV163" s="6"/>
      <c r="AEW163" s="6"/>
      <c r="AEX163" s="6"/>
      <c r="AEY163" s="6"/>
      <c r="AEZ163" s="6"/>
      <c r="AFA163" s="6"/>
      <c r="AFB163" s="6"/>
      <c r="AFC163" s="6"/>
      <c r="AFD163" s="6"/>
      <c r="AFE163" s="6"/>
      <c r="AFF163" s="6"/>
      <c r="AFG163" s="6"/>
      <c r="AFH163" s="6"/>
      <c r="AFI163" s="6"/>
      <c r="AFJ163" s="6"/>
      <c r="AFK163" s="6"/>
      <c r="AFL163" s="6"/>
      <c r="AFM163" s="6"/>
      <c r="AFN163" s="6"/>
      <c r="AFO163" s="6"/>
      <c r="AFP163" s="6"/>
      <c r="AFQ163" s="6"/>
      <c r="AFR163" s="6"/>
      <c r="AFS163" s="6"/>
      <c r="AFT163" s="6"/>
      <c r="AFU163" s="6"/>
      <c r="AFV163" s="6"/>
      <c r="AFW163" s="6"/>
      <c r="AFX163" s="6"/>
      <c r="AFY163" s="6"/>
      <c r="AFZ163" s="6"/>
      <c r="AGA163" s="6"/>
      <c r="AGB163" s="6"/>
      <c r="AGC163" s="6"/>
      <c r="AGD163" s="6"/>
      <c r="AGE163" s="6"/>
      <c r="AGF163" s="6"/>
      <c r="AGG163" s="6"/>
      <c r="AGH163" s="6"/>
      <c r="AGI163" s="6"/>
      <c r="AGJ163" s="6"/>
      <c r="AGK163" s="6"/>
      <c r="AGL163" s="6"/>
      <c r="AGM163" s="6"/>
      <c r="AGN163" s="6"/>
      <c r="AGO163" s="6"/>
      <c r="AGP163" s="6"/>
      <c r="AGQ163" s="6"/>
      <c r="AGR163" s="6"/>
      <c r="AGS163" s="6"/>
      <c r="AGT163" s="6"/>
      <c r="AGU163" s="6"/>
      <c r="AGV163" s="6"/>
      <c r="AGW163" s="6"/>
      <c r="AGX163" s="6"/>
      <c r="AGY163" s="6"/>
      <c r="AGZ163" s="6"/>
      <c r="AHA163" s="6"/>
      <c r="AHB163" s="6"/>
      <c r="AHC163" s="6"/>
      <c r="AHD163" s="6"/>
      <c r="AHE163" s="6"/>
      <c r="AHF163" s="6"/>
      <c r="AHG163" s="6"/>
      <c r="AHH163" s="6"/>
      <c r="AHI163" s="6"/>
      <c r="AHJ163" s="6"/>
      <c r="AHK163" s="6"/>
      <c r="AHL163" s="6"/>
      <c r="AHM163" s="6"/>
      <c r="AHN163" s="6"/>
      <c r="AHO163" s="6"/>
      <c r="AHP163" s="6"/>
      <c r="AHQ163" s="6"/>
      <c r="AHR163" s="6"/>
      <c r="AHS163" s="6"/>
      <c r="AHT163" s="6"/>
      <c r="AHU163" s="6"/>
      <c r="AHV163" s="6"/>
      <c r="AHW163" s="6"/>
      <c r="AHX163" s="6"/>
      <c r="AHY163" s="6"/>
      <c r="AHZ163" s="6"/>
      <c r="AIA163" s="6"/>
      <c r="AIB163" s="6"/>
      <c r="AIC163" s="6"/>
      <c r="AID163" s="6"/>
      <c r="AIE163" s="6"/>
      <c r="AIF163" s="6"/>
      <c r="AIG163" s="6"/>
      <c r="AIH163" s="6"/>
      <c r="AII163" s="6"/>
      <c r="AIJ163" s="6"/>
      <c r="AIK163" s="6"/>
      <c r="AIL163" s="6"/>
      <c r="AIM163" s="6"/>
      <c r="AIN163" s="6"/>
      <c r="AIO163" s="6"/>
      <c r="AIP163" s="6"/>
      <c r="AIQ163" s="6"/>
      <c r="AIR163" s="6"/>
      <c r="AIS163" s="6"/>
      <c r="AIT163" s="6"/>
      <c r="AIU163" s="6"/>
      <c r="AIV163" s="6"/>
      <c r="AIW163" s="6"/>
      <c r="AIX163" s="6"/>
      <c r="AIY163" s="6"/>
      <c r="AIZ163" s="6"/>
      <c r="AJA163" s="6"/>
      <c r="AJB163" s="6"/>
      <c r="AJC163" s="6"/>
      <c r="AJD163" s="6"/>
      <c r="AJE163" s="6"/>
      <c r="AJF163" s="6"/>
      <c r="AJG163" s="6"/>
      <c r="AJH163" s="6"/>
      <c r="AJI163" s="6"/>
      <c r="AJJ163" s="6"/>
      <c r="AJK163" s="6"/>
      <c r="AJL163" s="6"/>
      <c r="AJM163" s="6"/>
      <c r="AJN163" s="6"/>
      <c r="AJO163" s="6"/>
      <c r="AJP163" s="6"/>
      <c r="AJQ163" s="6"/>
      <c r="AJR163" s="6"/>
      <c r="AJS163" s="6"/>
      <c r="AJT163" s="6"/>
      <c r="AJU163" s="6"/>
      <c r="AJV163" s="6"/>
      <c r="AJW163" s="6"/>
      <c r="AJX163" s="6"/>
      <c r="AJY163" s="6"/>
      <c r="AJZ163" s="6"/>
      <c r="AKA163" s="6"/>
      <c r="AKB163" s="6"/>
      <c r="AKC163" s="6"/>
      <c r="AKD163" s="6"/>
      <c r="AKE163" s="6"/>
      <c r="AKF163" s="6"/>
      <c r="AKG163" s="6"/>
      <c r="AKH163" s="6"/>
      <c r="AKI163" s="6"/>
      <c r="AKJ163" s="6"/>
      <c r="AKK163" s="6"/>
      <c r="AKL163" s="6"/>
      <c r="AKM163" s="6"/>
      <c r="AKN163" s="6"/>
      <c r="AKO163" s="6"/>
      <c r="AKP163" s="6"/>
      <c r="AKQ163" s="6"/>
      <c r="AKR163" s="6"/>
      <c r="AKS163" s="6"/>
      <c r="AKT163" s="6"/>
      <c r="AKU163" s="6"/>
      <c r="AKV163" s="6"/>
      <c r="AKW163" s="6"/>
      <c r="AKX163" s="6"/>
      <c r="AKY163" s="6"/>
      <c r="AKZ163" s="6"/>
      <c r="ALA163" s="6"/>
      <c r="ALB163" s="6"/>
      <c r="ALC163" s="6"/>
      <c r="ALD163" s="6"/>
      <c r="ALE163" s="6"/>
      <c r="ALF163" s="6"/>
      <c r="ALG163" s="6"/>
      <c r="ALH163" s="6"/>
      <c r="ALI163" s="6"/>
      <c r="ALJ163" s="6"/>
      <c r="ALK163" s="6"/>
      <c r="ALL163" s="6"/>
      <c r="ALM163" s="6"/>
      <c r="ALN163" s="6"/>
      <c r="ALO163" s="6"/>
      <c r="ALP163" s="6"/>
      <c r="ALQ163" s="6"/>
      <c r="ALR163" s="6"/>
      <c r="ALS163" s="6"/>
      <c r="ALT163" s="6"/>
      <c r="ALU163" s="6"/>
      <c r="ALV163" s="6"/>
      <c r="ALW163" s="6"/>
      <c r="ALX163" s="6"/>
      <c r="ALY163" s="6"/>
      <c r="ALZ163" s="6"/>
      <c r="AMA163" s="6"/>
      <c r="AMB163" s="6"/>
      <c r="AMC163" s="6"/>
      <c r="AMD163" s="6"/>
      <c r="AME163" s="6"/>
      <c r="AMF163" s="6"/>
      <c r="AMG163" s="6"/>
      <c r="AMH163" s="6"/>
      <c r="AMI163" s="6"/>
      <c r="AMJ163" s="6"/>
      <c r="AMK163" s="6"/>
      <c r="AML163" s="6"/>
      <c r="AMM163" s="6"/>
      <c r="AMN163" s="6"/>
      <c r="AMO163" s="6"/>
      <c r="AMP163" s="6"/>
    </row>
    <row r="164" spans="1:1030" x14ac:dyDescent="0.2">
      <c r="A164" s="3" t="str">
        <f t="shared" ref="A164" si="1093">CONCATENATE(B164,"_",C164)</f>
        <v>ccr2_human_6GPS</v>
      </c>
      <c r="B164" s="3" t="s">
        <v>170</v>
      </c>
      <c r="C164" s="3" t="s">
        <v>1546</v>
      </c>
      <c r="D164" s="3" t="str">
        <f>IFERROR(MID(VLOOKUP($B164,Seqs!$A:$B,2,0),E164,1),"")</f>
        <v>V</v>
      </c>
      <c r="E164" s="3">
        <v>37</v>
      </c>
      <c r="F164" s="3" t="str">
        <f>IFERROR(MID(VLOOKUP($B164,Seqs!$A:$B,2,0),G164,1),"")</f>
        <v>K</v>
      </c>
      <c r="G164" s="3">
        <v>71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L</v>
      </c>
      <c r="M164" s="3">
        <v>76</v>
      </c>
      <c r="N164" s="3" t="str">
        <f>IFERROR(MID(VLOOKUP($B164,Seqs!$A:$B,2,0),O164,1),"")</f>
        <v>A</v>
      </c>
      <c r="O164" s="3">
        <v>102</v>
      </c>
      <c r="P164" s="3" t="str">
        <f>IFERROR(MID(VLOOKUP($B164,Seqs!$A:$B,2,0),Q164,1),"")</f>
        <v>E</v>
      </c>
      <c r="Q164" s="3">
        <v>105</v>
      </c>
      <c r="R164" s="3" t="str">
        <f>IFERROR(MID(VLOOKUP($B164,Seqs!$A:$B,2,0),S164,1),"")</f>
        <v>F</v>
      </c>
      <c r="S164" s="3">
        <v>108</v>
      </c>
      <c r="T164" s="3" t="str">
        <f>IFERROR(MID(VLOOKUP($B164,Seqs!$A:$B,2,0),U164,1),"")</f>
        <v>G</v>
      </c>
      <c r="U164" s="3">
        <v>109</v>
      </c>
      <c r="V164" s="3" t="str">
        <f>IFERROR(MID(VLOOKUP($B164,Seqs!$A:$B,2,0),W164,1),"")</f>
        <v>H</v>
      </c>
      <c r="W164" s="3">
        <v>144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R</v>
      </c>
      <c r="AC164" s="3">
        <v>152</v>
      </c>
      <c r="AD164" s="3" t="str">
        <f>IFERROR(MID(VLOOKUP($B164,Seqs!$A:$B,2,0),AE164,1),"")</f>
        <v>T</v>
      </c>
      <c r="AE164" s="3">
        <v>179</v>
      </c>
      <c r="AF164" s="3" t="str">
        <f>IFERROR(MID(VLOOKUP($B164,Seqs!$A:$B,2,0),AG164,1),"")</f>
        <v>C</v>
      </c>
      <c r="AG164" s="3">
        <v>190</v>
      </c>
      <c r="AH164" s="3" t="str">
        <f>IFERROR(MID(VLOOKUP($B164,Seqs!$A:$B,2,0),AI164,1),"")</f>
        <v>P</v>
      </c>
      <c r="AI164" s="3">
        <v>192</v>
      </c>
      <c r="AJ164" s="3" t="str">
        <f>IFERROR(MID(VLOOKUP($B164,Seqs!$A:$B,2,0),AK164,1),"")</f>
        <v>P</v>
      </c>
      <c r="AK164" s="3">
        <v>195</v>
      </c>
      <c r="AL164" s="3" t="str">
        <f>IFERROR(MID(VLOOKUP($B164,Seqs!$A:$B,2,0),AM164,1),"")</f>
        <v>R</v>
      </c>
      <c r="AM164" s="3">
        <v>231</v>
      </c>
      <c r="AN164" s="3" t="str">
        <f>IFERROR(MID(VLOOKUP($B164,Seqs!$A:$B,2,0),AO164,1),"")</f>
        <v>A</v>
      </c>
      <c r="AO164" s="3">
        <v>241</v>
      </c>
      <c r="AP164" s="3" t="str">
        <f>IFERROR(MID(VLOOKUP($B164,Seqs!$A:$B,2,0),AQ164,1),"")</f>
        <v>F</v>
      </c>
      <c r="AQ164" s="3">
        <v>268</v>
      </c>
      <c r="AR164" s="3" t="str">
        <f>IFERROR(MID(VLOOKUP($B164,Seqs!$A:$B,2,0),AS164,1),"")</f>
        <v>S</v>
      </c>
      <c r="AS164" s="3">
        <v>279</v>
      </c>
      <c r="AT164" s="3" t="str">
        <f>IFERROR(MID(VLOOKUP($B164,Seqs!$A:$B,2,0),AU164,1),"")</f>
        <v>G</v>
      </c>
      <c r="AU164" s="3">
        <v>309</v>
      </c>
      <c r="AV164" s="3" t="str">
        <f>IFERROR(MID(VLOOKUP($B164,Seqs!$A:$B,2,0),AW164,1),"")</f>
        <v>E</v>
      </c>
      <c r="AW164" s="3">
        <v>310</v>
      </c>
      <c r="AX164" s="3" t="str">
        <f>IFERROR(MID(VLOOKUP($B164,Seqs!$A:$B,2,0),AY164,1),"")</f>
        <v>G</v>
      </c>
      <c r="AY164" s="3">
        <v>321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 t="shared" ref="BB164" si="1094">AND(E164&lt;G164,OR(G164&lt;I164,I164="-"),OR(I164&lt;K164,I164="-"),OR(K164&lt;M164,K164="-"),M164&lt;O164,OR(O164&lt;Q164,Q164="-"),OR(Q164&lt;S164,Q164="-"),OR(S164&lt;U164,S164="-"),U164&lt;W164,OR(W164&lt;Y164,Y164="-"),OR(Y164&lt;AA164,Y164="-"),OR(AA164&lt;AC164,AA164="-"),AC164&lt;AE164,OR(AE164&lt;AG164,AG164="-"),OR(AG164&lt;AI164,AG164="-"),OR(AI164&lt;AK164,AI164="-"),AK164&lt;AM164,AM164&lt;AO164,AO164&lt;AQ164,AQ164&lt;AS164,AS164&lt;AU164,OR(AU164&lt;AW164,AW164="-"),OR(AW164&lt;AY164,AW164="-"))</f>
        <v>1</v>
      </c>
      <c r="BC164" s="23">
        <f t="shared" ref="BC164" si="1095">_xlfn.AGGREGATE(9,6,CH164:CS164)-_xlfn.AGGREGATE(9,6,BV164:CG164)+12</f>
        <v>243</v>
      </c>
      <c r="BD164" s="16" t="s">
        <v>23</v>
      </c>
      <c r="BE164" s="3" t="s">
        <v>1374</v>
      </c>
      <c r="BF164" s="118">
        <v>3.3</v>
      </c>
      <c r="BG164" s="49" t="s">
        <v>1</v>
      </c>
      <c r="BH164" s="49" t="s">
        <v>1</v>
      </c>
      <c r="BI164" s="1"/>
      <c r="BJ164" s="70" t="s">
        <v>1287</v>
      </c>
      <c r="BK164" s="57" t="s">
        <v>1287</v>
      </c>
      <c r="BL164" s="57" t="s">
        <v>1287</v>
      </c>
      <c r="BM164" s="57" t="s">
        <v>1287</v>
      </c>
      <c r="BN164" s="57" t="s">
        <v>1287</v>
      </c>
      <c r="BO164" s="57" t="s">
        <v>1287</v>
      </c>
      <c r="BP164" s="57" t="s">
        <v>1287</v>
      </c>
      <c r="BQ164" s="57" t="s">
        <v>1287</v>
      </c>
      <c r="BR164" s="57" t="s">
        <v>1287</v>
      </c>
      <c r="BS164" s="57" t="s">
        <v>1287</v>
      </c>
      <c r="BT164" s="57" t="s">
        <v>1287</v>
      </c>
      <c r="BU164" s="57" t="s">
        <v>1287</v>
      </c>
      <c r="BV164" s="70">
        <f t="shared" ref="BV164" si="1096">E164</f>
        <v>37</v>
      </c>
      <c r="BW164" s="71" t="str">
        <f t="shared" ref="BW164" si="1097">I164</f>
        <v>-</v>
      </c>
      <c r="BX164" s="72">
        <f t="shared" ref="BX164" si="1098">M164</f>
        <v>76</v>
      </c>
      <c r="BY164" s="71">
        <f t="shared" ref="BY164" si="1099">Q164</f>
        <v>105</v>
      </c>
      <c r="BZ164" s="72">
        <f t="shared" ref="BZ164" si="1100">U164</f>
        <v>109</v>
      </c>
      <c r="CA164" s="71" t="str">
        <f t="shared" ref="CA164" si="1101">Y164</f>
        <v>-</v>
      </c>
      <c r="CB164" s="72">
        <f t="shared" ref="CB164" si="1102">AC164</f>
        <v>152</v>
      </c>
      <c r="CC164" s="71">
        <f t="shared" ref="CC164" si="1103">AG164</f>
        <v>190</v>
      </c>
      <c r="CD164" s="72">
        <f t="shared" ref="CD164" si="1104">AK164</f>
        <v>195</v>
      </c>
      <c r="CE164" s="71">
        <f t="shared" ref="CE164" si="1105">AO164</f>
        <v>241</v>
      </c>
      <c r="CF164" s="72">
        <f t="shared" ref="CF164" si="1106">AS164</f>
        <v>279</v>
      </c>
      <c r="CG164" s="71">
        <f t="shared" ref="CG164" si="1107">AW164</f>
        <v>310</v>
      </c>
      <c r="CH164" s="70">
        <f t="shared" ref="CH164" si="1108">G164</f>
        <v>71</v>
      </c>
      <c r="CI164" s="71" t="str">
        <f t="shared" ref="CI164" si="1109">K164</f>
        <v>-</v>
      </c>
      <c r="CJ164" s="72">
        <f t="shared" ref="CJ164" si="1110">O164</f>
        <v>102</v>
      </c>
      <c r="CK164" s="72">
        <f t="shared" ref="CK164" si="1111">S164</f>
        <v>108</v>
      </c>
      <c r="CL164" s="72">
        <f t="shared" ref="CL164" si="1112">W164</f>
        <v>144</v>
      </c>
      <c r="CM164" s="72" t="str">
        <f t="shared" ref="CM164" si="1113">AA164</f>
        <v>-</v>
      </c>
      <c r="CN164" s="72">
        <f t="shared" ref="CN164" si="1114">AE164</f>
        <v>179</v>
      </c>
      <c r="CO164" s="72">
        <f t="shared" ref="CO164" si="1115">AI164</f>
        <v>192</v>
      </c>
      <c r="CP164" s="72">
        <f t="shared" ref="CP164" si="1116">AM164</f>
        <v>231</v>
      </c>
      <c r="CQ164" s="72">
        <f t="shared" ref="CQ164" si="1117">AQ164</f>
        <v>268</v>
      </c>
      <c r="CR164" s="72">
        <f t="shared" ref="CR164" si="1118">AU164</f>
        <v>309</v>
      </c>
      <c r="CS164" s="72">
        <f t="shared" ref="CS164" si="1119">AY164</f>
        <v>321</v>
      </c>
      <c r="CT164" s="23" t="e">
        <f t="shared" ref="CT164" si="1120">M164-K164</f>
        <v>#VALUE!</v>
      </c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6"/>
      <c r="ACQ164" s="6"/>
      <c r="ACR164" s="6"/>
      <c r="ACS164" s="6"/>
      <c r="ACT164" s="6"/>
      <c r="ACU164" s="6"/>
      <c r="ACV164" s="6"/>
      <c r="ACW164" s="6"/>
      <c r="ACX164" s="6"/>
      <c r="ACY164" s="6"/>
      <c r="ACZ164" s="6"/>
      <c r="ADA164" s="6"/>
      <c r="ADB164" s="6"/>
      <c r="ADC164" s="6"/>
      <c r="ADD164" s="6"/>
      <c r="ADE164" s="6"/>
      <c r="ADF164" s="6"/>
      <c r="ADG164" s="6"/>
      <c r="ADH164" s="6"/>
      <c r="ADI164" s="6"/>
      <c r="ADJ164" s="6"/>
      <c r="ADK164" s="6"/>
      <c r="ADL164" s="6"/>
      <c r="ADM164" s="6"/>
      <c r="ADN164" s="6"/>
      <c r="ADO164" s="6"/>
      <c r="ADP164" s="6"/>
      <c r="ADQ164" s="6"/>
      <c r="ADR164" s="6"/>
      <c r="ADS164" s="6"/>
      <c r="ADT164" s="6"/>
      <c r="ADU164" s="6"/>
      <c r="ADV164" s="6"/>
      <c r="ADW164" s="6"/>
      <c r="ADX164" s="6"/>
      <c r="ADY164" s="6"/>
      <c r="ADZ164" s="6"/>
      <c r="AEA164" s="6"/>
      <c r="AEB164" s="6"/>
      <c r="AEC164" s="6"/>
      <c r="AED164" s="6"/>
      <c r="AEE164" s="6"/>
      <c r="AEF164" s="6"/>
      <c r="AEG164" s="6"/>
      <c r="AEH164" s="6"/>
      <c r="AEI164" s="6"/>
      <c r="AEJ164" s="6"/>
      <c r="AEK164" s="6"/>
      <c r="AEL164" s="6"/>
      <c r="AEM164" s="6"/>
      <c r="AEN164" s="6"/>
      <c r="AEO164" s="6"/>
      <c r="AEP164" s="6"/>
      <c r="AEQ164" s="6"/>
      <c r="AER164" s="6"/>
      <c r="AES164" s="6"/>
      <c r="AET164" s="6"/>
      <c r="AEU164" s="6"/>
      <c r="AEV164" s="6"/>
      <c r="AEW164" s="6"/>
      <c r="AEX164" s="6"/>
      <c r="AEY164" s="6"/>
      <c r="AEZ164" s="6"/>
      <c r="AFA164" s="6"/>
      <c r="AFB164" s="6"/>
      <c r="AFC164" s="6"/>
      <c r="AFD164" s="6"/>
      <c r="AFE164" s="6"/>
      <c r="AFF164" s="6"/>
      <c r="AFG164" s="6"/>
      <c r="AFH164" s="6"/>
      <c r="AFI164" s="6"/>
      <c r="AFJ164" s="6"/>
      <c r="AFK164" s="6"/>
      <c r="AFL164" s="6"/>
      <c r="AFM164" s="6"/>
      <c r="AFN164" s="6"/>
      <c r="AFO164" s="6"/>
      <c r="AFP164" s="6"/>
      <c r="AFQ164" s="6"/>
      <c r="AFR164" s="6"/>
      <c r="AFS164" s="6"/>
      <c r="AFT164" s="6"/>
      <c r="AFU164" s="6"/>
      <c r="AFV164" s="6"/>
      <c r="AFW164" s="6"/>
      <c r="AFX164" s="6"/>
      <c r="AFY164" s="6"/>
      <c r="AFZ164" s="6"/>
      <c r="AGA164" s="6"/>
      <c r="AGB164" s="6"/>
      <c r="AGC164" s="6"/>
      <c r="AGD164" s="6"/>
      <c r="AGE164" s="6"/>
      <c r="AGF164" s="6"/>
      <c r="AGG164" s="6"/>
      <c r="AGH164" s="6"/>
      <c r="AGI164" s="6"/>
      <c r="AGJ164" s="6"/>
      <c r="AGK164" s="6"/>
      <c r="AGL164" s="6"/>
      <c r="AGM164" s="6"/>
      <c r="AGN164" s="6"/>
      <c r="AGO164" s="6"/>
      <c r="AGP164" s="6"/>
      <c r="AGQ164" s="6"/>
      <c r="AGR164" s="6"/>
      <c r="AGS164" s="6"/>
      <c r="AGT164" s="6"/>
      <c r="AGU164" s="6"/>
      <c r="AGV164" s="6"/>
      <c r="AGW164" s="6"/>
      <c r="AGX164" s="6"/>
      <c r="AGY164" s="6"/>
      <c r="AGZ164" s="6"/>
      <c r="AHA164" s="6"/>
      <c r="AHB164" s="6"/>
      <c r="AHC164" s="6"/>
      <c r="AHD164" s="6"/>
      <c r="AHE164" s="6"/>
      <c r="AHF164" s="6"/>
      <c r="AHG164" s="6"/>
      <c r="AHH164" s="6"/>
      <c r="AHI164" s="6"/>
      <c r="AHJ164" s="6"/>
      <c r="AHK164" s="6"/>
      <c r="AHL164" s="6"/>
      <c r="AHM164" s="6"/>
      <c r="AHN164" s="6"/>
      <c r="AHO164" s="6"/>
      <c r="AHP164" s="6"/>
      <c r="AHQ164" s="6"/>
      <c r="AHR164" s="6"/>
      <c r="AHS164" s="6"/>
      <c r="AHT164" s="6"/>
      <c r="AHU164" s="6"/>
      <c r="AHV164" s="6"/>
      <c r="AHW164" s="6"/>
      <c r="AHX164" s="6"/>
      <c r="AHY164" s="6"/>
      <c r="AHZ164" s="6"/>
      <c r="AIA164" s="6"/>
      <c r="AIB164" s="6"/>
      <c r="AIC164" s="6"/>
      <c r="AID164" s="6"/>
      <c r="AIE164" s="6"/>
      <c r="AIF164" s="6"/>
      <c r="AIG164" s="6"/>
      <c r="AIH164" s="6"/>
      <c r="AII164" s="6"/>
      <c r="AIJ164" s="6"/>
      <c r="AIK164" s="6"/>
      <c r="AIL164" s="6"/>
      <c r="AIM164" s="6"/>
      <c r="AIN164" s="6"/>
      <c r="AIO164" s="6"/>
      <c r="AIP164" s="6"/>
      <c r="AIQ164" s="6"/>
      <c r="AIR164" s="6"/>
      <c r="AIS164" s="6"/>
      <c r="AIT164" s="6"/>
      <c r="AIU164" s="6"/>
      <c r="AIV164" s="6"/>
      <c r="AIW164" s="6"/>
      <c r="AIX164" s="6"/>
      <c r="AIY164" s="6"/>
      <c r="AIZ164" s="6"/>
      <c r="AJA164" s="6"/>
      <c r="AJB164" s="6"/>
      <c r="AJC164" s="6"/>
      <c r="AJD164" s="6"/>
      <c r="AJE164" s="6"/>
      <c r="AJF164" s="6"/>
      <c r="AJG164" s="6"/>
      <c r="AJH164" s="6"/>
      <c r="AJI164" s="6"/>
      <c r="AJJ164" s="6"/>
      <c r="AJK164" s="6"/>
      <c r="AJL164" s="6"/>
      <c r="AJM164" s="6"/>
      <c r="AJN164" s="6"/>
      <c r="AJO164" s="6"/>
      <c r="AJP164" s="6"/>
      <c r="AJQ164" s="6"/>
      <c r="AJR164" s="6"/>
      <c r="AJS164" s="6"/>
      <c r="AJT164" s="6"/>
      <c r="AJU164" s="6"/>
      <c r="AJV164" s="6"/>
      <c r="AJW164" s="6"/>
      <c r="AJX164" s="6"/>
      <c r="AJY164" s="6"/>
      <c r="AJZ164" s="6"/>
      <c r="AKA164" s="6"/>
      <c r="AKB164" s="6"/>
      <c r="AKC164" s="6"/>
      <c r="AKD164" s="6"/>
      <c r="AKE164" s="6"/>
      <c r="AKF164" s="6"/>
      <c r="AKG164" s="6"/>
      <c r="AKH164" s="6"/>
      <c r="AKI164" s="6"/>
      <c r="AKJ164" s="6"/>
      <c r="AKK164" s="6"/>
      <c r="AKL164" s="6"/>
      <c r="AKM164" s="6"/>
      <c r="AKN164" s="6"/>
      <c r="AKO164" s="6"/>
      <c r="AKP164" s="6"/>
      <c r="AKQ164" s="6"/>
      <c r="AKR164" s="6"/>
      <c r="AKS164" s="6"/>
      <c r="AKT164" s="6"/>
      <c r="AKU164" s="6"/>
      <c r="AKV164" s="6"/>
      <c r="AKW164" s="6"/>
      <c r="AKX164" s="6"/>
      <c r="AKY164" s="6"/>
      <c r="AKZ164" s="6"/>
      <c r="ALA164" s="6"/>
      <c r="ALB164" s="6"/>
      <c r="ALC164" s="6"/>
      <c r="ALD164" s="6"/>
      <c r="ALE164" s="6"/>
      <c r="ALF164" s="6"/>
      <c r="ALG164" s="6"/>
      <c r="ALH164" s="6"/>
      <c r="ALI164" s="6"/>
      <c r="ALJ164" s="6"/>
      <c r="ALK164" s="6"/>
      <c r="ALL164" s="6"/>
      <c r="ALM164" s="6"/>
      <c r="ALN164" s="6"/>
      <c r="ALO164" s="6"/>
      <c r="ALP164" s="6"/>
      <c r="ALQ164" s="6"/>
      <c r="ALR164" s="6"/>
      <c r="ALS164" s="6"/>
      <c r="ALT164" s="6"/>
      <c r="ALU164" s="6"/>
      <c r="ALV164" s="6"/>
      <c r="ALW164" s="6"/>
      <c r="ALX164" s="6"/>
      <c r="ALY164" s="6"/>
      <c r="ALZ164" s="6"/>
      <c r="AMA164" s="6"/>
      <c r="AMB164" s="6"/>
      <c r="AMC164" s="6"/>
      <c r="AMD164" s="6"/>
      <c r="AME164" s="6"/>
      <c r="AMF164" s="6"/>
      <c r="AMG164" s="6"/>
      <c r="AMH164" s="6"/>
      <c r="AMI164" s="6"/>
      <c r="AMJ164" s="6"/>
      <c r="AMK164" s="6"/>
      <c r="AML164" s="6"/>
      <c r="AMM164" s="6"/>
      <c r="AMN164" s="6"/>
      <c r="AMO164" s="6"/>
      <c r="AMP164" s="6"/>
    </row>
    <row r="165" spans="1:1030" x14ac:dyDescent="0.2">
      <c r="A165" s="3" t="str">
        <f t="shared" ref="A165" si="1121">CONCATENATE(B165,"_",C165)</f>
        <v>ccr2_human_6GPX</v>
      </c>
      <c r="B165" s="3" t="s">
        <v>170</v>
      </c>
      <c r="C165" s="3" t="s">
        <v>1547</v>
      </c>
      <c r="D165" s="3" t="str">
        <f>IFERROR(MID(VLOOKUP($B165,Seqs!$A:$B,2,0),E165,1),"")</f>
        <v>F</v>
      </c>
      <c r="E165" s="3">
        <v>35</v>
      </c>
      <c r="F165" s="3" t="str">
        <f>IFERROR(MID(VLOOKUP($B165,Seqs!$A:$B,2,0),G165,1),"")</f>
        <v>K</v>
      </c>
      <c r="G165" s="3">
        <v>71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C</v>
      </c>
      <c r="M165" s="3">
        <v>75</v>
      </c>
      <c r="N165" s="3" t="str">
        <f>IFERROR(MID(VLOOKUP($B165,Seqs!$A:$B,2,0),O165,1),"")</f>
        <v>A</v>
      </c>
      <c r="O165" s="3">
        <v>102</v>
      </c>
      <c r="P165" s="3" t="str">
        <f>IFERROR(MID(VLOOKUP($B165,Seqs!$A:$B,2,0),Q165,1),"")</f>
        <v>E</v>
      </c>
      <c r="Q165" s="3">
        <v>105</v>
      </c>
      <c r="R165" s="3" t="str">
        <f>IFERROR(MID(VLOOKUP($B165,Seqs!$A:$B,2,0),S165,1),"")</f>
        <v>F</v>
      </c>
      <c r="S165" s="3">
        <v>108</v>
      </c>
      <c r="T165" s="3" t="str">
        <f>IFERROR(MID(VLOOKUP($B165,Seqs!$A:$B,2,0),U165,1),"")</f>
        <v>G</v>
      </c>
      <c r="U165" s="3">
        <v>109</v>
      </c>
      <c r="V165" s="3" t="str">
        <f>IFERROR(MID(VLOOKUP($B165,Seqs!$A:$B,2,0),W165,1),"")</f>
        <v>H</v>
      </c>
      <c r="W165" s="3">
        <v>144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R</v>
      </c>
      <c r="AC165" s="3">
        <v>152</v>
      </c>
      <c r="AD165" s="3" t="str">
        <f>IFERROR(MID(VLOOKUP($B165,Seqs!$A:$B,2,0),AE165,1),"")</f>
        <v>T</v>
      </c>
      <c r="AE165" s="3">
        <v>179</v>
      </c>
      <c r="AF165" s="3" t="str">
        <f>IFERROR(MID(VLOOKUP($B165,Seqs!$A:$B,2,0),AG165,1),"")</f>
        <v>C</v>
      </c>
      <c r="AG165" s="3">
        <v>190</v>
      </c>
      <c r="AH165" s="3" t="str">
        <f>IFERROR(MID(VLOOKUP($B165,Seqs!$A:$B,2,0),AI165,1),"")</f>
        <v>P</v>
      </c>
      <c r="AI165" s="3">
        <v>192</v>
      </c>
      <c r="AJ165" s="3" t="str">
        <f>IFERROR(MID(VLOOKUP($B165,Seqs!$A:$B,2,0),AK165,1),"")</f>
        <v>P</v>
      </c>
      <c r="AK165" s="3">
        <v>195</v>
      </c>
      <c r="AL165" s="3" t="str">
        <f>IFERROR(MID(VLOOKUP($B165,Seqs!$A:$B,2,0),AM165,1),"")</f>
        <v>L</v>
      </c>
      <c r="AM165" s="3">
        <v>229</v>
      </c>
      <c r="AN165" s="3" t="str">
        <f>IFERROR(MID(VLOOKUP($B165,Seqs!$A:$B,2,0),AO165,1),"")</f>
        <v>A</v>
      </c>
      <c r="AO165" s="3">
        <v>241</v>
      </c>
      <c r="AP165" s="3" t="str">
        <f>IFERROR(MID(VLOOKUP($B165,Seqs!$A:$B,2,0),AQ165,1),"")</f>
        <v>F</v>
      </c>
      <c r="AQ165" s="3">
        <v>268</v>
      </c>
      <c r="AR165" s="3" t="str">
        <f>IFERROR(MID(VLOOKUP($B165,Seqs!$A:$B,2,0),AS165,1),"")</f>
        <v>N</v>
      </c>
      <c r="AS165" s="3">
        <v>276</v>
      </c>
      <c r="AT165" s="3" t="str">
        <f>IFERROR(MID(VLOOKUP($B165,Seqs!$A:$B,2,0),AU165,1),"")</f>
        <v>V</v>
      </c>
      <c r="AU165" s="3">
        <v>308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7" t="str">
        <f>VLOOKUP(B165,Classification!A:D,2,0)</f>
        <v>A</v>
      </c>
      <c r="BA165" s="94" t="str">
        <f>VLOOKUP(B165,Classification!A:D,4,0)</f>
        <v>Chemokine</v>
      </c>
      <c r="BB165" s="27" t="b">
        <f t="shared" ref="BB165" si="1122">AND(E165&lt;G165,OR(G165&lt;I165,I165="-"),OR(I165&lt;K165,I165="-"),OR(K165&lt;M165,K165="-"),M165&lt;O165,OR(O165&lt;Q165,Q165="-"),OR(Q165&lt;S165,Q165="-"),OR(S165&lt;U165,S165="-"),U165&lt;W165,OR(W165&lt;Y165,Y165="-"),OR(Y165&lt;AA165,Y165="-"),OR(AA165&lt;AC165,AA165="-"),AC165&lt;AE165,OR(AE165&lt;AG165,AG165="-"),OR(AG165&lt;AI165,AG165="-"),OR(AI165&lt;AK165,AI165="-"),AK165&lt;AM165,AM165&lt;AO165,AO165&lt;AQ165,AQ165&lt;AS165,AS165&lt;AU165,OR(AU165&lt;AW165,AW165="-"),OR(AW165&lt;AY165,AW165="-"))</f>
        <v>1</v>
      </c>
      <c r="BC165" s="23">
        <f t="shared" ref="BC165" si="1123">_xlfn.AGGREGATE(9,6,CH165:CS165)-_xlfn.AGGREGATE(9,6,BV165:CG165)+12</f>
        <v>235</v>
      </c>
      <c r="BD165" s="16" t="s">
        <v>23</v>
      </c>
      <c r="BE165" s="3" t="s">
        <v>1374</v>
      </c>
      <c r="BF165" s="118">
        <v>2.7</v>
      </c>
      <c r="BG165" s="49" t="s">
        <v>1</v>
      </c>
      <c r="BH165" s="49" t="s">
        <v>1</v>
      </c>
      <c r="BI165" s="1"/>
      <c r="BJ165" s="70" t="s">
        <v>1287</v>
      </c>
      <c r="BK165" s="57" t="s">
        <v>1287</v>
      </c>
      <c r="BL165" s="57" t="s">
        <v>1287</v>
      </c>
      <c r="BM165" s="57" t="s">
        <v>1287</v>
      </c>
      <c r="BN165" s="57" t="s">
        <v>1287</v>
      </c>
      <c r="BO165" s="57" t="s">
        <v>1287</v>
      </c>
      <c r="BP165" s="57" t="s">
        <v>1287</v>
      </c>
      <c r="BQ165" s="57" t="s">
        <v>1287</v>
      </c>
      <c r="BR165" s="57" t="s">
        <v>1287</v>
      </c>
      <c r="BS165" s="57" t="s">
        <v>1287</v>
      </c>
      <c r="BT165" s="57" t="s">
        <v>1287</v>
      </c>
      <c r="BU165" s="57" t="s">
        <v>1287</v>
      </c>
      <c r="BV165" s="70">
        <f t="shared" ref="BV165" si="1124">E165</f>
        <v>35</v>
      </c>
      <c r="BW165" s="71" t="str">
        <f t="shared" ref="BW165" si="1125">I165</f>
        <v>-</v>
      </c>
      <c r="BX165" s="72">
        <f t="shared" ref="BX165" si="1126">M165</f>
        <v>75</v>
      </c>
      <c r="BY165" s="71">
        <f t="shared" ref="BY165" si="1127">Q165</f>
        <v>105</v>
      </c>
      <c r="BZ165" s="72">
        <f t="shared" ref="BZ165" si="1128">U165</f>
        <v>109</v>
      </c>
      <c r="CA165" s="71" t="str">
        <f t="shared" ref="CA165" si="1129">Y165</f>
        <v>-</v>
      </c>
      <c r="CB165" s="72">
        <f t="shared" ref="CB165" si="1130">AC165</f>
        <v>152</v>
      </c>
      <c r="CC165" s="71">
        <f t="shared" ref="CC165" si="1131">AG165</f>
        <v>190</v>
      </c>
      <c r="CD165" s="72">
        <f t="shared" ref="CD165" si="1132">AK165</f>
        <v>195</v>
      </c>
      <c r="CE165" s="71">
        <f t="shared" ref="CE165" si="1133">AO165</f>
        <v>241</v>
      </c>
      <c r="CF165" s="72">
        <f t="shared" ref="CF165" si="1134">AS165</f>
        <v>276</v>
      </c>
      <c r="CG165" s="71" t="str">
        <f t="shared" ref="CG165" si="1135">AW165</f>
        <v>-</v>
      </c>
      <c r="CH165" s="70">
        <f t="shared" ref="CH165" si="1136">G165</f>
        <v>71</v>
      </c>
      <c r="CI165" s="71" t="str">
        <f t="shared" ref="CI165" si="1137">K165</f>
        <v>-</v>
      </c>
      <c r="CJ165" s="72">
        <f t="shared" ref="CJ165" si="1138">O165</f>
        <v>102</v>
      </c>
      <c r="CK165" s="72">
        <f t="shared" ref="CK165" si="1139">S165</f>
        <v>108</v>
      </c>
      <c r="CL165" s="72">
        <f t="shared" ref="CL165" si="1140">W165</f>
        <v>144</v>
      </c>
      <c r="CM165" s="72" t="str">
        <f t="shared" ref="CM165" si="1141">AA165</f>
        <v>-</v>
      </c>
      <c r="CN165" s="72">
        <f t="shared" ref="CN165" si="1142">AE165</f>
        <v>179</v>
      </c>
      <c r="CO165" s="72">
        <f t="shared" ref="CO165" si="1143">AI165</f>
        <v>192</v>
      </c>
      <c r="CP165" s="72">
        <f t="shared" ref="CP165" si="1144">AM165</f>
        <v>229</v>
      </c>
      <c r="CQ165" s="72">
        <f t="shared" ref="CQ165" si="1145">AQ165</f>
        <v>268</v>
      </c>
      <c r="CR165" s="72">
        <f t="shared" ref="CR165" si="1146">AU165</f>
        <v>308</v>
      </c>
      <c r="CS165" s="72" t="str">
        <f t="shared" ref="CS165" si="1147">AY165</f>
        <v>-</v>
      </c>
      <c r="CT165" s="23" t="e">
        <f t="shared" ref="CT165" si="1148">M165-K165</f>
        <v>#VALUE!</v>
      </c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6"/>
      <c r="ACQ165" s="6"/>
      <c r="ACR165" s="6"/>
      <c r="ACS165" s="6"/>
      <c r="ACT165" s="6"/>
      <c r="ACU165" s="6"/>
      <c r="ACV165" s="6"/>
      <c r="ACW165" s="6"/>
      <c r="ACX165" s="6"/>
      <c r="ACY165" s="6"/>
      <c r="ACZ165" s="6"/>
      <c r="ADA165" s="6"/>
      <c r="ADB165" s="6"/>
      <c r="ADC165" s="6"/>
      <c r="ADD165" s="6"/>
      <c r="ADE165" s="6"/>
      <c r="ADF165" s="6"/>
      <c r="ADG165" s="6"/>
      <c r="ADH165" s="6"/>
      <c r="ADI165" s="6"/>
      <c r="ADJ165" s="6"/>
      <c r="ADK165" s="6"/>
      <c r="ADL165" s="6"/>
      <c r="ADM165" s="6"/>
      <c r="ADN165" s="6"/>
      <c r="ADO165" s="6"/>
      <c r="ADP165" s="6"/>
      <c r="ADQ165" s="6"/>
      <c r="ADR165" s="6"/>
      <c r="ADS165" s="6"/>
      <c r="ADT165" s="6"/>
      <c r="ADU165" s="6"/>
      <c r="ADV165" s="6"/>
      <c r="ADW165" s="6"/>
      <c r="ADX165" s="6"/>
      <c r="ADY165" s="6"/>
      <c r="ADZ165" s="6"/>
      <c r="AEA165" s="6"/>
      <c r="AEB165" s="6"/>
      <c r="AEC165" s="6"/>
      <c r="AED165" s="6"/>
      <c r="AEE165" s="6"/>
      <c r="AEF165" s="6"/>
      <c r="AEG165" s="6"/>
      <c r="AEH165" s="6"/>
      <c r="AEI165" s="6"/>
      <c r="AEJ165" s="6"/>
      <c r="AEK165" s="6"/>
      <c r="AEL165" s="6"/>
      <c r="AEM165" s="6"/>
      <c r="AEN165" s="6"/>
      <c r="AEO165" s="6"/>
      <c r="AEP165" s="6"/>
      <c r="AEQ165" s="6"/>
      <c r="AER165" s="6"/>
      <c r="AES165" s="6"/>
      <c r="AET165" s="6"/>
      <c r="AEU165" s="6"/>
      <c r="AEV165" s="6"/>
      <c r="AEW165" s="6"/>
      <c r="AEX165" s="6"/>
      <c r="AEY165" s="6"/>
      <c r="AEZ165" s="6"/>
      <c r="AFA165" s="6"/>
      <c r="AFB165" s="6"/>
      <c r="AFC165" s="6"/>
      <c r="AFD165" s="6"/>
      <c r="AFE165" s="6"/>
      <c r="AFF165" s="6"/>
      <c r="AFG165" s="6"/>
      <c r="AFH165" s="6"/>
      <c r="AFI165" s="6"/>
      <c r="AFJ165" s="6"/>
      <c r="AFK165" s="6"/>
      <c r="AFL165" s="6"/>
      <c r="AFM165" s="6"/>
      <c r="AFN165" s="6"/>
      <c r="AFO165" s="6"/>
      <c r="AFP165" s="6"/>
      <c r="AFQ165" s="6"/>
      <c r="AFR165" s="6"/>
      <c r="AFS165" s="6"/>
      <c r="AFT165" s="6"/>
      <c r="AFU165" s="6"/>
      <c r="AFV165" s="6"/>
      <c r="AFW165" s="6"/>
      <c r="AFX165" s="6"/>
      <c r="AFY165" s="6"/>
      <c r="AFZ165" s="6"/>
      <c r="AGA165" s="6"/>
      <c r="AGB165" s="6"/>
      <c r="AGC165" s="6"/>
      <c r="AGD165" s="6"/>
      <c r="AGE165" s="6"/>
      <c r="AGF165" s="6"/>
      <c r="AGG165" s="6"/>
      <c r="AGH165" s="6"/>
      <c r="AGI165" s="6"/>
      <c r="AGJ165" s="6"/>
      <c r="AGK165" s="6"/>
      <c r="AGL165" s="6"/>
      <c r="AGM165" s="6"/>
      <c r="AGN165" s="6"/>
      <c r="AGO165" s="6"/>
      <c r="AGP165" s="6"/>
      <c r="AGQ165" s="6"/>
      <c r="AGR165" s="6"/>
      <c r="AGS165" s="6"/>
      <c r="AGT165" s="6"/>
      <c r="AGU165" s="6"/>
      <c r="AGV165" s="6"/>
      <c r="AGW165" s="6"/>
      <c r="AGX165" s="6"/>
      <c r="AGY165" s="6"/>
      <c r="AGZ165" s="6"/>
      <c r="AHA165" s="6"/>
      <c r="AHB165" s="6"/>
      <c r="AHC165" s="6"/>
      <c r="AHD165" s="6"/>
      <c r="AHE165" s="6"/>
      <c r="AHF165" s="6"/>
      <c r="AHG165" s="6"/>
      <c r="AHH165" s="6"/>
      <c r="AHI165" s="6"/>
      <c r="AHJ165" s="6"/>
      <c r="AHK165" s="6"/>
      <c r="AHL165" s="6"/>
      <c r="AHM165" s="6"/>
      <c r="AHN165" s="6"/>
      <c r="AHO165" s="6"/>
      <c r="AHP165" s="6"/>
      <c r="AHQ165" s="6"/>
      <c r="AHR165" s="6"/>
      <c r="AHS165" s="6"/>
      <c r="AHT165" s="6"/>
      <c r="AHU165" s="6"/>
      <c r="AHV165" s="6"/>
      <c r="AHW165" s="6"/>
      <c r="AHX165" s="6"/>
      <c r="AHY165" s="6"/>
      <c r="AHZ165" s="6"/>
      <c r="AIA165" s="6"/>
      <c r="AIB165" s="6"/>
      <c r="AIC165" s="6"/>
      <c r="AID165" s="6"/>
      <c r="AIE165" s="6"/>
      <c r="AIF165" s="6"/>
      <c r="AIG165" s="6"/>
      <c r="AIH165" s="6"/>
      <c r="AII165" s="6"/>
      <c r="AIJ165" s="6"/>
      <c r="AIK165" s="6"/>
      <c r="AIL165" s="6"/>
      <c r="AIM165" s="6"/>
      <c r="AIN165" s="6"/>
      <c r="AIO165" s="6"/>
      <c r="AIP165" s="6"/>
      <c r="AIQ165" s="6"/>
      <c r="AIR165" s="6"/>
      <c r="AIS165" s="6"/>
      <c r="AIT165" s="6"/>
      <c r="AIU165" s="6"/>
      <c r="AIV165" s="6"/>
      <c r="AIW165" s="6"/>
      <c r="AIX165" s="6"/>
      <c r="AIY165" s="6"/>
      <c r="AIZ165" s="6"/>
      <c r="AJA165" s="6"/>
      <c r="AJB165" s="6"/>
      <c r="AJC165" s="6"/>
      <c r="AJD165" s="6"/>
      <c r="AJE165" s="6"/>
      <c r="AJF165" s="6"/>
      <c r="AJG165" s="6"/>
      <c r="AJH165" s="6"/>
      <c r="AJI165" s="6"/>
      <c r="AJJ165" s="6"/>
      <c r="AJK165" s="6"/>
      <c r="AJL165" s="6"/>
      <c r="AJM165" s="6"/>
      <c r="AJN165" s="6"/>
      <c r="AJO165" s="6"/>
      <c r="AJP165" s="6"/>
      <c r="AJQ165" s="6"/>
      <c r="AJR165" s="6"/>
      <c r="AJS165" s="6"/>
      <c r="AJT165" s="6"/>
      <c r="AJU165" s="6"/>
      <c r="AJV165" s="6"/>
      <c r="AJW165" s="6"/>
      <c r="AJX165" s="6"/>
      <c r="AJY165" s="6"/>
      <c r="AJZ165" s="6"/>
      <c r="AKA165" s="6"/>
      <c r="AKB165" s="6"/>
      <c r="AKC165" s="6"/>
      <c r="AKD165" s="6"/>
      <c r="AKE165" s="6"/>
      <c r="AKF165" s="6"/>
      <c r="AKG165" s="6"/>
      <c r="AKH165" s="6"/>
      <c r="AKI165" s="6"/>
      <c r="AKJ165" s="6"/>
      <c r="AKK165" s="6"/>
      <c r="AKL165" s="6"/>
      <c r="AKM165" s="6"/>
      <c r="AKN165" s="6"/>
      <c r="AKO165" s="6"/>
      <c r="AKP165" s="6"/>
      <c r="AKQ165" s="6"/>
      <c r="AKR165" s="6"/>
      <c r="AKS165" s="6"/>
      <c r="AKT165" s="6"/>
      <c r="AKU165" s="6"/>
      <c r="AKV165" s="6"/>
      <c r="AKW165" s="6"/>
      <c r="AKX165" s="6"/>
      <c r="AKY165" s="6"/>
      <c r="AKZ165" s="6"/>
      <c r="ALA165" s="6"/>
      <c r="ALB165" s="6"/>
      <c r="ALC165" s="6"/>
      <c r="ALD165" s="6"/>
      <c r="ALE165" s="6"/>
      <c r="ALF165" s="6"/>
      <c r="ALG165" s="6"/>
      <c r="ALH165" s="6"/>
      <c r="ALI165" s="6"/>
      <c r="ALJ165" s="6"/>
      <c r="ALK165" s="6"/>
      <c r="ALL165" s="6"/>
      <c r="ALM165" s="6"/>
      <c r="ALN165" s="6"/>
      <c r="ALO165" s="6"/>
      <c r="ALP165" s="6"/>
      <c r="ALQ165" s="6"/>
      <c r="ALR165" s="6"/>
      <c r="ALS165" s="6"/>
      <c r="ALT165" s="6"/>
      <c r="ALU165" s="6"/>
      <c r="ALV165" s="6"/>
      <c r="ALW165" s="6"/>
      <c r="ALX165" s="6"/>
      <c r="ALY165" s="6"/>
      <c r="ALZ165" s="6"/>
      <c r="AMA165" s="6"/>
      <c r="AMB165" s="6"/>
      <c r="AMC165" s="6"/>
      <c r="AMD165" s="6"/>
      <c r="AME165" s="6"/>
      <c r="AMF165" s="6"/>
      <c r="AMG165" s="6"/>
      <c r="AMH165" s="6"/>
      <c r="AMI165" s="6"/>
      <c r="AMJ165" s="6"/>
      <c r="AMK165" s="6"/>
      <c r="AML165" s="6"/>
      <c r="AMM165" s="6"/>
      <c r="AMN165" s="6"/>
      <c r="AMO165" s="6"/>
      <c r="AMP165" s="6"/>
    </row>
    <row r="166" spans="1:1030" x14ac:dyDescent="0.2">
      <c r="A166" s="3" t="str">
        <f t="shared" si="951"/>
        <v>ccr5_human__wt</v>
      </c>
      <c r="B166" s="3" t="s">
        <v>173</v>
      </c>
      <c r="C166" s="3" t="s">
        <v>100</v>
      </c>
      <c r="D166" s="3" t="str">
        <f>IFERROR(MID(VLOOKUP($B166,Seqs!$A:$B,2,0),E166,1),"")</f>
        <v>K</v>
      </c>
      <c r="E166" s="3">
        <v>22</v>
      </c>
      <c r="F166" s="3" t="str">
        <f>IFERROR(MID(VLOOKUP($B166,Seqs!$A:$B,2,0),G166,1),"")</f>
        <v>C</v>
      </c>
      <c r="G166" s="3">
        <v>58</v>
      </c>
      <c r="H166" s="3" t="str">
        <f>IFERROR(MID(VLOOKUP($B166,Seqs!$A:$B,2,0),I166,1),"")</f>
        <v>K</v>
      </c>
      <c r="I166" s="23">
        <v>59</v>
      </c>
      <c r="J166" s="3" t="str">
        <f>IFERROR(MID(VLOOKUP($B166,Seqs!$A:$B,2,0),K166,1),"")</f>
        <v>K</v>
      </c>
      <c r="K166" s="23">
        <v>62</v>
      </c>
      <c r="L166" s="3" t="str">
        <f>IFERROR(MID(VLOOKUP($B166,Seqs!$A:$B,2,0),M166,1),"")</f>
        <v>S</v>
      </c>
      <c r="M166" s="3">
        <v>63</v>
      </c>
      <c r="N166" s="3" t="str">
        <f>IFERROR(MID(VLOOKUP($B166,Seqs!$A:$B,2,0),O166,1),"")</f>
        <v>A</v>
      </c>
      <c r="O166" s="3">
        <v>92</v>
      </c>
      <c r="P166" s="3" t="str">
        <f>IFERROR(MID(VLOOKUP($B166,Seqs!$A:$B,2,0),Q166,1),"")</f>
        <v>Q</v>
      </c>
      <c r="Q166" s="3">
        <v>93</v>
      </c>
      <c r="R166" s="3" t="str">
        <f>IFERROR(MID(VLOOKUP($B166,Seqs!$A:$B,2,0),S166,1),"")</f>
        <v>F</v>
      </c>
      <c r="S166" s="3">
        <v>96</v>
      </c>
      <c r="T166" s="3" t="str">
        <f>IFERROR(MID(VLOOKUP($B166,Seqs!$A:$B,2,0),U166,1),"")</f>
        <v>G</v>
      </c>
      <c r="U166" s="3">
        <v>97</v>
      </c>
      <c r="V166" s="3" t="str">
        <f>IFERROR(MID(VLOOKUP($B166,Seqs!$A:$B,2,0),W166,1),"")</f>
        <v>H</v>
      </c>
      <c r="W166" s="3">
        <v>132</v>
      </c>
      <c r="X166" s="3" t="str">
        <f>IFERROR(MID(VLOOKUP($B166,Seqs!$A:$B,2,0),Y166,1),"")</f>
        <v>A</v>
      </c>
      <c r="Y166" s="3">
        <v>133</v>
      </c>
      <c r="Z166" s="3" t="str">
        <f>IFERROR(MID(VLOOKUP($B166,Seqs!$A:$B,2,0),AA166,1),"")</f>
        <v>R</v>
      </c>
      <c r="AA166" s="3">
        <v>140</v>
      </c>
      <c r="AB166" s="3" t="str">
        <f>IFERROR(MID(VLOOKUP($B166,Seqs!$A:$B,2,0),AC166,1),"")</f>
        <v>T</v>
      </c>
      <c r="AC166" s="9">
        <v>141</v>
      </c>
      <c r="AD166" s="3" t="str">
        <f>IFERROR(MID(VLOOKUP($B166,Seqs!$A:$B,2,0),AE166,1),"")</f>
        <v>T</v>
      </c>
      <c r="AE166" s="3">
        <v>167</v>
      </c>
      <c r="AF166" s="3" t="str">
        <f>IFERROR(MID(VLOOKUP($B166,Seqs!$A:$B,2,0),AG166,1),"")</f>
        <v>C</v>
      </c>
      <c r="AG166" s="3">
        <v>178</v>
      </c>
      <c r="AH166" s="3" t="str">
        <f>IFERROR(MID(VLOOKUP($B166,Seqs!$A:$B,2,0),AI166,1),"")</f>
        <v>S</v>
      </c>
      <c r="AI166" s="3">
        <v>180</v>
      </c>
      <c r="AJ166" s="3" t="str">
        <f>IFERROR(MID(VLOOKUP($B166,Seqs!$A:$B,2,0),AK166,1),"")</f>
        <v>Q</v>
      </c>
      <c r="AK166" s="3">
        <v>186</v>
      </c>
      <c r="AL166" s="3" t="str">
        <f>IFERROR(MID(VLOOKUP($B166,Seqs!$A:$B,2,0),AM166,1),"")</f>
        <v>C</v>
      </c>
      <c r="AM166" s="3">
        <v>224</v>
      </c>
      <c r="AN166" s="3" t="str">
        <f>IFERROR(MID(VLOOKUP($B166,Seqs!$A:$B,2,0),AO166,1),"")</f>
        <v>K</v>
      </c>
      <c r="AO166" s="3">
        <v>228</v>
      </c>
      <c r="AP166" s="3" t="str">
        <f>IFERROR(MID(VLOOKUP($B166,Seqs!$A:$B,2,0),AQ166,1),"")</f>
        <v>G</v>
      </c>
      <c r="AQ166" s="3">
        <v>265</v>
      </c>
      <c r="AR166" s="3" t="str">
        <f>IFERROR(MID(VLOOKUP($B166,Seqs!$A:$B,2,0),AS166,1),"")</f>
        <v>N</v>
      </c>
      <c r="AS166" s="3">
        <v>268</v>
      </c>
      <c r="AT166" s="3" t="str">
        <f>IFERROR(MID(VLOOKUP($B166,Seqs!$A:$B,2,0),AU166,1),"")</f>
        <v>V</v>
      </c>
      <c r="AU166" s="3">
        <v>300</v>
      </c>
      <c r="AV166" s="3" t="str">
        <f>IFERROR(MID(VLOOKUP($B166,Seqs!$A:$B,2,0),AW166,1),"")</f>
        <v>G</v>
      </c>
      <c r="AW166" s="3">
        <v>301</v>
      </c>
      <c r="AX166" s="3" t="str">
        <f>IFERROR(MID(VLOOKUP($B166,Seqs!$A:$B,2,0),AY166,1),"")</f>
        <v>Q</v>
      </c>
      <c r="AY166" s="3">
        <v>313</v>
      </c>
      <c r="AZ166" s="77" t="str">
        <f>VLOOKUP(B166,Classification!A:D,2,0)</f>
        <v>A</v>
      </c>
      <c r="BA166" s="94" t="str">
        <f>VLOOKUP(B166,Classification!A:D,4,0)</f>
        <v>Chemokine</v>
      </c>
      <c r="BB166" s="27" t="b">
        <f t="shared" si="952"/>
        <v>1</v>
      </c>
      <c r="BC166" s="23">
        <f t="shared" si="729"/>
        <v>272</v>
      </c>
      <c r="BD166" s="34" t="s">
        <v>23</v>
      </c>
      <c r="BE166" s="3" t="s">
        <v>23</v>
      </c>
      <c r="BF166" s="118" t="s">
        <v>23</v>
      </c>
      <c r="BG166" s="49" t="s">
        <v>1372</v>
      </c>
      <c r="BH166" s="49" t="s">
        <v>1377</v>
      </c>
      <c r="BI166" s="1"/>
      <c r="BJ166" s="70" t="s">
        <v>1287</v>
      </c>
      <c r="BK166" s="57" t="s">
        <v>1287</v>
      </c>
      <c r="BL166" s="57" t="s">
        <v>1287</v>
      </c>
      <c r="BM166" s="57" t="s">
        <v>1287</v>
      </c>
      <c r="BN166" s="57" t="s">
        <v>1287</v>
      </c>
      <c r="BO166" s="57" t="s">
        <v>1287</v>
      </c>
      <c r="BP166" s="57" t="s">
        <v>1287</v>
      </c>
      <c r="BQ166" s="57" t="s">
        <v>1287</v>
      </c>
      <c r="BR166" s="57" t="s">
        <v>1287</v>
      </c>
      <c r="BS166" s="57" t="s">
        <v>1287</v>
      </c>
      <c r="BT166" s="57" t="s">
        <v>1287</v>
      </c>
      <c r="BU166" s="57" t="s">
        <v>1287</v>
      </c>
      <c r="BV166" s="70">
        <f t="shared" si="730"/>
        <v>22</v>
      </c>
      <c r="BW166" s="71">
        <f t="shared" si="731"/>
        <v>59</v>
      </c>
      <c r="BX166" s="72">
        <f t="shared" si="732"/>
        <v>63</v>
      </c>
      <c r="BY166" s="71">
        <f t="shared" si="733"/>
        <v>93</v>
      </c>
      <c r="BZ166" s="72">
        <f t="shared" si="734"/>
        <v>97</v>
      </c>
      <c r="CA166" s="71">
        <f t="shared" si="735"/>
        <v>133</v>
      </c>
      <c r="CB166" s="72">
        <f t="shared" si="736"/>
        <v>141</v>
      </c>
      <c r="CC166" s="71">
        <f t="shared" si="737"/>
        <v>178</v>
      </c>
      <c r="CD166" s="72">
        <f t="shared" si="738"/>
        <v>186</v>
      </c>
      <c r="CE166" s="71">
        <f t="shared" si="739"/>
        <v>228</v>
      </c>
      <c r="CF166" s="72">
        <f t="shared" si="740"/>
        <v>268</v>
      </c>
      <c r="CG166" s="71">
        <f t="shared" si="741"/>
        <v>301</v>
      </c>
      <c r="CH166" s="70">
        <f t="shared" si="742"/>
        <v>58</v>
      </c>
      <c r="CI166" s="71">
        <f t="shared" si="743"/>
        <v>62</v>
      </c>
      <c r="CJ166" s="72">
        <f t="shared" si="744"/>
        <v>92</v>
      </c>
      <c r="CK166" s="72">
        <f t="shared" si="745"/>
        <v>96</v>
      </c>
      <c r="CL166" s="72">
        <f t="shared" si="746"/>
        <v>132</v>
      </c>
      <c r="CM166" s="72">
        <f t="shared" si="747"/>
        <v>140</v>
      </c>
      <c r="CN166" s="72">
        <f t="shared" si="748"/>
        <v>167</v>
      </c>
      <c r="CO166" s="72">
        <f t="shared" si="749"/>
        <v>180</v>
      </c>
      <c r="CP166" s="72">
        <f t="shared" si="750"/>
        <v>224</v>
      </c>
      <c r="CQ166" s="72">
        <f t="shared" si="751"/>
        <v>265</v>
      </c>
      <c r="CR166" s="72">
        <f t="shared" si="752"/>
        <v>300</v>
      </c>
      <c r="CS166" s="72">
        <f t="shared" si="753"/>
        <v>313</v>
      </c>
      <c r="CT166" s="23">
        <f t="shared" si="754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30" x14ac:dyDescent="0.2">
      <c r="A167" s="3" t="str">
        <f t="shared" si="951"/>
        <v>ccr5_human_4MBS</v>
      </c>
      <c r="B167" s="3" t="s">
        <v>173</v>
      </c>
      <c r="C167" s="3" t="s">
        <v>74</v>
      </c>
      <c r="D167" s="3" t="str">
        <f>IFERROR(MID(VLOOKUP($B167,Seqs!$A:$B,2,0),E167,1),"")</f>
        <v>V</v>
      </c>
      <c r="E167" s="3">
        <v>25</v>
      </c>
      <c r="F167" s="3" t="str">
        <f>IFERROR(MID(VLOOKUP($B167,Seqs!$A:$B,2,0),G167,1),"")</f>
        <v>C</v>
      </c>
      <c r="G167" s="3">
        <v>58</v>
      </c>
      <c r="H167" s="3" t="str">
        <f>IFERROR(MID(VLOOKUP($B167,Seqs!$A:$B,2,0),I167,1),"")</f>
        <v/>
      </c>
      <c r="I167" s="23" t="s">
        <v>23</v>
      </c>
      <c r="J167" s="3" t="str">
        <f>IFERROR(MID(VLOOKUP($B167,Seqs!$A:$B,2,0),K167,1),"")</f>
        <v/>
      </c>
      <c r="K167" s="23" t="s">
        <v>23</v>
      </c>
      <c r="L167" s="3" t="str">
        <f>IFERROR(MID(VLOOKUP($B167,Seqs!$A:$B,2,0),M167,1),"")</f>
        <v>S</v>
      </c>
      <c r="M167" s="3">
        <v>63</v>
      </c>
      <c r="N167" s="3" t="str">
        <f>IFERROR(MID(VLOOKUP($B167,Seqs!$A:$B,2,0),O167,1),"")</f>
        <v>A</v>
      </c>
      <c r="O167" s="3">
        <v>92</v>
      </c>
      <c r="P167" s="3" t="str">
        <f>IFERROR(MID(VLOOKUP($B167,Seqs!$A:$B,2,0),Q167,1),"")</f>
        <v>Q</v>
      </c>
      <c r="Q167" s="3">
        <v>93</v>
      </c>
      <c r="R167" s="3" t="str">
        <f>IFERROR(MID(VLOOKUP($B167,Seqs!$A:$B,2,0),S167,1),"")</f>
        <v>F</v>
      </c>
      <c r="S167" s="3">
        <v>96</v>
      </c>
      <c r="T167" s="3" t="str">
        <f>IFERROR(MID(VLOOKUP($B167,Seqs!$A:$B,2,0),U167,1),"")</f>
        <v>G</v>
      </c>
      <c r="U167" s="3">
        <v>97</v>
      </c>
      <c r="V167" s="3" t="str">
        <f>IFERROR(MID(VLOOKUP($B167,Seqs!$A:$B,2,0),W167,1),"")</f>
        <v>H</v>
      </c>
      <c r="W167" s="3">
        <v>132</v>
      </c>
      <c r="X167" s="3" t="str">
        <f>IFERROR(MID(VLOOKUP($B167,Seqs!$A:$B,2,0),Y167,1),"")</f>
        <v>A</v>
      </c>
      <c r="Y167" s="3">
        <v>133</v>
      </c>
      <c r="Z167" s="3" t="str">
        <f>IFERROR(MID(VLOOKUP($B167,Seqs!$A:$B,2,0),AA167,1),"")</f>
        <v>R</v>
      </c>
      <c r="AA167" s="3">
        <v>140</v>
      </c>
      <c r="AB167" s="3" t="str">
        <f>IFERROR(MID(VLOOKUP($B167,Seqs!$A:$B,2,0),AC167,1),"")</f>
        <v>T</v>
      </c>
      <c r="AC167" s="9">
        <v>141</v>
      </c>
      <c r="AD167" s="3" t="str">
        <f>IFERROR(MID(VLOOKUP($B167,Seqs!$A:$B,2,0),AE167,1),"")</f>
        <v>T</v>
      </c>
      <c r="AE167" s="3">
        <v>167</v>
      </c>
      <c r="AF167" s="3" t="str">
        <f>IFERROR(MID(VLOOKUP($B167,Seqs!$A:$B,2,0),AG167,1),"")</f>
        <v>C</v>
      </c>
      <c r="AG167" s="3">
        <v>178</v>
      </c>
      <c r="AH167" s="3" t="str">
        <f>IFERROR(MID(VLOOKUP($B167,Seqs!$A:$B,2,0),AI167,1),"")</f>
        <v>S</v>
      </c>
      <c r="AI167" s="3">
        <v>180</v>
      </c>
      <c r="AJ167" s="3" t="str">
        <f>IFERROR(MID(VLOOKUP($B167,Seqs!$A:$B,2,0),AK167,1),"")</f>
        <v>Q</v>
      </c>
      <c r="AK167" s="3">
        <v>186</v>
      </c>
      <c r="AL167" s="3" t="str">
        <f>IFERROR(MID(VLOOKUP($B167,Seqs!$A:$B,2,0),AM167,1),"")</f>
        <v>R</v>
      </c>
      <c r="AM167" s="3">
        <v>223</v>
      </c>
      <c r="AN167" s="3" t="str">
        <f>IFERROR(MID(VLOOKUP($B167,Seqs!$A:$B,2,0),AO167,1),"")</f>
        <v>K</v>
      </c>
      <c r="AO167" s="3">
        <v>228</v>
      </c>
      <c r="AP167" s="3" t="str">
        <f>IFERROR(MID(VLOOKUP($B167,Seqs!$A:$B,2,0),AQ167,1),"")</f>
        <v>G</v>
      </c>
      <c r="AQ167" s="3">
        <v>265</v>
      </c>
      <c r="AR167" s="3" t="str">
        <f>IFERROR(MID(VLOOKUP($B167,Seqs!$A:$B,2,0),AS167,1),"")</f>
        <v>N</v>
      </c>
      <c r="AS167" s="3">
        <v>268</v>
      </c>
      <c r="AT167" s="3" t="str">
        <f>IFERROR(MID(VLOOKUP($B167,Seqs!$A:$B,2,0),AU167,1),"")</f>
        <v>V</v>
      </c>
      <c r="AU167" s="3">
        <v>300</v>
      </c>
      <c r="AV167" s="3" t="str">
        <f>IFERROR(MID(VLOOKUP($B167,Seqs!$A:$B,2,0),AW167,1),"")</f>
        <v>G</v>
      </c>
      <c r="AW167" s="3">
        <v>301</v>
      </c>
      <c r="AX167" s="3" t="str">
        <f>IFERROR(MID(VLOOKUP($B167,Seqs!$A:$B,2,0),AY167,1),"")</f>
        <v>Q</v>
      </c>
      <c r="AY167" s="3">
        <v>313</v>
      </c>
      <c r="AZ167" s="77" t="str">
        <f>VLOOKUP(B167,Classification!A:D,2,0)</f>
        <v>A</v>
      </c>
      <c r="BA167" s="94" t="str">
        <f>VLOOKUP(B167,Classification!A:D,4,0)</f>
        <v>Chemokine</v>
      </c>
      <c r="BB167" s="27" t="b">
        <f t="shared" si="952"/>
        <v>1</v>
      </c>
      <c r="BC167" s="23">
        <f t="shared" si="729"/>
        <v>265</v>
      </c>
      <c r="BD167" s="2" t="s">
        <v>23</v>
      </c>
      <c r="BE167" s="3" t="s">
        <v>1374</v>
      </c>
      <c r="BF167" s="118">
        <v>2.71</v>
      </c>
      <c r="BG167" s="49" t="s">
        <v>1377</v>
      </c>
      <c r="BH167" s="49" t="s">
        <v>1377</v>
      </c>
      <c r="BI167" s="1"/>
      <c r="BJ167" s="70" t="s">
        <v>1287</v>
      </c>
      <c r="BK167" s="57" t="s">
        <v>1287</v>
      </c>
      <c r="BL167" s="57" t="s">
        <v>1287</v>
      </c>
      <c r="BM167" s="57" t="s">
        <v>1287</v>
      </c>
      <c r="BN167" s="57" t="s">
        <v>1287</v>
      </c>
      <c r="BO167" s="57" t="s">
        <v>1287</v>
      </c>
      <c r="BP167" s="57" t="s">
        <v>1287</v>
      </c>
      <c r="BQ167" s="57" t="s">
        <v>1287</v>
      </c>
      <c r="BR167" s="57" t="s">
        <v>1287</v>
      </c>
      <c r="BS167" s="57" t="s">
        <v>1287</v>
      </c>
      <c r="BT167" s="57" t="s">
        <v>1287</v>
      </c>
      <c r="BU167" s="57" t="s">
        <v>1287</v>
      </c>
      <c r="BV167" s="70">
        <f t="shared" si="730"/>
        <v>25</v>
      </c>
      <c r="BW167" s="71" t="str">
        <f t="shared" si="731"/>
        <v>-</v>
      </c>
      <c r="BX167" s="72">
        <f t="shared" si="732"/>
        <v>63</v>
      </c>
      <c r="BY167" s="71">
        <f t="shared" si="733"/>
        <v>93</v>
      </c>
      <c r="BZ167" s="72">
        <f t="shared" si="734"/>
        <v>97</v>
      </c>
      <c r="CA167" s="71">
        <f t="shared" si="735"/>
        <v>133</v>
      </c>
      <c r="CB167" s="72">
        <f t="shared" si="736"/>
        <v>141</v>
      </c>
      <c r="CC167" s="71">
        <f t="shared" si="737"/>
        <v>178</v>
      </c>
      <c r="CD167" s="72">
        <f t="shared" si="738"/>
        <v>186</v>
      </c>
      <c r="CE167" s="71">
        <f t="shared" si="739"/>
        <v>228</v>
      </c>
      <c r="CF167" s="72">
        <f t="shared" si="740"/>
        <v>268</v>
      </c>
      <c r="CG167" s="71">
        <f t="shared" si="741"/>
        <v>301</v>
      </c>
      <c r="CH167" s="70">
        <f t="shared" si="742"/>
        <v>58</v>
      </c>
      <c r="CI167" s="71" t="str">
        <f t="shared" si="743"/>
        <v>-</v>
      </c>
      <c r="CJ167" s="72">
        <f t="shared" si="744"/>
        <v>92</v>
      </c>
      <c r="CK167" s="72">
        <f t="shared" si="745"/>
        <v>96</v>
      </c>
      <c r="CL167" s="72">
        <f t="shared" si="746"/>
        <v>132</v>
      </c>
      <c r="CM167" s="72">
        <f t="shared" si="747"/>
        <v>140</v>
      </c>
      <c r="CN167" s="72">
        <f t="shared" si="748"/>
        <v>167</v>
      </c>
      <c r="CO167" s="72">
        <f t="shared" si="749"/>
        <v>180</v>
      </c>
      <c r="CP167" s="72">
        <f t="shared" si="750"/>
        <v>223</v>
      </c>
      <c r="CQ167" s="72">
        <f t="shared" si="751"/>
        <v>265</v>
      </c>
      <c r="CR167" s="72">
        <f t="shared" si="752"/>
        <v>300</v>
      </c>
      <c r="CS167" s="72">
        <f t="shared" si="753"/>
        <v>313</v>
      </c>
      <c r="CT167" s="23" t="e">
        <f t="shared" si="754"/>
        <v>#VALUE!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30" x14ac:dyDescent="0.2">
      <c r="A168" s="3" t="str">
        <f>CONCATENATE(B168,"_",C168)</f>
        <v>ccr5_human_5UIW</v>
      </c>
      <c r="B168" s="3" t="s">
        <v>173</v>
      </c>
      <c r="C168" s="3" t="s">
        <v>1423</v>
      </c>
      <c r="D168" s="3" t="str">
        <f>IFERROR(MID(VLOOKUP($B168,Seqs!$A:$B,2,0),E168,1),"")</f>
        <v>K</v>
      </c>
      <c r="E168" s="3">
        <v>22</v>
      </c>
      <c r="F168" s="3" t="str">
        <f>IFERROR(MID(VLOOKUP($B168,Seqs!$A:$B,2,0),G168,1),"")</f>
        <v>C</v>
      </c>
      <c r="G168" s="3">
        <v>58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S</v>
      </c>
      <c r="M168" s="3">
        <v>63</v>
      </c>
      <c r="N168" s="3" t="str">
        <f>IFERROR(MID(VLOOKUP($B168,Seqs!$A:$B,2,0),O168,1),"")</f>
        <v>A</v>
      </c>
      <c r="O168" s="3">
        <v>92</v>
      </c>
      <c r="P168" s="3" t="str">
        <f>IFERROR(MID(VLOOKUP($B168,Seqs!$A:$B,2,0),Q168,1),"")</f>
        <v>Q</v>
      </c>
      <c r="Q168" s="3">
        <v>93</v>
      </c>
      <c r="R168" s="3" t="str">
        <f>IFERROR(MID(VLOOKUP($B168,Seqs!$A:$B,2,0),S168,1),"")</f>
        <v>F</v>
      </c>
      <c r="S168" s="3">
        <v>96</v>
      </c>
      <c r="T168" s="3" t="str">
        <f>IFERROR(MID(VLOOKUP($B168,Seqs!$A:$B,2,0),U168,1),"")</f>
        <v>G</v>
      </c>
      <c r="U168" s="3">
        <v>97</v>
      </c>
      <c r="V168" s="3" t="str">
        <f>IFERROR(MID(VLOOKUP($B168,Seqs!$A:$B,2,0),W168,1),"")</f>
        <v>H</v>
      </c>
      <c r="W168" s="3">
        <v>132</v>
      </c>
      <c r="X168" s="3" t="str">
        <f>IFERROR(MID(VLOOKUP($B168,Seqs!$A:$B,2,0),Y168,1),"")</f>
        <v>A</v>
      </c>
      <c r="Y168" s="3">
        <v>133</v>
      </c>
      <c r="Z168" s="3" t="str">
        <f>IFERROR(MID(VLOOKUP($B168,Seqs!$A:$B,2,0),AA168,1),"")</f>
        <v>R</v>
      </c>
      <c r="AA168" s="3">
        <v>140</v>
      </c>
      <c r="AB168" s="3" t="str">
        <f>IFERROR(MID(VLOOKUP($B168,Seqs!$A:$B,2,0),AC168,1),"")</f>
        <v>T</v>
      </c>
      <c r="AC168" s="3">
        <v>141</v>
      </c>
      <c r="AD168" s="3" t="str">
        <f>IFERROR(MID(VLOOKUP($B168,Seqs!$A:$B,2,0),AE168,1),"")</f>
        <v>T</v>
      </c>
      <c r="AE168" s="3">
        <v>167</v>
      </c>
      <c r="AF168" s="3" t="str">
        <f>IFERROR(MID(VLOOKUP($B168,Seqs!$A:$B,2,0),AG168,1),"")</f>
        <v>C</v>
      </c>
      <c r="AG168" s="3">
        <v>178</v>
      </c>
      <c r="AH168" s="3" t="str">
        <f>IFERROR(MID(VLOOKUP($B168,Seqs!$A:$B,2,0),AI168,1),"")</f>
        <v>S</v>
      </c>
      <c r="AI168" s="3">
        <v>180</v>
      </c>
      <c r="AJ168" s="3" t="str">
        <f>IFERROR(MID(VLOOKUP($B168,Seqs!$A:$B,2,0),AK168,1),"")</f>
        <v>Q</v>
      </c>
      <c r="AK168" s="3">
        <v>186</v>
      </c>
      <c r="AL168" s="3" t="str">
        <f>IFERROR(MID(VLOOKUP($B168,Seqs!$A:$B,2,0),AM168,1),"")</f>
        <v>R</v>
      </c>
      <c r="AM168" s="3">
        <v>223</v>
      </c>
      <c r="AN168" s="3" t="str">
        <f>IFERROR(MID(VLOOKUP($B168,Seqs!$A:$B,2,0),AO168,1),"")</f>
        <v>E</v>
      </c>
      <c r="AO168" s="3">
        <v>227</v>
      </c>
      <c r="AP168" s="3" t="str">
        <f>IFERROR(MID(VLOOKUP($B168,Seqs!$A:$B,2,0),AQ168,1),"")</f>
        <v>Q</v>
      </c>
      <c r="AQ168" s="3">
        <v>261</v>
      </c>
      <c r="AR168" s="3" t="str">
        <f>IFERROR(MID(VLOOKUP($B168,Seqs!$A:$B,2,0),AS168,1),"")</f>
        <v>N</v>
      </c>
      <c r="AS168" s="3">
        <v>268</v>
      </c>
      <c r="AT168" s="3" t="str">
        <f>IFERROR(MID(VLOOKUP($B168,Seqs!$A:$B,2,0),AU168,1),"")</f>
        <v>V</v>
      </c>
      <c r="AU168" s="3">
        <v>300</v>
      </c>
      <c r="AV168" s="3" t="str">
        <f>IFERROR(MID(VLOOKUP($B168,Seqs!$A:$B,2,0),AW168,1),"")</f>
        <v>G</v>
      </c>
      <c r="AW168" s="3">
        <v>301</v>
      </c>
      <c r="AX168" s="3" t="str">
        <f>IFERROR(MID(VLOOKUP($B168,Seqs!$A:$B,2,0),AY168,1),"")</f>
        <v>I</v>
      </c>
      <c r="AY168" s="3">
        <v>316</v>
      </c>
      <c r="AZ168" s="77" t="str">
        <f>VLOOKUP(B168,Classification!A:D,2,0)</f>
        <v>A</v>
      </c>
      <c r="BA168" s="94" t="str">
        <f>VLOOKUP(B168,Classification!A:D,4,0)</f>
        <v>Chemokine</v>
      </c>
      <c r="BB168" s="27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>_xlfn.AGGREGATE(9,6,CH168:CS168)-_xlfn.AGGREGATE(9,6,BV168:CG168)+12</f>
        <v>268</v>
      </c>
      <c r="BD168" s="2" t="s">
        <v>1376</v>
      </c>
      <c r="BE168" s="3" t="s">
        <v>1374</v>
      </c>
      <c r="BF168" s="118">
        <v>2.2000000000000002</v>
      </c>
      <c r="BG168" s="49" t="s">
        <v>1377</v>
      </c>
      <c r="BH168" s="49" t="s">
        <v>1377</v>
      </c>
      <c r="BI168" s="1"/>
      <c r="BJ168" s="70" t="s">
        <v>1287</v>
      </c>
      <c r="BK168" s="57" t="s">
        <v>1287</v>
      </c>
      <c r="BL168" s="57" t="s">
        <v>1287</v>
      </c>
      <c r="BM168" s="57" t="s">
        <v>1287</v>
      </c>
      <c r="BN168" s="57" t="s">
        <v>1287</v>
      </c>
      <c r="BO168" s="57" t="s">
        <v>1287</v>
      </c>
      <c r="BP168" s="57" t="s">
        <v>1287</v>
      </c>
      <c r="BQ168" s="57" t="s">
        <v>1287</v>
      </c>
      <c r="BR168" s="57" t="s">
        <v>1287</v>
      </c>
      <c r="BS168" s="57" t="s">
        <v>1287</v>
      </c>
      <c r="BT168" s="57" t="s">
        <v>1287</v>
      </c>
      <c r="BU168" s="57" t="s">
        <v>1287</v>
      </c>
      <c r="BV168" s="70">
        <f>E168</f>
        <v>22</v>
      </c>
      <c r="BW168" s="71" t="str">
        <f>I168</f>
        <v>-</v>
      </c>
      <c r="BX168" s="72">
        <f>M168</f>
        <v>63</v>
      </c>
      <c r="BY168" s="71">
        <f>Q168</f>
        <v>93</v>
      </c>
      <c r="BZ168" s="72">
        <f>U168</f>
        <v>97</v>
      </c>
      <c r="CA168" s="71">
        <f>Y168</f>
        <v>133</v>
      </c>
      <c r="CB168" s="72">
        <f>AC168</f>
        <v>141</v>
      </c>
      <c r="CC168" s="71">
        <f>AG168</f>
        <v>178</v>
      </c>
      <c r="CD168" s="72">
        <f>AK168</f>
        <v>186</v>
      </c>
      <c r="CE168" s="71">
        <f>AO168</f>
        <v>227</v>
      </c>
      <c r="CF168" s="72">
        <f>AS168</f>
        <v>268</v>
      </c>
      <c r="CG168" s="71">
        <f>AW168</f>
        <v>301</v>
      </c>
      <c r="CH168" s="70">
        <f>G168</f>
        <v>58</v>
      </c>
      <c r="CI168" s="71" t="str">
        <f>K168</f>
        <v>-</v>
      </c>
      <c r="CJ168" s="72">
        <f>O168</f>
        <v>92</v>
      </c>
      <c r="CK168" s="72">
        <f>S168</f>
        <v>96</v>
      </c>
      <c r="CL168" s="72">
        <f>W168</f>
        <v>132</v>
      </c>
      <c r="CM168" s="72">
        <f>AA168</f>
        <v>140</v>
      </c>
      <c r="CN168" s="72">
        <f>AE168</f>
        <v>167</v>
      </c>
      <c r="CO168" s="72">
        <f>AI168</f>
        <v>180</v>
      </c>
      <c r="CP168" s="72">
        <f>AM168</f>
        <v>223</v>
      </c>
      <c r="CQ168" s="72">
        <f>AQ168</f>
        <v>261</v>
      </c>
      <c r="CR168" s="72">
        <f>AU168</f>
        <v>300</v>
      </c>
      <c r="CS168" s="72">
        <f>AY168</f>
        <v>316</v>
      </c>
      <c r="CT168" s="23" t="e">
        <f>M168-K168</f>
        <v>#VALUE!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30" x14ac:dyDescent="0.2">
      <c r="A169" s="3" t="str">
        <f>CONCATENATE(B169,"_",C169)</f>
        <v>ccr5_human_6AKX</v>
      </c>
      <c r="B169" s="3" t="s">
        <v>173</v>
      </c>
      <c r="C169" s="3" t="s">
        <v>1524</v>
      </c>
      <c r="D169" s="3" t="str">
        <f>IFERROR(MID(VLOOKUP($B169,Seqs!$A:$B,2,0),E169,1),"")</f>
        <v>V</v>
      </c>
      <c r="E169" s="3">
        <v>25</v>
      </c>
      <c r="F169" s="3" t="str">
        <f>IFERROR(MID(VLOOKUP($B169,Seqs!$A:$B,2,0),G169,1),"")</f>
        <v>C</v>
      </c>
      <c r="G169" s="3">
        <v>58</v>
      </c>
      <c r="H169" s="3" t="str">
        <f>IFERROR(MID(VLOOKUP($B169,Seqs!$A:$B,2,0),I169,1),"")</f>
        <v/>
      </c>
      <c r="I169" s="23" t="s">
        <v>23</v>
      </c>
      <c r="J169" s="3" t="str">
        <f>IFERROR(MID(VLOOKUP($B169,Seqs!$A:$B,2,0),K169,1),"")</f>
        <v/>
      </c>
      <c r="K169" s="23" t="s">
        <v>23</v>
      </c>
      <c r="L169" s="3" t="str">
        <f>IFERROR(MID(VLOOKUP($B169,Seqs!$A:$B,2,0),M169,1),"")</f>
        <v>S</v>
      </c>
      <c r="M169" s="3">
        <v>63</v>
      </c>
      <c r="N169" s="3" t="str">
        <f>IFERROR(MID(VLOOKUP($B169,Seqs!$A:$B,2,0),O169,1),"")</f>
        <v>A</v>
      </c>
      <c r="O169" s="3">
        <v>92</v>
      </c>
      <c r="P169" s="3" t="str">
        <f>IFERROR(MID(VLOOKUP($B169,Seqs!$A:$B,2,0),Q169,1),"")</f>
        <v>Q</v>
      </c>
      <c r="Q169" s="3">
        <v>93</v>
      </c>
      <c r="R169" s="3" t="str">
        <f>IFERROR(MID(VLOOKUP($B169,Seqs!$A:$B,2,0),S169,1),"")</f>
        <v>F</v>
      </c>
      <c r="S169" s="3">
        <v>96</v>
      </c>
      <c r="T169" s="3" t="str">
        <f>IFERROR(MID(VLOOKUP($B169,Seqs!$A:$B,2,0),U169,1),"")</f>
        <v>G</v>
      </c>
      <c r="U169" s="3">
        <v>97</v>
      </c>
      <c r="V169" s="3" t="str">
        <f>IFERROR(MID(VLOOKUP($B169,Seqs!$A:$B,2,0),W169,1),"")</f>
        <v>H</v>
      </c>
      <c r="W169" s="3">
        <v>132</v>
      </c>
      <c r="X169" s="3" t="str">
        <f>IFERROR(MID(VLOOKUP($B169,Seqs!$A:$B,2,0),Y169,1),"")</f>
        <v>A</v>
      </c>
      <c r="Y169" s="3">
        <v>133</v>
      </c>
      <c r="Z169" s="3" t="str">
        <f>IFERROR(MID(VLOOKUP($B169,Seqs!$A:$B,2,0),AA169,1),"")</f>
        <v>R</v>
      </c>
      <c r="AA169" s="3">
        <v>140</v>
      </c>
      <c r="AB169" s="3" t="str">
        <f>IFERROR(MID(VLOOKUP($B169,Seqs!$A:$B,2,0),AC169,1),"")</f>
        <v>T</v>
      </c>
      <c r="AC169" s="3">
        <v>141</v>
      </c>
      <c r="AD169" s="3" t="str">
        <f>IFERROR(MID(VLOOKUP($B169,Seqs!$A:$B,2,0),AE169,1),"")</f>
        <v>T</v>
      </c>
      <c r="AE169" s="3">
        <v>167</v>
      </c>
      <c r="AF169" s="3" t="str">
        <f>IFERROR(MID(VLOOKUP($B169,Seqs!$A:$B,2,0),AG169,1),"")</f>
        <v>C</v>
      </c>
      <c r="AG169" s="3">
        <v>178</v>
      </c>
      <c r="AH169" s="3" t="str">
        <f>IFERROR(MID(VLOOKUP($B169,Seqs!$A:$B,2,0),AI169,1),"")</f>
        <v>S</v>
      </c>
      <c r="AI169" s="3">
        <v>180</v>
      </c>
      <c r="AJ169" s="3" t="str">
        <f>IFERROR(MID(VLOOKUP($B169,Seqs!$A:$B,2,0),AK169,1),"")</f>
        <v>Q</v>
      </c>
      <c r="AK169" s="3">
        <v>186</v>
      </c>
      <c r="AL169" s="3" t="str">
        <f>IFERROR(MID(VLOOKUP($B169,Seqs!$A:$B,2,0),AM169,1),"")</f>
        <v>R</v>
      </c>
      <c r="AM169" s="3">
        <v>223</v>
      </c>
      <c r="AN169" s="3" t="str">
        <f>IFERROR(MID(VLOOKUP($B169,Seqs!$A:$B,2,0),AO169,1),"")</f>
        <v>K</v>
      </c>
      <c r="AO169" s="3">
        <v>228</v>
      </c>
      <c r="AP169" s="3" t="str">
        <f>IFERROR(MID(VLOOKUP($B169,Seqs!$A:$B,2,0),AQ169,1),"")</f>
        <v>G</v>
      </c>
      <c r="AQ169" s="3">
        <v>265</v>
      </c>
      <c r="AR169" s="3" t="str">
        <f>IFERROR(MID(VLOOKUP($B169,Seqs!$A:$B,2,0),AS169,1),"")</f>
        <v>N</v>
      </c>
      <c r="AS169" s="3">
        <v>268</v>
      </c>
      <c r="AT169" s="3" t="str">
        <f>IFERROR(MID(VLOOKUP($B169,Seqs!$A:$B,2,0),AU169,1),"")</f>
        <v>V</v>
      </c>
      <c r="AU169" s="3">
        <v>300</v>
      </c>
      <c r="AV169" s="3" t="str">
        <f>IFERROR(MID(VLOOKUP($B169,Seqs!$A:$B,2,0),AW169,1),"")</f>
        <v>G</v>
      </c>
      <c r="AW169" s="3">
        <v>301</v>
      </c>
      <c r="AX169" s="3" t="str">
        <f>IFERROR(MID(VLOOKUP($B169,Seqs!$A:$B,2,0),AY169,1),"")</f>
        <v>Q</v>
      </c>
      <c r="AY169" s="3">
        <v>313</v>
      </c>
      <c r="AZ169" s="77" t="str">
        <f>VLOOKUP(B169,Classification!A:D,2,0)</f>
        <v>A</v>
      </c>
      <c r="BA169" s="94" t="str">
        <f>VLOOKUP(B169,Classification!A:D,4,0)</f>
        <v>Chemokine</v>
      </c>
      <c r="BB169" s="27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23">
        <f>_xlfn.AGGREGATE(9,6,CH169:CS169)-_xlfn.AGGREGATE(9,6,BV169:CG169)+12</f>
        <v>265</v>
      </c>
      <c r="BD169" s="2" t="s">
        <v>23</v>
      </c>
      <c r="BE169" s="3" t="s">
        <v>1374</v>
      </c>
      <c r="BF169" s="118">
        <v>2.8</v>
      </c>
      <c r="BG169" s="49" t="s">
        <v>1281</v>
      </c>
      <c r="BH169" s="49" t="s">
        <v>1281</v>
      </c>
      <c r="BI169" s="1"/>
      <c r="BJ169" s="70" t="s">
        <v>1287</v>
      </c>
      <c r="BK169" s="57" t="s">
        <v>1287</v>
      </c>
      <c r="BL169" s="57" t="s">
        <v>1287</v>
      </c>
      <c r="BM169" s="57" t="s">
        <v>1287</v>
      </c>
      <c r="BN169" s="57" t="s">
        <v>1287</v>
      </c>
      <c r="BO169" s="57" t="s">
        <v>1287</v>
      </c>
      <c r="BP169" s="57" t="s">
        <v>1287</v>
      </c>
      <c r="BQ169" s="57" t="s">
        <v>1287</v>
      </c>
      <c r="BR169" s="57" t="s">
        <v>1287</v>
      </c>
      <c r="BS169" s="57" t="s">
        <v>1287</v>
      </c>
      <c r="BT169" s="57" t="s">
        <v>1287</v>
      </c>
      <c r="BU169" s="57" t="s">
        <v>1287</v>
      </c>
      <c r="BV169" s="70">
        <f>E169</f>
        <v>25</v>
      </c>
      <c r="BW169" s="71" t="str">
        <f>I169</f>
        <v>-</v>
      </c>
      <c r="BX169" s="72">
        <f>M169</f>
        <v>63</v>
      </c>
      <c r="BY169" s="71">
        <f>Q169</f>
        <v>93</v>
      </c>
      <c r="BZ169" s="72">
        <f>U169</f>
        <v>97</v>
      </c>
      <c r="CA169" s="71">
        <f>Y169</f>
        <v>133</v>
      </c>
      <c r="CB169" s="72">
        <f>AC169</f>
        <v>141</v>
      </c>
      <c r="CC169" s="71">
        <f>AG169</f>
        <v>178</v>
      </c>
      <c r="CD169" s="72">
        <f>AK169</f>
        <v>186</v>
      </c>
      <c r="CE169" s="71">
        <f>AO169</f>
        <v>228</v>
      </c>
      <c r="CF169" s="72">
        <f>AS169</f>
        <v>268</v>
      </c>
      <c r="CG169" s="71">
        <f>AW169</f>
        <v>301</v>
      </c>
      <c r="CH169" s="70">
        <f>G169</f>
        <v>58</v>
      </c>
      <c r="CI169" s="71" t="str">
        <f>K169</f>
        <v>-</v>
      </c>
      <c r="CJ169" s="72">
        <f>O169</f>
        <v>92</v>
      </c>
      <c r="CK169" s="72">
        <f>S169</f>
        <v>96</v>
      </c>
      <c r="CL169" s="72">
        <f>W169</f>
        <v>132</v>
      </c>
      <c r="CM169" s="72">
        <f>AA169</f>
        <v>140</v>
      </c>
      <c r="CN169" s="72">
        <f>AE169</f>
        <v>167</v>
      </c>
      <c r="CO169" s="72">
        <f>AI169</f>
        <v>180</v>
      </c>
      <c r="CP169" s="72">
        <f>AM169</f>
        <v>223</v>
      </c>
      <c r="CQ169" s="72">
        <f>AQ169</f>
        <v>265</v>
      </c>
      <c r="CR169" s="72">
        <f>AU169</f>
        <v>300</v>
      </c>
      <c r="CS169" s="72">
        <f>AY169</f>
        <v>313</v>
      </c>
      <c r="CT169" s="23" t="e">
        <f>M169-K169</f>
        <v>#VALUE!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30" x14ac:dyDescent="0.2">
      <c r="A170" s="3" t="str">
        <f>CONCATENATE(B170,"_",C170)</f>
        <v>ccr5_human_6AKY</v>
      </c>
      <c r="B170" s="3" t="s">
        <v>173</v>
      </c>
      <c r="C170" s="3" t="s">
        <v>1525</v>
      </c>
      <c r="D170" s="3" t="str">
        <f>IFERROR(MID(VLOOKUP($B170,Seqs!$A:$B,2,0),E170,1),"")</f>
        <v>V</v>
      </c>
      <c r="E170" s="3">
        <v>25</v>
      </c>
      <c r="F170" s="3" t="str">
        <f>IFERROR(MID(VLOOKUP($B170,Seqs!$A:$B,2,0),G170,1),"")</f>
        <v>C</v>
      </c>
      <c r="G170" s="3">
        <v>58</v>
      </c>
      <c r="H170" s="3" t="str">
        <f>IFERROR(MID(VLOOKUP($B170,Seqs!$A:$B,2,0),I170,1),"")</f>
        <v/>
      </c>
      <c r="I170" s="23" t="s">
        <v>23</v>
      </c>
      <c r="J170" s="3" t="str">
        <f>IFERROR(MID(VLOOKUP($B170,Seqs!$A:$B,2,0),K170,1),"")</f>
        <v/>
      </c>
      <c r="K170" s="23" t="s">
        <v>23</v>
      </c>
      <c r="L170" s="3" t="str">
        <f>IFERROR(MID(VLOOKUP($B170,Seqs!$A:$B,2,0),M170,1),"")</f>
        <v>S</v>
      </c>
      <c r="M170" s="3">
        <v>63</v>
      </c>
      <c r="N170" s="3" t="str">
        <f>IFERROR(MID(VLOOKUP($B170,Seqs!$A:$B,2,0),O170,1),"")</f>
        <v>A</v>
      </c>
      <c r="O170" s="3">
        <v>92</v>
      </c>
      <c r="P170" s="3" t="str">
        <f>IFERROR(MID(VLOOKUP($B170,Seqs!$A:$B,2,0),Q170,1),"")</f>
        <v>Q</v>
      </c>
      <c r="Q170" s="3">
        <v>93</v>
      </c>
      <c r="R170" s="3" t="str">
        <f>IFERROR(MID(VLOOKUP($B170,Seqs!$A:$B,2,0),S170,1),"")</f>
        <v>F</v>
      </c>
      <c r="S170" s="3">
        <v>96</v>
      </c>
      <c r="T170" s="3" t="str">
        <f>IFERROR(MID(VLOOKUP($B170,Seqs!$A:$B,2,0),U170,1),"")</f>
        <v>G</v>
      </c>
      <c r="U170" s="3">
        <v>97</v>
      </c>
      <c r="V170" s="3" t="str">
        <f>IFERROR(MID(VLOOKUP($B170,Seqs!$A:$B,2,0),W170,1),"")</f>
        <v>H</v>
      </c>
      <c r="W170" s="3">
        <v>132</v>
      </c>
      <c r="X170" s="3" t="str">
        <f>IFERROR(MID(VLOOKUP($B170,Seqs!$A:$B,2,0),Y170,1),"")</f>
        <v>A</v>
      </c>
      <c r="Y170" s="3">
        <v>133</v>
      </c>
      <c r="Z170" s="3" t="str">
        <f>IFERROR(MID(VLOOKUP($B170,Seqs!$A:$B,2,0),AA170,1),"")</f>
        <v>R</v>
      </c>
      <c r="AA170" s="3">
        <v>140</v>
      </c>
      <c r="AB170" s="3" t="str">
        <f>IFERROR(MID(VLOOKUP($B170,Seqs!$A:$B,2,0),AC170,1),"")</f>
        <v>T</v>
      </c>
      <c r="AC170" s="3">
        <v>141</v>
      </c>
      <c r="AD170" s="3" t="str">
        <f>IFERROR(MID(VLOOKUP($B170,Seqs!$A:$B,2,0),AE170,1),"")</f>
        <v>T</v>
      </c>
      <c r="AE170" s="3">
        <v>167</v>
      </c>
      <c r="AF170" s="3" t="str">
        <f>IFERROR(MID(VLOOKUP($B170,Seqs!$A:$B,2,0),AG170,1),"")</f>
        <v>C</v>
      </c>
      <c r="AG170" s="3">
        <v>178</v>
      </c>
      <c r="AH170" s="3" t="str">
        <f>IFERROR(MID(VLOOKUP($B170,Seqs!$A:$B,2,0),AI170,1),"")</f>
        <v>S</v>
      </c>
      <c r="AI170" s="3">
        <v>180</v>
      </c>
      <c r="AJ170" s="3" t="str">
        <f>IFERROR(MID(VLOOKUP($B170,Seqs!$A:$B,2,0),AK170,1),"")</f>
        <v>Q</v>
      </c>
      <c r="AK170" s="3">
        <v>186</v>
      </c>
      <c r="AL170" s="3" t="str">
        <f>IFERROR(MID(VLOOKUP($B170,Seqs!$A:$B,2,0),AM170,1),"")</f>
        <v>R</v>
      </c>
      <c r="AM170" s="3">
        <v>223</v>
      </c>
      <c r="AN170" s="3" t="str">
        <f>IFERROR(MID(VLOOKUP($B170,Seqs!$A:$B,2,0),AO170,1),"")</f>
        <v>H</v>
      </c>
      <c r="AO170" s="3">
        <v>231</v>
      </c>
      <c r="AP170" s="3" t="str">
        <f>IFERROR(MID(VLOOKUP($B170,Seqs!$A:$B,2,0),AQ170,1),"")</f>
        <v>F</v>
      </c>
      <c r="AQ170" s="3">
        <v>260</v>
      </c>
      <c r="AR170" s="3" t="str">
        <f>IFERROR(MID(VLOOKUP($B170,Seqs!$A:$B,2,0),AS170,1),"")</f>
        <v>N</v>
      </c>
      <c r="AS170" s="3">
        <v>268</v>
      </c>
      <c r="AT170" s="3" t="str">
        <f>IFERROR(MID(VLOOKUP($B170,Seqs!$A:$B,2,0),AU170,1),"")</f>
        <v>V</v>
      </c>
      <c r="AU170" s="3">
        <v>300</v>
      </c>
      <c r="AV170" s="3" t="str">
        <f>IFERROR(MID(VLOOKUP($B170,Seqs!$A:$B,2,0),AW170,1),"")</f>
        <v>G</v>
      </c>
      <c r="AW170" s="3">
        <v>301</v>
      </c>
      <c r="AX170" s="3" t="str">
        <f>IFERROR(MID(VLOOKUP($B170,Seqs!$A:$B,2,0),AY170,1),"")</f>
        <v>L</v>
      </c>
      <c r="AY170" s="3">
        <v>308</v>
      </c>
      <c r="AZ170" s="77" t="str">
        <f>VLOOKUP(B170,Classification!A:D,2,0)</f>
        <v>A</v>
      </c>
      <c r="BA170" s="94" t="str">
        <f>VLOOKUP(B170,Classification!A:D,4,0)</f>
        <v>Chemokine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252</v>
      </c>
      <c r="BD170" s="2" t="s">
        <v>23</v>
      </c>
      <c r="BE170" s="3" t="s">
        <v>1374</v>
      </c>
      <c r="BF170" s="118">
        <v>2.8</v>
      </c>
      <c r="BG170" s="49" t="s">
        <v>1281</v>
      </c>
      <c r="BH170" s="49" t="s">
        <v>1281</v>
      </c>
      <c r="BI170" s="1"/>
      <c r="BJ170" s="70" t="s">
        <v>1287</v>
      </c>
      <c r="BK170" s="57" t="s">
        <v>1287</v>
      </c>
      <c r="BL170" s="57" t="s">
        <v>1287</v>
      </c>
      <c r="BM170" s="57" t="s">
        <v>1287</v>
      </c>
      <c r="BN170" s="57" t="s">
        <v>1287</v>
      </c>
      <c r="BO170" s="57" t="s">
        <v>1287</v>
      </c>
      <c r="BP170" s="57" t="s">
        <v>1287</v>
      </c>
      <c r="BQ170" s="57" t="s">
        <v>1287</v>
      </c>
      <c r="BR170" s="57" t="s">
        <v>1287</v>
      </c>
      <c r="BS170" s="57" t="s">
        <v>1287</v>
      </c>
      <c r="BT170" s="57" t="s">
        <v>1287</v>
      </c>
      <c r="BU170" s="57" t="s">
        <v>1287</v>
      </c>
      <c r="BV170" s="70">
        <f>E170</f>
        <v>25</v>
      </c>
      <c r="BW170" s="71" t="str">
        <f>I170</f>
        <v>-</v>
      </c>
      <c r="BX170" s="72">
        <f>M170</f>
        <v>63</v>
      </c>
      <c r="BY170" s="71">
        <f>Q170</f>
        <v>93</v>
      </c>
      <c r="BZ170" s="72">
        <f>U170</f>
        <v>97</v>
      </c>
      <c r="CA170" s="71">
        <f>Y170</f>
        <v>133</v>
      </c>
      <c r="CB170" s="72">
        <f>AC170</f>
        <v>141</v>
      </c>
      <c r="CC170" s="71">
        <f>AG170</f>
        <v>178</v>
      </c>
      <c r="CD170" s="72">
        <f>AK170</f>
        <v>186</v>
      </c>
      <c r="CE170" s="71">
        <f>AO170</f>
        <v>231</v>
      </c>
      <c r="CF170" s="72">
        <f>AS170</f>
        <v>268</v>
      </c>
      <c r="CG170" s="71">
        <f>AW170</f>
        <v>301</v>
      </c>
      <c r="CH170" s="70">
        <f>G170</f>
        <v>58</v>
      </c>
      <c r="CI170" s="71" t="str">
        <f>K170</f>
        <v>-</v>
      </c>
      <c r="CJ170" s="72">
        <f>O170</f>
        <v>92</v>
      </c>
      <c r="CK170" s="72">
        <f>S170</f>
        <v>96</v>
      </c>
      <c r="CL170" s="72">
        <f>W170</f>
        <v>132</v>
      </c>
      <c r="CM170" s="72">
        <f>AA170</f>
        <v>140</v>
      </c>
      <c r="CN170" s="72">
        <f>AE170</f>
        <v>167</v>
      </c>
      <c r="CO170" s="72">
        <f>AI170</f>
        <v>180</v>
      </c>
      <c r="CP170" s="72">
        <f>AM170</f>
        <v>223</v>
      </c>
      <c r="CQ170" s="72">
        <f>AQ170</f>
        <v>260</v>
      </c>
      <c r="CR170" s="72">
        <f>AU170</f>
        <v>300</v>
      </c>
      <c r="CS170" s="72">
        <f>AY170</f>
        <v>308</v>
      </c>
      <c r="CT170" s="23" t="e">
        <f>M170-K170</f>
        <v>#VALUE!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30" x14ac:dyDescent="0.2">
      <c r="A171" s="3" t="str">
        <f>CONCATENATE(B171,"_",C171)</f>
        <v>ccr5_human_6MEO</v>
      </c>
      <c r="B171" s="3" t="s">
        <v>173</v>
      </c>
      <c r="C171" s="3" t="s">
        <v>1541</v>
      </c>
      <c r="D171" s="3" t="str">
        <f>IFERROR(MID(VLOOKUP($B171,Seqs!$A:$B,2,0),E171,1),"")</f>
        <v>K</v>
      </c>
      <c r="E171" s="3">
        <v>26</v>
      </c>
      <c r="F171" s="3" t="str">
        <f>IFERROR(MID(VLOOKUP($B171,Seqs!$A:$B,2,0),G171,1),"")</f>
        <v>R</v>
      </c>
      <c r="G171" s="3">
        <v>60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S</v>
      </c>
      <c r="M171" s="3">
        <v>63</v>
      </c>
      <c r="N171" s="3" t="str">
        <f>IFERROR(MID(VLOOKUP($B171,Seqs!$A:$B,2,0),O171,1),"")</f>
        <v>A</v>
      </c>
      <c r="O171" s="3">
        <v>90</v>
      </c>
      <c r="P171" s="3" t="str">
        <f>IFERROR(MID(VLOOKUP($B171,Seqs!$A:$B,2,0),Q171,1),"")</f>
        <v>Q</v>
      </c>
      <c r="Q171" s="3">
        <v>93</v>
      </c>
      <c r="R171" s="3" t="str">
        <f>IFERROR(MID(VLOOKUP($B171,Seqs!$A:$B,2,0),S171,1),"")</f>
        <v>F</v>
      </c>
      <c r="S171" s="3">
        <v>96</v>
      </c>
      <c r="T171" s="3" t="str">
        <f>IFERROR(MID(VLOOKUP($B171,Seqs!$A:$B,2,0),U171,1),"")</f>
        <v>M</v>
      </c>
      <c r="U171" s="3">
        <v>100</v>
      </c>
      <c r="V171" s="3" t="str">
        <f>IFERROR(MID(VLOOKUP($B171,Seqs!$A:$B,2,0),W171,1),"")</f>
        <v>H</v>
      </c>
      <c r="W171" s="3">
        <v>132</v>
      </c>
      <c r="X171" s="3" t="str">
        <f>IFERROR(MID(VLOOKUP($B171,Seqs!$A:$B,2,0),Y171,1),"")</f>
        <v>A</v>
      </c>
      <c r="Y171" s="3">
        <v>133</v>
      </c>
      <c r="Z171" s="3" t="str">
        <f>IFERROR(MID(VLOOKUP($B171,Seqs!$A:$B,2,0),AA171,1),"")</f>
        <v>R</v>
      </c>
      <c r="AA171" s="3">
        <v>140</v>
      </c>
      <c r="AB171" s="3" t="str">
        <f>IFERROR(MID(VLOOKUP($B171,Seqs!$A:$B,2,0),AC171,1),"")</f>
        <v>T</v>
      </c>
      <c r="AC171" s="3">
        <v>141</v>
      </c>
      <c r="AD171" s="3" t="str">
        <f>IFERROR(MID(VLOOKUP($B171,Seqs!$A:$B,2,0),AE171,1),"")</f>
        <v>I</v>
      </c>
      <c r="AE171" s="3">
        <v>165</v>
      </c>
      <c r="AF171" s="3" t="str">
        <f>IFERROR(MID(VLOOKUP($B171,Seqs!$A:$B,2,0),AG171,1),"")</f>
        <v>C</v>
      </c>
      <c r="AG171" s="3">
        <v>178</v>
      </c>
      <c r="AH171" s="3" t="str">
        <f>IFERROR(MID(VLOOKUP($B171,Seqs!$A:$B,2,0),AI171,1),"")</f>
        <v>S</v>
      </c>
      <c r="AI171" s="3">
        <v>180</v>
      </c>
      <c r="AJ171" s="3" t="str">
        <f>IFERROR(MID(VLOOKUP($B171,Seqs!$A:$B,2,0),AK171,1),"")</f>
        <v>Q</v>
      </c>
      <c r="AK171" s="3">
        <v>186</v>
      </c>
      <c r="AL171" s="3" t="str">
        <f>IFERROR(MID(VLOOKUP($B171,Seqs!$A:$B,2,0),AM171,1),"")</f>
        <v>C</v>
      </c>
      <c r="AM171" s="3">
        <v>224</v>
      </c>
      <c r="AN171" s="3" t="str">
        <f>IFERROR(MID(VLOOKUP($B171,Seqs!$A:$B,2,0),AO171,1),"")</f>
        <v>K</v>
      </c>
      <c r="AO171" s="3">
        <v>228</v>
      </c>
      <c r="AP171" s="3" t="str">
        <f>IFERROR(MID(VLOOKUP($B171,Seqs!$A:$B,2,0),AQ171,1),"")</f>
        <v>F</v>
      </c>
      <c r="AQ171" s="3">
        <v>260</v>
      </c>
      <c r="AR171" s="3" t="str">
        <f>IFERROR(MID(VLOOKUP($B171,Seqs!$A:$B,2,0),AS171,1),"")</f>
        <v>N</v>
      </c>
      <c r="AS171" s="3">
        <v>268</v>
      </c>
      <c r="AT171" s="3" t="str">
        <f>IFERROR(MID(VLOOKUP($B171,Seqs!$A:$B,2,0),AU171,1),"")</f>
        <v>V</v>
      </c>
      <c r="AU171" s="3">
        <v>300</v>
      </c>
      <c r="AV171" s="3" t="str">
        <f>IFERROR(MID(VLOOKUP($B171,Seqs!$A:$B,2,0),AW171,1),"")</f>
        <v/>
      </c>
      <c r="AW171" s="3" t="s">
        <v>23</v>
      </c>
      <c r="AX171" s="3" t="str">
        <f>IFERROR(MID(VLOOKUP($B171,Seqs!$A:$B,2,0),AY171,1),"")</f>
        <v/>
      </c>
      <c r="AY171" s="3" t="s">
        <v>23</v>
      </c>
      <c r="AZ171" s="77" t="str">
        <f>VLOOKUP(B171,Classification!A:D,2,0)</f>
        <v>A</v>
      </c>
      <c r="BA171" s="94" t="str">
        <f>VLOOKUP(B171,Classification!A:D,4,0)</f>
        <v>Chemokine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243</v>
      </c>
      <c r="BD171" s="2" t="s">
        <v>23</v>
      </c>
      <c r="BE171" s="3" t="s">
        <v>1374</v>
      </c>
      <c r="BF171" s="118">
        <v>3.9</v>
      </c>
      <c r="BG171" s="49" t="s">
        <v>1281</v>
      </c>
      <c r="BH171" s="49" t="s">
        <v>1281</v>
      </c>
      <c r="BI171" s="1"/>
      <c r="BJ171" s="70" t="s">
        <v>1287</v>
      </c>
      <c r="BK171" s="57" t="s">
        <v>1287</v>
      </c>
      <c r="BL171" s="57" t="s">
        <v>1287</v>
      </c>
      <c r="BM171" s="57" t="s">
        <v>1287</v>
      </c>
      <c r="BN171" s="57" t="s">
        <v>1287</v>
      </c>
      <c r="BO171" s="57" t="s">
        <v>1287</v>
      </c>
      <c r="BP171" s="57" t="s">
        <v>1287</v>
      </c>
      <c r="BQ171" s="57" t="s">
        <v>1287</v>
      </c>
      <c r="BR171" s="57" t="s">
        <v>1287</v>
      </c>
      <c r="BS171" s="57" t="s">
        <v>1287</v>
      </c>
      <c r="BT171" s="57" t="s">
        <v>1287</v>
      </c>
      <c r="BU171" s="57" t="s">
        <v>1287</v>
      </c>
      <c r="BV171" s="70">
        <f>E171</f>
        <v>26</v>
      </c>
      <c r="BW171" s="71" t="str">
        <f>I171</f>
        <v>-</v>
      </c>
      <c r="BX171" s="72">
        <f>M171</f>
        <v>63</v>
      </c>
      <c r="BY171" s="71">
        <f>Q171</f>
        <v>93</v>
      </c>
      <c r="BZ171" s="72">
        <f>U171</f>
        <v>100</v>
      </c>
      <c r="CA171" s="71">
        <f>Y171</f>
        <v>133</v>
      </c>
      <c r="CB171" s="72">
        <f>AC171</f>
        <v>141</v>
      </c>
      <c r="CC171" s="71">
        <f>AG171</f>
        <v>178</v>
      </c>
      <c r="CD171" s="72">
        <f>AK171</f>
        <v>186</v>
      </c>
      <c r="CE171" s="71">
        <f>AO171</f>
        <v>228</v>
      </c>
      <c r="CF171" s="72">
        <f>AS171</f>
        <v>268</v>
      </c>
      <c r="CG171" s="71" t="str">
        <f>AW171</f>
        <v>-</v>
      </c>
      <c r="CH171" s="70">
        <f>G171</f>
        <v>60</v>
      </c>
      <c r="CI171" s="71" t="str">
        <f>K171</f>
        <v>-</v>
      </c>
      <c r="CJ171" s="72">
        <f>O171</f>
        <v>90</v>
      </c>
      <c r="CK171" s="72">
        <f>S171</f>
        <v>96</v>
      </c>
      <c r="CL171" s="72">
        <f>W171</f>
        <v>132</v>
      </c>
      <c r="CM171" s="72">
        <f>AA171</f>
        <v>140</v>
      </c>
      <c r="CN171" s="72">
        <f>AE171</f>
        <v>165</v>
      </c>
      <c r="CO171" s="72">
        <f>AI171</f>
        <v>180</v>
      </c>
      <c r="CP171" s="72">
        <f>AM171</f>
        <v>224</v>
      </c>
      <c r="CQ171" s="72">
        <f>AQ171</f>
        <v>260</v>
      </c>
      <c r="CR171" s="72">
        <f>AU171</f>
        <v>300</v>
      </c>
      <c r="CS171" s="72" t="str">
        <f>AY171</f>
        <v>-</v>
      </c>
      <c r="CT171" s="23" t="e">
        <f>M171-K171</f>
        <v>#VALUE!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30" x14ac:dyDescent="0.2">
      <c r="A172" s="3" t="str">
        <f>CONCATENATE(B172,"_",C172)</f>
        <v>ccr5_human_6MET</v>
      </c>
      <c r="B172" s="3" t="s">
        <v>173</v>
      </c>
      <c r="C172" s="3" t="s">
        <v>1540</v>
      </c>
      <c r="D172" s="3" t="str">
        <f>IFERROR(MID(VLOOKUP($B172,Seqs!$A:$B,2,0),E172,1),"")</f>
        <v>K</v>
      </c>
      <c r="E172" s="3">
        <v>26</v>
      </c>
      <c r="F172" s="3" t="str">
        <f>IFERROR(MID(VLOOKUP($B172,Seqs!$A:$B,2,0),G172,1),"")</f>
        <v>R</v>
      </c>
      <c r="G172" s="3">
        <v>60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S</v>
      </c>
      <c r="M172" s="3">
        <v>63</v>
      </c>
      <c r="N172" s="3" t="str">
        <f>IFERROR(MID(VLOOKUP($B172,Seqs!$A:$B,2,0),O172,1),"")</f>
        <v>A</v>
      </c>
      <c r="O172" s="3">
        <v>90</v>
      </c>
      <c r="P172" s="3" t="str">
        <f>IFERROR(MID(VLOOKUP($B172,Seqs!$A:$B,2,0),Q172,1),"")</f>
        <v>Q</v>
      </c>
      <c r="Q172" s="3">
        <v>93</v>
      </c>
      <c r="R172" s="3" t="str">
        <f>IFERROR(MID(VLOOKUP($B172,Seqs!$A:$B,2,0),S172,1),"")</f>
        <v>F</v>
      </c>
      <c r="S172" s="3">
        <v>96</v>
      </c>
      <c r="T172" s="3" t="str">
        <f>IFERROR(MID(VLOOKUP($B172,Seqs!$A:$B,2,0),U172,1),"")</f>
        <v>M</v>
      </c>
      <c r="U172" s="3">
        <v>100</v>
      </c>
      <c r="V172" s="3" t="str">
        <f>IFERROR(MID(VLOOKUP($B172,Seqs!$A:$B,2,0),W172,1),"")</f>
        <v>H</v>
      </c>
      <c r="W172" s="3">
        <v>132</v>
      </c>
      <c r="X172" s="3" t="str">
        <f>IFERROR(MID(VLOOKUP($B172,Seqs!$A:$B,2,0),Y172,1),"")</f>
        <v>A</v>
      </c>
      <c r="Y172" s="3">
        <v>133</v>
      </c>
      <c r="Z172" s="3" t="str">
        <f>IFERROR(MID(VLOOKUP($B172,Seqs!$A:$B,2,0),AA172,1),"")</f>
        <v>R</v>
      </c>
      <c r="AA172" s="3">
        <v>140</v>
      </c>
      <c r="AB172" s="3" t="str">
        <f>IFERROR(MID(VLOOKUP($B172,Seqs!$A:$B,2,0),AC172,1),"")</f>
        <v>T</v>
      </c>
      <c r="AC172" s="3">
        <v>141</v>
      </c>
      <c r="AD172" s="3" t="str">
        <f>IFERROR(MID(VLOOKUP($B172,Seqs!$A:$B,2,0),AE172,1),"")</f>
        <v>I</v>
      </c>
      <c r="AE172" s="3">
        <v>165</v>
      </c>
      <c r="AF172" s="3" t="str">
        <f>IFERROR(MID(VLOOKUP($B172,Seqs!$A:$B,2,0),AG172,1),"")</f>
        <v>C</v>
      </c>
      <c r="AG172" s="3">
        <v>178</v>
      </c>
      <c r="AH172" s="3" t="str">
        <f>IFERROR(MID(VLOOKUP($B172,Seqs!$A:$B,2,0),AI172,1),"")</f>
        <v>S</v>
      </c>
      <c r="AI172" s="3">
        <v>180</v>
      </c>
      <c r="AJ172" s="3" t="str">
        <f>IFERROR(MID(VLOOKUP($B172,Seqs!$A:$B,2,0),AK172,1),"")</f>
        <v>Q</v>
      </c>
      <c r="AK172" s="3">
        <v>186</v>
      </c>
      <c r="AL172" s="3" t="str">
        <f>IFERROR(MID(VLOOKUP($B172,Seqs!$A:$B,2,0),AM172,1),"")</f>
        <v>C</v>
      </c>
      <c r="AM172" s="3">
        <v>224</v>
      </c>
      <c r="AN172" s="3" t="str">
        <f>IFERROR(MID(VLOOKUP($B172,Seqs!$A:$B,2,0),AO172,1),"")</f>
        <v>K</v>
      </c>
      <c r="AO172" s="3">
        <v>228</v>
      </c>
      <c r="AP172" s="3" t="str">
        <f>IFERROR(MID(VLOOKUP($B172,Seqs!$A:$B,2,0),AQ172,1),"")</f>
        <v>F</v>
      </c>
      <c r="AQ172" s="3">
        <v>260</v>
      </c>
      <c r="AR172" s="3" t="str">
        <f>IFERROR(MID(VLOOKUP($B172,Seqs!$A:$B,2,0),AS172,1),"")</f>
        <v>N</v>
      </c>
      <c r="AS172" s="3">
        <v>268</v>
      </c>
      <c r="AT172" s="3" t="str">
        <f>IFERROR(MID(VLOOKUP($B172,Seqs!$A:$B,2,0),AU172,1),"")</f>
        <v>V</v>
      </c>
      <c r="AU172" s="3">
        <v>300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Chemokine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243</v>
      </c>
      <c r="BD172" s="2" t="s">
        <v>23</v>
      </c>
      <c r="BE172" s="3" t="s">
        <v>1374</v>
      </c>
      <c r="BF172" s="118">
        <v>4.5</v>
      </c>
      <c r="BG172" s="49" t="s">
        <v>1281</v>
      </c>
      <c r="BH172" s="49" t="s">
        <v>1281</v>
      </c>
      <c r="BI172" s="1"/>
      <c r="BJ172" s="70" t="s">
        <v>1287</v>
      </c>
      <c r="BK172" s="57" t="s">
        <v>1287</v>
      </c>
      <c r="BL172" s="57" t="s">
        <v>1287</v>
      </c>
      <c r="BM172" s="57" t="s">
        <v>1287</v>
      </c>
      <c r="BN172" s="57" t="s">
        <v>1287</v>
      </c>
      <c r="BO172" s="57" t="s">
        <v>1287</v>
      </c>
      <c r="BP172" s="57" t="s">
        <v>1287</v>
      </c>
      <c r="BQ172" s="57" t="s">
        <v>1287</v>
      </c>
      <c r="BR172" s="57" t="s">
        <v>1287</v>
      </c>
      <c r="BS172" s="57" t="s">
        <v>1287</v>
      </c>
      <c r="BT172" s="57" t="s">
        <v>1287</v>
      </c>
      <c r="BU172" s="57" t="s">
        <v>1287</v>
      </c>
      <c r="BV172" s="70">
        <f>E172</f>
        <v>26</v>
      </c>
      <c r="BW172" s="71" t="str">
        <f>I172</f>
        <v>-</v>
      </c>
      <c r="BX172" s="72">
        <f>M172</f>
        <v>63</v>
      </c>
      <c r="BY172" s="71">
        <f>Q172</f>
        <v>93</v>
      </c>
      <c r="BZ172" s="72">
        <f>U172</f>
        <v>100</v>
      </c>
      <c r="CA172" s="71">
        <f>Y172</f>
        <v>133</v>
      </c>
      <c r="CB172" s="72">
        <f>AC172</f>
        <v>141</v>
      </c>
      <c r="CC172" s="71">
        <f>AG172</f>
        <v>178</v>
      </c>
      <c r="CD172" s="72">
        <f>AK172</f>
        <v>186</v>
      </c>
      <c r="CE172" s="71">
        <f>AO172</f>
        <v>228</v>
      </c>
      <c r="CF172" s="72">
        <f>AS172</f>
        <v>268</v>
      </c>
      <c r="CG172" s="71" t="str">
        <f>AW172</f>
        <v>-</v>
      </c>
      <c r="CH172" s="70">
        <f>G172</f>
        <v>60</v>
      </c>
      <c r="CI172" s="71" t="str">
        <f>K172</f>
        <v>-</v>
      </c>
      <c r="CJ172" s="72">
        <f>O172</f>
        <v>90</v>
      </c>
      <c r="CK172" s="72">
        <f>S172</f>
        <v>96</v>
      </c>
      <c r="CL172" s="72">
        <f>W172</f>
        <v>132</v>
      </c>
      <c r="CM172" s="72">
        <f>AA172</f>
        <v>140</v>
      </c>
      <c r="CN172" s="72">
        <f>AE172</f>
        <v>165</v>
      </c>
      <c r="CO172" s="72">
        <f>AI172</f>
        <v>180</v>
      </c>
      <c r="CP172" s="72">
        <f>AM172</f>
        <v>224</v>
      </c>
      <c r="CQ172" s="72">
        <f>AQ172</f>
        <v>260</v>
      </c>
      <c r="CR172" s="72">
        <f>AU172</f>
        <v>300</v>
      </c>
      <c r="CS172" s="72" t="str">
        <f>AY172</f>
        <v>-</v>
      </c>
      <c r="CT172" s="23" t="e">
        <f>M172-K172</f>
        <v>#VALUE!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30" s="12" customFormat="1" x14ac:dyDescent="0.2">
      <c r="A173" s="9" t="str">
        <f t="shared" ref="A173:A174" si="1149">CONCATENATE(B173,"_",C173)</f>
        <v>ccr7_human__wt</v>
      </c>
      <c r="B173" s="9" t="s">
        <v>175</v>
      </c>
      <c r="C173" s="9" t="s">
        <v>100</v>
      </c>
      <c r="D173" s="9" t="str">
        <f>IFERROR(MID(VLOOKUP($B173,Seqs!$A:$B,2,0),E173,1),"")</f>
        <v>N</v>
      </c>
      <c r="E173" s="9">
        <v>55</v>
      </c>
      <c r="F173" s="9" t="str">
        <f>IFERROR(MID(VLOOKUP($B173,Seqs!$A:$B,2,0),G173,1),"")</f>
        <v>F</v>
      </c>
      <c r="G173" s="9">
        <v>86</v>
      </c>
      <c r="H173" s="9" t="str">
        <f>IFERROR(MID(VLOOKUP($B173,Seqs!$A:$B,2,0),I173,1),"")</f>
        <v>K</v>
      </c>
      <c r="I173" s="109">
        <v>87</v>
      </c>
      <c r="J173" s="9" t="str">
        <f>IFERROR(MID(VLOOKUP($B173,Seqs!$A:$B,2,0),K173,1),"")</f>
        <v>K</v>
      </c>
      <c r="K173" s="109">
        <v>90</v>
      </c>
      <c r="L173" s="9" t="str">
        <f>IFERROR(MID(VLOOKUP($B173,Seqs!$A:$B,2,0),M173,1),"")</f>
        <v>T</v>
      </c>
      <c r="M173" s="9">
        <v>91</v>
      </c>
      <c r="N173" s="9" t="str">
        <f>IFERROR(MID(VLOOKUP($B173,Seqs!$A:$B,2,0),O173,1),"")</f>
        <v>K</v>
      </c>
      <c r="O173" s="9">
        <v>120</v>
      </c>
      <c r="P173" s="9" t="str">
        <f>IFERROR(MID(VLOOKUP($B173,Seqs!$A:$B,2,0),Q173,1),"")</f>
        <v>S</v>
      </c>
      <c r="Q173" s="9">
        <v>121</v>
      </c>
      <c r="R173" s="9" t="str">
        <f>IFERROR(MID(VLOOKUP($B173,Seqs!$A:$B,2,0),S173,1),"")</f>
        <v>F</v>
      </c>
      <c r="S173" s="9">
        <v>124</v>
      </c>
      <c r="T173" s="9" t="str">
        <f>IFERROR(MID(VLOOKUP($B173,Seqs!$A:$B,2,0),U173,1),"")</f>
        <v>G</v>
      </c>
      <c r="U173" s="9">
        <v>125</v>
      </c>
      <c r="V173" s="9" t="str">
        <f>IFERROR(MID(VLOOKUP($B173,Seqs!$A:$B,2,0),W173,1),"")</f>
        <v>Q</v>
      </c>
      <c r="W173" s="9">
        <v>160</v>
      </c>
      <c r="X173" s="9" t="str">
        <f>IFERROR(MID(VLOOKUP($B173,Seqs!$A:$B,2,0),Y173,1),"")</f>
        <v>A</v>
      </c>
      <c r="Y173" s="9">
        <v>161</v>
      </c>
      <c r="Z173" s="9" t="str">
        <f>IFERROR(MID(VLOOKUP($B173,Seqs!$A:$B,2,0),AA173,1),"")</f>
        <v>A</v>
      </c>
      <c r="AA173" s="9">
        <v>169</v>
      </c>
      <c r="AB173" s="9" t="str">
        <f>IFERROR(MID(VLOOKUP($B173,Seqs!$A:$B,2,0),AC173,1),"")</f>
        <v>V</v>
      </c>
      <c r="AC173" s="9">
        <v>171</v>
      </c>
      <c r="AD173" s="9" t="str">
        <f>IFERROR(MID(VLOOKUP($B173,Seqs!$A:$B,2,0),AE173,1),"")</f>
        <v>S</v>
      </c>
      <c r="AE173" s="9">
        <v>197</v>
      </c>
      <c r="AF173" s="9" t="str">
        <f>IFERROR(MID(VLOOKUP($B173,Seqs!$A:$B,2,0),AG173,1),"")</f>
        <v>C</v>
      </c>
      <c r="AG173" s="9">
        <v>210</v>
      </c>
      <c r="AH173" s="9" t="str">
        <f>IFERROR(MID(VLOOKUP($B173,Seqs!$A:$B,2,0),AI173,1),"")</f>
        <v>L</v>
      </c>
      <c r="AI173" s="9">
        <v>212</v>
      </c>
      <c r="AJ173" s="9" t="str">
        <f>IFERROR(MID(VLOOKUP($B173,Seqs!$A:$B,2,0),AK173,1),"")</f>
        <v>E</v>
      </c>
      <c r="AK173" s="9">
        <v>218</v>
      </c>
      <c r="AL173" s="9" t="str">
        <f>IFERROR(MID(VLOOKUP($B173,Seqs!$A:$B,2,0),AM173,1),"")</f>
        <v>A</v>
      </c>
      <c r="AM173" s="9">
        <v>253</v>
      </c>
      <c r="AN173" s="9" t="str">
        <f>IFERROR(MID(VLOOKUP($B173,Seqs!$A:$B,2,0),AO173,1),"")</f>
        <v>R</v>
      </c>
      <c r="AO173" s="9">
        <v>258</v>
      </c>
      <c r="AP173" s="9" t="str">
        <f>IFERROR(MID(VLOOKUP($B173,Seqs!$A:$B,2,0),AQ173,1),"")</f>
        <v>I</v>
      </c>
      <c r="AQ173" s="9">
        <v>293</v>
      </c>
      <c r="AR173" s="9" t="str">
        <f>IFERROR(MID(VLOOKUP($B173,Seqs!$A:$B,2,0),AS173,1),"")</f>
        <v>T</v>
      </c>
      <c r="AS173" s="9">
        <v>297</v>
      </c>
      <c r="AT173" s="9" t="str">
        <f>IFERROR(MID(VLOOKUP($B173,Seqs!$A:$B,2,0),AU173,1),"")</f>
        <v>I</v>
      </c>
      <c r="AU173" s="9">
        <v>329</v>
      </c>
      <c r="AV173" s="9" t="str">
        <f>IFERROR(MID(VLOOKUP($B173,Seqs!$A:$B,2,0),AW173,1),"")</f>
        <v>G</v>
      </c>
      <c r="AW173" s="9">
        <v>330</v>
      </c>
      <c r="AX173" s="9" t="str">
        <f>IFERROR(MID(VLOOKUP($B173,Seqs!$A:$B,2,0),AY173,1),"")</f>
        <v>K</v>
      </c>
      <c r="AY173" s="9">
        <v>342</v>
      </c>
      <c r="AZ173" s="110" t="str">
        <f>VLOOKUP(B173,Classification!A:D,2,0)</f>
        <v>A</v>
      </c>
      <c r="BA173" s="98" t="str">
        <f>VLOOKUP(B173,Classification!A:D,4,0)</f>
        <v>Chemokine</v>
      </c>
      <c r="BB173" s="36" t="b">
        <f t="shared" ref="BB173:BB174" si="1150"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109">
        <f t="shared" ref="BC173:BC174" si="1151">_xlfn.AGGREGATE(9,6,CH173:CS173)-_xlfn.AGGREGATE(9,6,BV173:CG173)+12</f>
        <v>263</v>
      </c>
      <c r="BD173" s="40" t="s">
        <v>23</v>
      </c>
      <c r="BE173" s="9" t="s">
        <v>1374</v>
      </c>
      <c r="BF173" s="119">
        <v>5.5</v>
      </c>
      <c r="BG173" s="51" t="s">
        <v>1281</v>
      </c>
      <c r="BH173" s="51" t="s">
        <v>1281</v>
      </c>
      <c r="BJ173" s="111" t="s">
        <v>1287</v>
      </c>
      <c r="BK173" s="112" t="s">
        <v>1287</v>
      </c>
      <c r="BL173" s="112" t="s">
        <v>1287</v>
      </c>
      <c r="BM173" s="112" t="s">
        <v>1287</v>
      </c>
      <c r="BN173" s="112" t="s">
        <v>1287</v>
      </c>
      <c r="BO173" s="112" t="s">
        <v>1287</v>
      </c>
      <c r="BP173" s="112" t="s">
        <v>1287</v>
      </c>
      <c r="BQ173" s="112" t="s">
        <v>1287</v>
      </c>
      <c r="BR173" s="112" t="s">
        <v>1287</v>
      </c>
      <c r="BS173" s="112" t="s">
        <v>1287</v>
      </c>
      <c r="BT173" s="112" t="s">
        <v>1287</v>
      </c>
      <c r="BU173" s="112" t="s">
        <v>1287</v>
      </c>
      <c r="BV173" s="111">
        <f t="shared" ref="BV173:BV174" si="1152">E173</f>
        <v>55</v>
      </c>
      <c r="BW173" s="113">
        <f t="shared" ref="BW173:BW174" si="1153">I173</f>
        <v>87</v>
      </c>
      <c r="BX173" s="114">
        <f t="shared" ref="BX173:BX174" si="1154">M173</f>
        <v>91</v>
      </c>
      <c r="BY173" s="113">
        <f t="shared" ref="BY173:BY174" si="1155">Q173</f>
        <v>121</v>
      </c>
      <c r="BZ173" s="114">
        <f t="shared" ref="BZ173:BZ174" si="1156">U173</f>
        <v>125</v>
      </c>
      <c r="CA173" s="113">
        <f t="shared" ref="CA173:CA174" si="1157">Y173</f>
        <v>161</v>
      </c>
      <c r="CB173" s="114">
        <f t="shared" ref="CB173:CB174" si="1158">AC173</f>
        <v>171</v>
      </c>
      <c r="CC173" s="113">
        <f t="shared" ref="CC173:CC174" si="1159">AG173</f>
        <v>210</v>
      </c>
      <c r="CD173" s="114">
        <f t="shared" ref="CD173:CD174" si="1160">AK173</f>
        <v>218</v>
      </c>
      <c r="CE173" s="113">
        <f t="shared" ref="CE173:CE174" si="1161">AO173</f>
        <v>258</v>
      </c>
      <c r="CF173" s="114">
        <f t="shared" ref="CF173:CF174" si="1162">AS173</f>
        <v>297</v>
      </c>
      <c r="CG173" s="113">
        <f t="shared" ref="CG173:CG174" si="1163">AW173</f>
        <v>330</v>
      </c>
      <c r="CH173" s="111">
        <f t="shared" ref="CH173:CH174" si="1164">G173</f>
        <v>86</v>
      </c>
      <c r="CI173" s="113">
        <f t="shared" ref="CI173:CI174" si="1165">K173</f>
        <v>90</v>
      </c>
      <c r="CJ173" s="114">
        <f t="shared" ref="CJ173:CJ174" si="1166">O173</f>
        <v>120</v>
      </c>
      <c r="CK173" s="114">
        <f t="shared" ref="CK173:CK174" si="1167">S173</f>
        <v>124</v>
      </c>
      <c r="CL173" s="114">
        <f t="shared" ref="CL173:CL174" si="1168">W173</f>
        <v>160</v>
      </c>
      <c r="CM173" s="114">
        <f t="shared" ref="CM173:CM174" si="1169">AA173</f>
        <v>169</v>
      </c>
      <c r="CN173" s="114">
        <f t="shared" ref="CN173:CN174" si="1170">AE173</f>
        <v>197</v>
      </c>
      <c r="CO173" s="114">
        <f t="shared" ref="CO173:CO174" si="1171">AI173</f>
        <v>212</v>
      </c>
      <c r="CP173" s="114">
        <f t="shared" ref="CP173:CP174" si="1172">AM173</f>
        <v>253</v>
      </c>
      <c r="CQ173" s="114">
        <f t="shared" ref="CQ173:CQ174" si="1173">AQ173</f>
        <v>293</v>
      </c>
      <c r="CR173" s="114">
        <f t="shared" ref="CR173:CR174" si="1174">AU173</f>
        <v>329</v>
      </c>
      <c r="CS173" s="114">
        <f t="shared" ref="CS173:CS174" si="1175">AY173</f>
        <v>342</v>
      </c>
      <c r="CT173" s="109">
        <f t="shared" ref="CT173:CT174" si="1176">M173-K173</f>
        <v>1</v>
      </c>
    </row>
    <row r="174" spans="1:1030" s="12" customFormat="1" x14ac:dyDescent="0.2">
      <c r="A174" s="9" t="str">
        <f t="shared" si="1149"/>
        <v>ccr7_human_6QZH</v>
      </c>
      <c r="B174" s="9" t="s">
        <v>175</v>
      </c>
      <c r="C174" s="9" t="s">
        <v>1592</v>
      </c>
      <c r="D174" s="9" t="str">
        <f>IFERROR(MID(VLOOKUP($B174,Seqs!$A:$B,2,0),E174,1),"")</f>
        <v>F</v>
      </c>
      <c r="E174" s="9">
        <v>56</v>
      </c>
      <c r="F174" s="9" t="str">
        <f>IFERROR(MID(VLOOKUP($B174,Seqs!$A:$B,2,0),G174,1),"")</f>
        <v>Y</v>
      </c>
      <c r="G174" s="9">
        <v>85</v>
      </c>
      <c r="H174" s="9" t="str">
        <f>IFERROR(MID(VLOOKUP($B174,Seqs!$A:$B,2,0),I174,1),"")</f>
        <v>K</v>
      </c>
      <c r="I174" s="109">
        <v>87</v>
      </c>
      <c r="J174" s="9" t="str">
        <f>IFERROR(MID(VLOOKUP($B174,Seqs!$A:$B,2,0),K174,1),"")</f>
        <v>K</v>
      </c>
      <c r="K174" s="109">
        <v>90</v>
      </c>
      <c r="L174" s="9" t="str">
        <f>IFERROR(MID(VLOOKUP($B174,Seqs!$A:$B,2,0),M174,1),"")</f>
        <v>T</v>
      </c>
      <c r="M174" s="9">
        <v>91</v>
      </c>
      <c r="N174" s="9" t="str">
        <f>IFERROR(MID(VLOOKUP($B174,Seqs!$A:$B,2,0),O174,1),"")</f>
        <v>K</v>
      </c>
      <c r="O174" s="9">
        <v>120</v>
      </c>
      <c r="P174" s="9" t="str">
        <f>IFERROR(MID(VLOOKUP($B174,Seqs!$A:$B,2,0),Q174,1),"")</f>
        <v>S</v>
      </c>
      <c r="Q174" s="9">
        <v>121</v>
      </c>
      <c r="R174" s="9" t="str">
        <f>IFERROR(MID(VLOOKUP($B174,Seqs!$A:$B,2,0),S174,1),"")</f>
        <v>F</v>
      </c>
      <c r="S174" s="9">
        <v>124</v>
      </c>
      <c r="T174" s="9" t="str">
        <f>IFERROR(MID(VLOOKUP($B174,Seqs!$A:$B,2,0),U174,1),"")</f>
        <v>G</v>
      </c>
      <c r="U174" s="9">
        <v>125</v>
      </c>
      <c r="V174" s="9" t="str">
        <f>IFERROR(MID(VLOOKUP($B174,Seqs!$A:$B,2,0),W174,1),"")</f>
        <v>V</v>
      </c>
      <c r="W174" s="9">
        <v>159</v>
      </c>
      <c r="X174" s="9" t="str">
        <f>IFERROR(MID(VLOOKUP($B174,Seqs!$A:$B,2,0),Y174,1),"")</f>
        <v/>
      </c>
      <c r="Y174" s="9" t="s">
        <v>23</v>
      </c>
      <c r="Z174" s="9" t="str">
        <f>IFERROR(MID(VLOOKUP($B174,Seqs!$A:$B,2,0),AA174,1),"")</f>
        <v/>
      </c>
      <c r="AA174" s="9" t="s">
        <v>23</v>
      </c>
      <c r="AB174" s="9" t="str">
        <f>IFERROR(MID(VLOOKUP($B174,Seqs!$A:$B,2,0),AC174,1),"")</f>
        <v>H</v>
      </c>
      <c r="AC174" s="9">
        <v>167</v>
      </c>
      <c r="AD174" s="9" t="str">
        <f>IFERROR(MID(VLOOKUP($B174,Seqs!$A:$B,2,0),AE174,1),"")</f>
        <v>Y</v>
      </c>
      <c r="AE174" s="9">
        <v>196</v>
      </c>
      <c r="AF174" s="9" t="str">
        <f>IFERROR(MID(VLOOKUP($B174,Seqs!$A:$B,2,0),AG174,1),"")</f>
        <v>C</v>
      </c>
      <c r="AG174" s="9">
        <v>210</v>
      </c>
      <c r="AH174" s="9" t="str">
        <f>IFERROR(MID(VLOOKUP($B174,Seqs!$A:$B,2,0),AI174,1),"")</f>
        <v>L</v>
      </c>
      <c r="AI174" s="9">
        <v>212</v>
      </c>
      <c r="AJ174" s="9" t="str">
        <f>IFERROR(MID(VLOOKUP($B174,Seqs!$A:$B,2,0),AK174,1),"")</f>
        <v>F</v>
      </c>
      <c r="AK174" s="9">
        <v>220</v>
      </c>
      <c r="AL174" s="9" t="str">
        <f>IFERROR(MID(VLOOKUP($B174,Seqs!$A:$B,2,0),AM174,1),"")</f>
        <v>L</v>
      </c>
      <c r="AM174" s="9">
        <v>251</v>
      </c>
      <c r="AN174" s="9" t="str">
        <f>IFERROR(MID(VLOOKUP($B174,Seqs!$A:$B,2,0),AO174,1),"")</f>
        <v>K</v>
      </c>
      <c r="AO174" s="9">
        <v>263</v>
      </c>
      <c r="AP174" s="9" t="str">
        <f>IFERROR(MID(VLOOKUP($B174,Seqs!$A:$B,2,0),AQ174,1),"")</f>
        <v>Q</v>
      </c>
      <c r="AQ174" s="9">
        <v>286</v>
      </c>
      <c r="AR174" s="9" t="str">
        <f>IFERROR(MID(VLOOKUP($B174,Seqs!$A:$B,2,0),AS174,1),"")</f>
        <v>C</v>
      </c>
      <c r="AS174" s="9">
        <v>298</v>
      </c>
      <c r="AT174" s="9" t="str">
        <f>IFERROR(MID(VLOOKUP($B174,Seqs!$A:$B,2,0),AU174,1),"")</f>
        <v>F</v>
      </c>
      <c r="AU174" s="9">
        <v>328</v>
      </c>
      <c r="AV174" s="9" t="str">
        <f>IFERROR(MID(VLOOKUP($B174,Seqs!$A:$B,2,0),AW174,1),"")</f>
        <v>K</v>
      </c>
      <c r="AW174" s="9">
        <v>332</v>
      </c>
      <c r="AX174" s="9" t="str">
        <f>IFERROR(MID(VLOOKUP($B174,Seqs!$A:$B,2,0),AY174,1),"")</f>
        <v>F</v>
      </c>
      <c r="AY174" s="9">
        <v>341</v>
      </c>
      <c r="AZ174" s="110" t="str">
        <f>VLOOKUP(B174,Classification!A:D,2,0)</f>
        <v>A</v>
      </c>
      <c r="BA174" s="98" t="str">
        <f>VLOOKUP(B174,Classification!A:D,4,0)</f>
        <v>Chemokine</v>
      </c>
      <c r="BB174" s="36" t="b">
        <f t="shared" si="1150"/>
        <v>1</v>
      </c>
      <c r="BC174" s="109">
        <f t="shared" si="1151"/>
        <v>234</v>
      </c>
      <c r="BD174" s="40" t="s">
        <v>1376</v>
      </c>
      <c r="BE174" s="9" t="s">
        <v>1374</v>
      </c>
      <c r="BF174" s="119">
        <v>2.1</v>
      </c>
      <c r="BG174" s="51" t="s">
        <v>1</v>
      </c>
      <c r="BH174" s="51" t="s">
        <v>1</v>
      </c>
      <c r="BJ174" s="111" t="s">
        <v>1287</v>
      </c>
      <c r="BK174" s="112" t="s">
        <v>1287</v>
      </c>
      <c r="BL174" s="112" t="s">
        <v>1287</v>
      </c>
      <c r="BM174" s="112" t="s">
        <v>1287</v>
      </c>
      <c r="BN174" s="112" t="s">
        <v>1287</v>
      </c>
      <c r="BO174" s="112" t="s">
        <v>1287</v>
      </c>
      <c r="BP174" s="112" t="s">
        <v>1287</v>
      </c>
      <c r="BQ174" s="112" t="s">
        <v>1287</v>
      </c>
      <c r="BR174" s="112" t="s">
        <v>1287</v>
      </c>
      <c r="BS174" s="112" t="s">
        <v>1287</v>
      </c>
      <c r="BT174" s="112" t="s">
        <v>1287</v>
      </c>
      <c r="BU174" s="112" t="s">
        <v>1287</v>
      </c>
      <c r="BV174" s="111">
        <f t="shared" si="1152"/>
        <v>56</v>
      </c>
      <c r="BW174" s="113">
        <f t="shared" si="1153"/>
        <v>87</v>
      </c>
      <c r="BX174" s="114">
        <f t="shared" si="1154"/>
        <v>91</v>
      </c>
      <c r="BY174" s="113">
        <f t="shared" si="1155"/>
        <v>121</v>
      </c>
      <c r="BZ174" s="114">
        <f t="shared" si="1156"/>
        <v>125</v>
      </c>
      <c r="CA174" s="113" t="str">
        <f t="shared" si="1157"/>
        <v>-</v>
      </c>
      <c r="CB174" s="114">
        <f t="shared" si="1158"/>
        <v>167</v>
      </c>
      <c r="CC174" s="113">
        <f t="shared" si="1159"/>
        <v>210</v>
      </c>
      <c r="CD174" s="114">
        <f t="shared" si="1160"/>
        <v>220</v>
      </c>
      <c r="CE174" s="113">
        <f t="shared" si="1161"/>
        <v>263</v>
      </c>
      <c r="CF174" s="114">
        <f t="shared" si="1162"/>
        <v>298</v>
      </c>
      <c r="CG174" s="113">
        <f t="shared" si="1163"/>
        <v>332</v>
      </c>
      <c r="CH174" s="111">
        <f t="shared" si="1164"/>
        <v>85</v>
      </c>
      <c r="CI174" s="113">
        <f t="shared" si="1165"/>
        <v>90</v>
      </c>
      <c r="CJ174" s="114">
        <f t="shared" si="1166"/>
        <v>120</v>
      </c>
      <c r="CK174" s="114">
        <f t="shared" si="1167"/>
        <v>124</v>
      </c>
      <c r="CL174" s="114">
        <f t="shared" si="1168"/>
        <v>159</v>
      </c>
      <c r="CM174" s="114" t="str">
        <f t="shared" si="1169"/>
        <v>-</v>
      </c>
      <c r="CN174" s="114">
        <f t="shared" si="1170"/>
        <v>196</v>
      </c>
      <c r="CO174" s="114">
        <f t="shared" si="1171"/>
        <v>212</v>
      </c>
      <c r="CP174" s="114">
        <f t="shared" si="1172"/>
        <v>251</v>
      </c>
      <c r="CQ174" s="114">
        <f t="shared" si="1173"/>
        <v>286</v>
      </c>
      <c r="CR174" s="114">
        <f t="shared" si="1174"/>
        <v>328</v>
      </c>
      <c r="CS174" s="114">
        <f t="shared" si="1175"/>
        <v>341</v>
      </c>
      <c r="CT174" s="109">
        <f t="shared" si="1176"/>
        <v>1</v>
      </c>
    </row>
    <row r="175" spans="1:1030" x14ac:dyDescent="0.2">
      <c r="A175" s="3" t="str">
        <f t="shared" si="951"/>
        <v>ccr9_human__wt</v>
      </c>
      <c r="B175" s="3" t="s">
        <v>177</v>
      </c>
      <c r="C175" s="3" t="s">
        <v>100</v>
      </c>
      <c r="D175" s="3" t="str">
        <f>IFERROR(MID(VLOOKUP($B175,Seqs!$A:$B,2,0),E175,1),"")</f>
        <v>V</v>
      </c>
      <c r="E175" s="3">
        <v>43</v>
      </c>
      <c r="F175" s="3" t="str">
        <f>IFERROR(MID(VLOOKUP($B175,Seqs!$A:$B,2,0),G175,1),"")</f>
        <v>C</v>
      </c>
      <c r="G175" s="3">
        <v>76</v>
      </c>
      <c r="H175" s="3" t="str">
        <f>IFERROR(MID(VLOOKUP($B175,Seqs!$A:$B,2,0),I175,1),"")</f>
        <v>T</v>
      </c>
      <c r="I175" s="23">
        <v>77</v>
      </c>
      <c r="J175" s="3" t="str">
        <f>IFERROR(MID(VLOOKUP($B175,Seqs!$A:$B,2,0),K175,1),"")</f>
        <v>K</v>
      </c>
      <c r="K175" s="23">
        <v>80</v>
      </c>
      <c r="L175" s="3" t="str">
        <f>IFERROR(MID(VLOOKUP($B175,Seqs!$A:$B,2,0),M175,1),"")</f>
        <v>T</v>
      </c>
      <c r="M175" s="3">
        <v>81</v>
      </c>
      <c r="N175" s="3" t="str">
        <f>IFERROR(MID(VLOOKUP($B175,Seqs!$A:$B,2,0),O175,1),"")</f>
        <v>D</v>
      </c>
      <c r="O175" s="3">
        <v>110</v>
      </c>
      <c r="P175" s="3" t="str">
        <f>IFERROR(MID(VLOOKUP($B175,Seqs!$A:$B,2,0),Q175,1),"")</f>
        <v>Q</v>
      </c>
      <c r="Q175" s="3">
        <v>111</v>
      </c>
      <c r="R175" s="3" t="str">
        <f>IFERROR(MID(VLOOKUP($B175,Seqs!$A:$B,2,0),S175,1),"")</f>
        <v>F</v>
      </c>
      <c r="S175" s="3">
        <v>114</v>
      </c>
      <c r="T175" s="3" t="str">
        <f>IFERROR(MID(VLOOKUP($B175,Seqs!$A:$B,2,0),U175,1),"")</f>
        <v>Q</v>
      </c>
      <c r="U175" s="3">
        <v>115</v>
      </c>
      <c r="V175" s="3" t="str">
        <f>IFERROR(MID(VLOOKUP($B175,Seqs!$A:$B,2,0),W175,1),"")</f>
        <v>Q</v>
      </c>
      <c r="W175" s="3">
        <v>150</v>
      </c>
      <c r="X175" s="3" t="str">
        <f>IFERROR(MID(VLOOKUP($B175,Seqs!$A:$B,2,0),Y175,1),"")</f>
        <v>A</v>
      </c>
      <c r="Y175" s="3">
        <v>151</v>
      </c>
      <c r="Z175" s="3" t="str">
        <f>IFERROR(MID(VLOOKUP($B175,Seqs!$A:$B,2,0),AA175,1),"")</f>
        <v>W</v>
      </c>
      <c r="AA175" s="3">
        <v>157</v>
      </c>
      <c r="AB175" s="3" t="str">
        <f>IFERROR(MID(VLOOKUP($B175,Seqs!$A:$B,2,0),AC175,1),"")</f>
        <v>R</v>
      </c>
      <c r="AC175" s="9">
        <v>158</v>
      </c>
      <c r="AD175" s="3" t="str">
        <f>IFERROR(MID(VLOOKUP($B175,Seqs!$A:$B,2,0),AE175,1),"")</f>
        <v>S</v>
      </c>
      <c r="AE175" s="3">
        <v>187</v>
      </c>
      <c r="AF175" s="3" t="str">
        <f>IFERROR(MID(VLOOKUP($B175,Seqs!$A:$B,2,0),AG175,1),"")</f>
        <v>C</v>
      </c>
      <c r="AG175" s="3">
        <v>198</v>
      </c>
      <c r="AH175" s="3" t="str">
        <f>IFERROR(MID(VLOOKUP($B175,Seqs!$A:$B,2,0),AI175,1),"")</f>
        <v>M</v>
      </c>
      <c r="AI175" s="3">
        <v>200</v>
      </c>
      <c r="AJ175" s="3" t="str">
        <f>IFERROR(MID(VLOOKUP($B175,Seqs!$A:$B,2,0),AK175,1),"")</f>
        <v>K</v>
      </c>
      <c r="AK175" s="3">
        <v>209</v>
      </c>
      <c r="AL175" s="3" t="str">
        <f>IFERROR(MID(VLOOKUP($B175,Seqs!$A:$B,2,0),AM175,1),"")</f>
        <v>A</v>
      </c>
      <c r="AM175" s="3">
        <v>244</v>
      </c>
      <c r="AN175" s="3" t="str">
        <f>IFERROR(MID(VLOOKUP($B175,Seqs!$A:$B,2,0),AO175,1),"")</f>
        <v>S</v>
      </c>
      <c r="AO175" s="3">
        <v>247</v>
      </c>
      <c r="AP175" s="3" t="str">
        <f>IFERROR(MID(VLOOKUP($B175,Seqs!$A:$B,2,0),AQ175,1),"")</f>
        <v>M</v>
      </c>
      <c r="AQ175" s="3">
        <v>284</v>
      </c>
      <c r="AR175" s="3" t="str">
        <f>IFERROR(MID(VLOOKUP($B175,Seqs!$A:$B,2,0),AS175,1),"")</f>
        <v>N</v>
      </c>
      <c r="AS175" s="3">
        <v>288</v>
      </c>
      <c r="AT175" s="3" t="str">
        <f>IFERROR(MID(VLOOKUP($B175,Seqs!$A:$B,2,0),AU175,1),"")</f>
        <v>V</v>
      </c>
      <c r="AU175" s="3">
        <v>320</v>
      </c>
      <c r="AV175" s="3" t="str">
        <f>IFERROR(MID(VLOOKUP($B175,Seqs!$A:$B,2,0),AW175,1),"")</f>
        <v>G</v>
      </c>
      <c r="AW175" s="3">
        <v>321</v>
      </c>
      <c r="AX175" s="3" t="str">
        <f>IFERROR(MID(VLOOKUP($B175,Seqs!$A:$B,2,0),AY175,1),"")</f>
        <v>A</v>
      </c>
      <c r="AY175" s="3">
        <v>341</v>
      </c>
      <c r="AZ175" s="77" t="str">
        <f>VLOOKUP(B175,Classification!A:D,2,0)</f>
        <v>A</v>
      </c>
      <c r="BA175" s="94" t="str">
        <f>VLOOKUP(B175,Classification!A:D,4,0)</f>
        <v>Chemokine</v>
      </c>
      <c r="BB175" s="27" t="b">
        <f t="shared" si="952"/>
        <v>1</v>
      </c>
      <c r="BC175" s="23">
        <f t="shared" si="729"/>
        <v>276</v>
      </c>
      <c r="BD175" s="56" t="s">
        <v>23</v>
      </c>
      <c r="BE175" s="3" t="s">
        <v>23</v>
      </c>
      <c r="BF175" s="118" t="s">
        <v>23</v>
      </c>
      <c r="BG175" s="49" t="s">
        <v>1372</v>
      </c>
      <c r="BH175" s="49" t="s">
        <v>1377</v>
      </c>
      <c r="BI175" s="1"/>
      <c r="BJ175" s="70" t="s">
        <v>1287</v>
      </c>
      <c r="BK175" s="57" t="s">
        <v>1287</v>
      </c>
      <c r="BL175" s="57" t="s">
        <v>1287</v>
      </c>
      <c r="BM175" s="57" t="s">
        <v>1287</v>
      </c>
      <c r="BN175" s="57" t="s">
        <v>1287</v>
      </c>
      <c r="BO175" s="57" t="s">
        <v>1287</v>
      </c>
      <c r="BP175" s="57" t="s">
        <v>1287</v>
      </c>
      <c r="BQ175" s="57" t="s">
        <v>1287</v>
      </c>
      <c r="BR175" s="57" t="s">
        <v>1287</v>
      </c>
      <c r="BS175" s="57" t="s">
        <v>1287</v>
      </c>
      <c r="BT175" s="57" t="s">
        <v>1287</v>
      </c>
      <c r="BU175" s="57" t="s">
        <v>1287</v>
      </c>
      <c r="BV175" s="70">
        <f t="shared" si="730"/>
        <v>43</v>
      </c>
      <c r="BW175" s="71">
        <f t="shared" si="731"/>
        <v>77</v>
      </c>
      <c r="BX175" s="72">
        <f t="shared" si="732"/>
        <v>81</v>
      </c>
      <c r="BY175" s="71">
        <f t="shared" si="733"/>
        <v>111</v>
      </c>
      <c r="BZ175" s="72">
        <f t="shared" si="734"/>
        <v>115</v>
      </c>
      <c r="CA175" s="71">
        <f t="shared" si="735"/>
        <v>151</v>
      </c>
      <c r="CB175" s="72">
        <f t="shared" si="736"/>
        <v>158</v>
      </c>
      <c r="CC175" s="71">
        <f t="shared" si="737"/>
        <v>198</v>
      </c>
      <c r="CD175" s="72">
        <f t="shared" si="738"/>
        <v>209</v>
      </c>
      <c r="CE175" s="71">
        <f t="shared" si="739"/>
        <v>247</v>
      </c>
      <c r="CF175" s="72">
        <f t="shared" si="740"/>
        <v>288</v>
      </c>
      <c r="CG175" s="71">
        <f t="shared" si="741"/>
        <v>321</v>
      </c>
      <c r="CH175" s="70">
        <f t="shared" si="742"/>
        <v>76</v>
      </c>
      <c r="CI175" s="71">
        <f t="shared" si="743"/>
        <v>80</v>
      </c>
      <c r="CJ175" s="72">
        <f t="shared" si="744"/>
        <v>110</v>
      </c>
      <c r="CK175" s="72">
        <f t="shared" si="745"/>
        <v>114</v>
      </c>
      <c r="CL175" s="72">
        <f t="shared" si="746"/>
        <v>150</v>
      </c>
      <c r="CM175" s="72">
        <f t="shared" si="747"/>
        <v>157</v>
      </c>
      <c r="CN175" s="72">
        <f t="shared" si="748"/>
        <v>187</v>
      </c>
      <c r="CO175" s="72">
        <f t="shared" si="749"/>
        <v>200</v>
      </c>
      <c r="CP175" s="72">
        <f t="shared" si="750"/>
        <v>244</v>
      </c>
      <c r="CQ175" s="72">
        <f t="shared" si="751"/>
        <v>284</v>
      </c>
      <c r="CR175" s="72">
        <f t="shared" si="752"/>
        <v>320</v>
      </c>
      <c r="CS175" s="72">
        <f t="shared" si="753"/>
        <v>341</v>
      </c>
      <c r="CT175" s="23">
        <f t="shared" si="754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30" x14ac:dyDescent="0.2">
      <c r="A176" s="3" t="str">
        <f t="shared" si="951"/>
        <v>ccr9_human_5LWE</v>
      </c>
      <c r="B176" s="3" t="s">
        <v>177</v>
      </c>
      <c r="C176" s="3" t="s">
        <v>1365</v>
      </c>
      <c r="D176" s="3" t="str">
        <f>IFERROR(MID(VLOOKUP($B176,Seqs!$A:$B,2,0),E176,1),"")</f>
        <v>V</v>
      </c>
      <c r="E176" s="3">
        <v>43</v>
      </c>
      <c r="F176" s="3" t="str">
        <f>IFERROR(MID(VLOOKUP($B176,Seqs!$A:$B,2,0),G176,1),"")</f>
        <v>C</v>
      </c>
      <c r="G176" s="3">
        <v>76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T</v>
      </c>
      <c r="M176" s="3">
        <v>81</v>
      </c>
      <c r="N176" s="3" t="str">
        <f>IFERROR(MID(VLOOKUP($B176,Seqs!$A:$B,2,0),O176,1),"")</f>
        <v>A</v>
      </c>
      <c r="O176" s="3">
        <v>108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C</v>
      </c>
      <c r="U176" s="3">
        <v>119</v>
      </c>
      <c r="V176" s="3" t="str">
        <f>IFERROR(MID(VLOOKUP($B176,Seqs!$A:$B,2,0),W176,1),"")</f>
        <v>Q</v>
      </c>
      <c r="W176" s="3">
        <v>150</v>
      </c>
      <c r="X176" s="3" t="str">
        <f>IFERROR(MID(VLOOKUP($B176,Seqs!$A:$B,2,0),Y176,1),"")</f>
        <v>A</v>
      </c>
      <c r="Y176" s="3">
        <v>151</v>
      </c>
      <c r="Z176" s="3" t="str">
        <f>IFERROR(MID(VLOOKUP($B176,Seqs!$A:$B,2,0),AA176,1),"")</f>
        <v>W</v>
      </c>
      <c r="AA176" s="3">
        <v>157</v>
      </c>
      <c r="AB176" s="3" t="str">
        <f>IFERROR(MID(VLOOKUP($B176,Seqs!$A:$B,2,0),AC176,1),"")</f>
        <v>R</v>
      </c>
      <c r="AC176" s="9">
        <v>158</v>
      </c>
      <c r="AD176" s="3" t="str">
        <f>IFERROR(MID(VLOOKUP($B176,Seqs!$A:$B,2,0),AE176,1),"")</f>
        <v>I</v>
      </c>
      <c r="AE176" s="3">
        <v>184</v>
      </c>
      <c r="AF176" s="3" t="str">
        <f>IFERROR(MID(VLOOKUP($B176,Seqs!$A:$B,2,0),AG176,1),"")</f>
        <v/>
      </c>
      <c r="AG176" s="3" t="s">
        <v>23</v>
      </c>
      <c r="AH176" s="3" t="str">
        <f>IFERROR(MID(VLOOKUP($B176,Seqs!$A:$B,2,0),AI176,1),"")</f>
        <v/>
      </c>
      <c r="AI176" s="3" t="s">
        <v>23</v>
      </c>
      <c r="AJ176" s="3" t="str">
        <f>IFERROR(MID(VLOOKUP($B176,Seqs!$A:$B,2,0),AK176,1),"")</f>
        <v/>
      </c>
      <c r="AK176" s="3" t="s">
        <v>23</v>
      </c>
      <c r="AL176" s="3" t="str">
        <f>IFERROR(MID(VLOOKUP($B176,Seqs!$A:$B,2,0),AM176,1),"")</f>
        <v/>
      </c>
      <c r="AM176" s="3" t="s">
        <v>23</v>
      </c>
      <c r="AN176" s="3" t="str">
        <f>IFERROR(MID(VLOOKUP($B176,Seqs!$A:$B,2,0),AO176,1),"")</f>
        <v>S</v>
      </c>
      <c r="AO176" s="3">
        <v>247</v>
      </c>
      <c r="AP176" s="3" t="str">
        <f>IFERROR(MID(VLOOKUP($B176,Seqs!$A:$B,2,0),AQ176,1),"")</f>
        <v>M</v>
      </c>
      <c r="AQ176" s="3">
        <v>284</v>
      </c>
      <c r="AR176" s="3" t="str">
        <f>IFERROR(MID(VLOOKUP($B176,Seqs!$A:$B,2,0),AS176,1),"")</f>
        <v>N</v>
      </c>
      <c r="AS176" s="3">
        <v>288</v>
      </c>
      <c r="AT176" s="3" t="str">
        <f>IFERROR(MID(VLOOKUP($B176,Seqs!$A:$B,2,0),AU176,1),"")</f>
        <v>V</v>
      </c>
      <c r="AU176" s="3">
        <v>320</v>
      </c>
      <c r="AV176" s="3" t="str">
        <f>IFERROR(MID(VLOOKUP($B176,Seqs!$A:$B,2,0),AW176,1),"")</f>
        <v>G</v>
      </c>
      <c r="AW176" s="3">
        <v>321</v>
      </c>
      <c r="AX176" s="3" t="str">
        <f>IFERROR(MID(VLOOKUP($B176,Seqs!$A:$B,2,0),AY176,1),"")</f>
        <v>A</v>
      </c>
      <c r="AY176" s="3">
        <v>341</v>
      </c>
      <c r="AZ176" s="77" t="str">
        <f>VLOOKUP(B176,Classification!A:D,2,0)</f>
        <v>A</v>
      </c>
      <c r="BA176" s="94" t="str">
        <f>VLOOKUP(B176,Classification!A:D,4,0)</f>
        <v>Chemokine</v>
      </c>
      <c r="BB176" s="27" t="b">
        <f t="shared" si="952"/>
        <v>0</v>
      </c>
      <c r="BC176" s="23">
        <f t="shared" si="729"/>
        <v>224</v>
      </c>
      <c r="BD176" s="16" t="s">
        <v>1376</v>
      </c>
      <c r="BE176" s="3" t="s">
        <v>1374</v>
      </c>
      <c r="BF176" s="118">
        <v>2.8</v>
      </c>
      <c r="BG176" s="49" t="s">
        <v>1377</v>
      </c>
      <c r="BH176" s="49" t="s">
        <v>1377</v>
      </c>
      <c r="BI176" s="1"/>
      <c r="BJ176" s="70" t="s">
        <v>1287</v>
      </c>
      <c r="BK176" s="57" t="s">
        <v>1287</v>
      </c>
      <c r="BL176" s="57" t="s">
        <v>1287</v>
      </c>
      <c r="BM176" s="57" t="s">
        <v>1287</v>
      </c>
      <c r="BN176" s="57" t="s">
        <v>1287</v>
      </c>
      <c r="BO176" s="57" t="s">
        <v>1287</v>
      </c>
      <c r="BP176" s="57" t="s">
        <v>1287</v>
      </c>
      <c r="BQ176" s="57" t="s">
        <v>1287</v>
      </c>
      <c r="BR176" s="57" t="s">
        <v>1287</v>
      </c>
      <c r="BS176" s="57" t="s">
        <v>1287</v>
      </c>
      <c r="BT176" s="57" t="s">
        <v>1287</v>
      </c>
      <c r="BU176" s="57" t="s">
        <v>1287</v>
      </c>
      <c r="BV176" s="70">
        <f t="shared" si="730"/>
        <v>43</v>
      </c>
      <c r="BW176" s="71" t="str">
        <f t="shared" si="731"/>
        <v>-</v>
      </c>
      <c r="BX176" s="72">
        <f t="shared" si="732"/>
        <v>81</v>
      </c>
      <c r="BY176" s="71" t="str">
        <f t="shared" si="733"/>
        <v>-</v>
      </c>
      <c r="BZ176" s="72">
        <f t="shared" si="734"/>
        <v>119</v>
      </c>
      <c r="CA176" s="71">
        <f t="shared" si="735"/>
        <v>151</v>
      </c>
      <c r="CB176" s="72">
        <f t="shared" si="736"/>
        <v>158</v>
      </c>
      <c r="CC176" s="71" t="str">
        <f t="shared" si="737"/>
        <v>-</v>
      </c>
      <c r="CD176" s="72" t="str">
        <f t="shared" si="738"/>
        <v>-</v>
      </c>
      <c r="CE176" s="71">
        <f t="shared" si="739"/>
        <v>247</v>
      </c>
      <c r="CF176" s="72">
        <f t="shared" si="740"/>
        <v>288</v>
      </c>
      <c r="CG176" s="71">
        <f t="shared" si="741"/>
        <v>321</v>
      </c>
      <c r="CH176" s="70">
        <f t="shared" si="742"/>
        <v>76</v>
      </c>
      <c r="CI176" s="71" t="str">
        <f t="shared" si="743"/>
        <v>-</v>
      </c>
      <c r="CJ176" s="72">
        <f t="shared" si="744"/>
        <v>108</v>
      </c>
      <c r="CK176" s="72" t="str">
        <f t="shared" si="745"/>
        <v>-</v>
      </c>
      <c r="CL176" s="72">
        <f t="shared" si="746"/>
        <v>150</v>
      </c>
      <c r="CM176" s="72">
        <f t="shared" si="747"/>
        <v>157</v>
      </c>
      <c r="CN176" s="72">
        <f t="shared" si="748"/>
        <v>184</v>
      </c>
      <c r="CO176" s="72" t="str">
        <f t="shared" si="749"/>
        <v>-</v>
      </c>
      <c r="CP176" s="72" t="str">
        <f t="shared" si="750"/>
        <v>-</v>
      </c>
      <c r="CQ176" s="72">
        <f t="shared" si="751"/>
        <v>284</v>
      </c>
      <c r="CR176" s="72">
        <f t="shared" si="752"/>
        <v>320</v>
      </c>
      <c r="CS176" s="72">
        <f t="shared" si="753"/>
        <v>341</v>
      </c>
      <c r="CT176" s="23" t="e">
        <f t="shared" si="754"/>
        <v>#VALUE!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30" x14ac:dyDescent="0.2">
      <c r="A177" s="3" t="str">
        <f>CONCATENATE(B177,"_",C177)</f>
        <v>ccr9_human_5LWE_dist</v>
      </c>
      <c r="B177" s="3" t="s">
        <v>177</v>
      </c>
      <c r="C177" s="3" t="s">
        <v>1384</v>
      </c>
      <c r="D177" s="3" t="str">
        <f>IFERROR(MID(VLOOKUP($B177,Seqs!$A:$B,2,0),E177,1),"")</f>
        <v>V</v>
      </c>
      <c r="E177" s="3">
        <v>43</v>
      </c>
      <c r="F177" s="3" t="str">
        <f>IFERROR(MID(VLOOKUP($B177,Seqs!$A:$B,2,0),G177,1),"")</f>
        <v>C</v>
      </c>
      <c r="G177" s="3">
        <v>76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T</v>
      </c>
      <c r="M177" s="3">
        <v>81</v>
      </c>
      <c r="N177" s="3" t="str">
        <f>IFERROR(MID(VLOOKUP($B177,Seqs!$A:$B,2,0),O177,1),"")</f>
        <v>A</v>
      </c>
      <c r="O177" s="3">
        <v>108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C</v>
      </c>
      <c r="U177" s="3">
        <v>119</v>
      </c>
      <c r="V177" s="3" t="str">
        <f>IFERROR(MID(VLOOKUP($B177,Seqs!$A:$B,2,0),W177,1),"")</f>
        <v>Q</v>
      </c>
      <c r="W177" s="3">
        <v>150</v>
      </c>
      <c r="X177" s="3" t="str">
        <f>IFERROR(MID(VLOOKUP($B177,Seqs!$A:$B,2,0),Y177,1),"")</f>
        <v>A</v>
      </c>
      <c r="Y177" s="3">
        <v>151</v>
      </c>
      <c r="Z177" s="3" t="str">
        <f>IFERROR(MID(VLOOKUP($B177,Seqs!$A:$B,2,0),AA177,1),"")</f>
        <v>W</v>
      </c>
      <c r="AA177" s="3">
        <v>157</v>
      </c>
      <c r="AB177" s="3" t="str">
        <f>IFERROR(MID(VLOOKUP($B177,Seqs!$A:$B,2,0),AC177,1),"")</f>
        <v>R</v>
      </c>
      <c r="AC177" s="9">
        <v>158</v>
      </c>
      <c r="AD177" s="3" t="str">
        <f>IFERROR(MID(VLOOKUP($B177,Seqs!$A:$B,2,0),AE177,1),"")</f>
        <v>I</v>
      </c>
      <c r="AE177" s="3">
        <v>184</v>
      </c>
      <c r="AF177" s="3" t="str">
        <f>IFERROR(MID(VLOOKUP($B177,Seqs!$A:$B,2,0),AG177,1),"")</f>
        <v/>
      </c>
      <c r="AG177" s="3" t="s">
        <v>23</v>
      </c>
      <c r="AH177" s="3" t="str">
        <f>IFERROR(MID(VLOOKUP($B177,Seqs!$A:$B,2,0),AI177,1),"")</f>
        <v/>
      </c>
      <c r="AI177" s="3" t="s">
        <v>23</v>
      </c>
      <c r="AJ177" s="3" t="str">
        <f>IFERROR(MID(VLOOKUP($B177,Seqs!$A:$B,2,0),AK177,1),"")</f>
        <v>K</v>
      </c>
      <c r="AK177" s="3">
        <v>209</v>
      </c>
      <c r="AL177" s="3" t="str">
        <f>IFERROR(MID(VLOOKUP($B177,Seqs!$A:$B,2,0),AM177,1),"")</f>
        <v>A</v>
      </c>
      <c r="AM177" s="3">
        <v>244</v>
      </c>
      <c r="AN177" s="3" t="str">
        <f>IFERROR(MID(VLOOKUP($B177,Seqs!$A:$B,2,0),AO177,1),"")</f>
        <v>S</v>
      </c>
      <c r="AO177" s="3">
        <v>247</v>
      </c>
      <c r="AP177" s="3" t="str">
        <f>IFERROR(MID(VLOOKUP($B177,Seqs!$A:$B,2,0),AQ177,1),"")</f>
        <v>M</v>
      </c>
      <c r="AQ177" s="3">
        <v>284</v>
      </c>
      <c r="AR177" s="3" t="str">
        <f>IFERROR(MID(VLOOKUP($B177,Seqs!$A:$B,2,0),AS177,1),"")</f>
        <v>N</v>
      </c>
      <c r="AS177" s="3">
        <v>288</v>
      </c>
      <c r="AT177" s="3" t="str">
        <f>IFERROR(MID(VLOOKUP($B177,Seqs!$A:$B,2,0),AU177,1),"")</f>
        <v>V</v>
      </c>
      <c r="AU177" s="3">
        <v>320</v>
      </c>
      <c r="AV177" s="3" t="str">
        <f>IFERROR(MID(VLOOKUP($B177,Seqs!$A:$B,2,0),AW177,1),"")</f>
        <v>G</v>
      </c>
      <c r="AW177" s="3">
        <v>321</v>
      </c>
      <c r="AX177" s="3" t="str">
        <f>IFERROR(MID(VLOOKUP($B177,Seqs!$A:$B,2,0),AY177,1),"")</f>
        <v>A</v>
      </c>
      <c r="AY177" s="3">
        <v>341</v>
      </c>
      <c r="AZ177" s="77" t="str">
        <f>VLOOKUP(B177,Classification!A:D,2,0)</f>
        <v>A</v>
      </c>
      <c r="BA177" s="94" t="str">
        <f>VLOOKUP(B177,Classification!A:D,4,0)</f>
        <v>Chemokine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259</v>
      </c>
      <c r="BD177" s="16" t="s">
        <v>23</v>
      </c>
      <c r="BE177" s="3" t="s">
        <v>1374</v>
      </c>
      <c r="BF177" s="118">
        <v>2.8</v>
      </c>
      <c r="BG177" s="49" t="s">
        <v>1377</v>
      </c>
      <c r="BH177" s="49" t="s">
        <v>1377</v>
      </c>
      <c r="BI177" s="1"/>
      <c r="BJ177" s="70" t="s">
        <v>1287</v>
      </c>
      <c r="BK177" s="57" t="s">
        <v>1287</v>
      </c>
      <c r="BL177" s="57" t="s">
        <v>1287</v>
      </c>
      <c r="BM177" s="57" t="s">
        <v>1287</v>
      </c>
      <c r="BN177" s="57" t="s">
        <v>1287</v>
      </c>
      <c r="BO177" s="57" t="s">
        <v>1287</v>
      </c>
      <c r="BP177" s="57" t="s">
        <v>1287</v>
      </c>
      <c r="BQ177" s="57" t="s">
        <v>1287</v>
      </c>
      <c r="BR177" s="57" t="s">
        <v>1287</v>
      </c>
      <c r="BS177" s="57" t="s">
        <v>1287</v>
      </c>
      <c r="BT177" s="57" t="s">
        <v>1287</v>
      </c>
      <c r="BU177" s="57" t="s">
        <v>1287</v>
      </c>
      <c r="BV177" s="70">
        <f>E177</f>
        <v>43</v>
      </c>
      <c r="BW177" s="71" t="str">
        <f>I177</f>
        <v>-</v>
      </c>
      <c r="BX177" s="72">
        <f>M177</f>
        <v>81</v>
      </c>
      <c r="BY177" s="71" t="str">
        <f>Q177</f>
        <v>-</v>
      </c>
      <c r="BZ177" s="72">
        <f>U177</f>
        <v>119</v>
      </c>
      <c r="CA177" s="71">
        <f>Y177</f>
        <v>151</v>
      </c>
      <c r="CB177" s="72">
        <f>AC177</f>
        <v>158</v>
      </c>
      <c r="CC177" s="71" t="str">
        <f>AG177</f>
        <v>-</v>
      </c>
      <c r="CD177" s="72">
        <f>AK177</f>
        <v>209</v>
      </c>
      <c r="CE177" s="71">
        <f>AO177</f>
        <v>247</v>
      </c>
      <c r="CF177" s="72">
        <f>AS177</f>
        <v>288</v>
      </c>
      <c r="CG177" s="71">
        <f>AW177</f>
        <v>321</v>
      </c>
      <c r="CH177" s="70">
        <f>G177</f>
        <v>76</v>
      </c>
      <c r="CI177" s="71" t="str">
        <f>K177</f>
        <v>-</v>
      </c>
      <c r="CJ177" s="72">
        <f>O177</f>
        <v>108</v>
      </c>
      <c r="CK177" s="72" t="str">
        <f>S177</f>
        <v>-</v>
      </c>
      <c r="CL177" s="72">
        <f>W177</f>
        <v>150</v>
      </c>
      <c r="CM177" s="72">
        <f>AA177</f>
        <v>157</v>
      </c>
      <c r="CN177" s="72">
        <f>AE177</f>
        <v>184</v>
      </c>
      <c r="CO177" s="72" t="str">
        <f>AI177</f>
        <v>-</v>
      </c>
      <c r="CP177" s="72">
        <f>AM177</f>
        <v>244</v>
      </c>
      <c r="CQ177" s="72">
        <f>AQ177</f>
        <v>284</v>
      </c>
      <c r="CR177" s="72">
        <f>AU177</f>
        <v>320</v>
      </c>
      <c r="CS177" s="72">
        <f>AY177</f>
        <v>341</v>
      </c>
      <c r="CT177" s="23" t="e">
        <f>M177-K177</f>
        <v>#VALUE!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30" s="12" customFormat="1" x14ac:dyDescent="0.2">
      <c r="A178" s="9" t="str">
        <f t="shared" si="951"/>
        <v>cltr1_human__wt</v>
      </c>
      <c r="B178" s="9" t="s">
        <v>179</v>
      </c>
      <c r="C178" s="9" t="s">
        <v>100</v>
      </c>
      <c r="D178" s="9" t="str">
        <f>IFERROR(MID(VLOOKUP($B178,Seqs!$A:$B,2,0),E178,1),"")</f>
        <v>S</v>
      </c>
      <c r="E178" s="9">
        <v>11</v>
      </c>
      <c r="F178" s="9" t="str">
        <f>IFERROR(MID(VLOOKUP($B178,Seqs!$A:$B,2,0),G178,1),"")</f>
        <v>T</v>
      </c>
      <c r="G178" s="9">
        <v>51</v>
      </c>
      <c r="H178" s="9" t="str">
        <f>IFERROR(MID(VLOOKUP($B178,Seqs!$A:$B,2,0),I178,1),"")</f>
        <v/>
      </c>
      <c r="I178" s="109" t="s">
        <v>23</v>
      </c>
      <c r="J178" s="9" t="str">
        <f>IFERROR(MID(VLOOKUP($B178,Seqs!$A:$B,2,0),K178,1),"")</f>
        <v/>
      </c>
      <c r="K178" s="109" t="s">
        <v>23</v>
      </c>
      <c r="L178" s="9" t="str">
        <f>IFERROR(MID(VLOOKUP($B178,Seqs!$A:$B,2,0),M178,1),"")</f>
        <v>S</v>
      </c>
      <c r="M178" s="9">
        <v>56</v>
      </c>
      <c r="N178" s="9" t="str">
        <f>IFERROR(MID(VLOOKUP($B178,Seqs!$A:$B,2,0),O178,1),"")</f>
        <v>K</v>
      </c>
      <c r="O178" s="9">
        <v>86</v>
      </c>
      <c r="P178" s="9" t="str">
        <f>IFERROR(MID(VLOOKUP($B178,Seqs!$A:$B,2,0),Q178,1),"")</f>
        <v>I</v>
      </c>
      <c r="Q178" s="9">
        <v>88</v>
      </c>
      <c r="R178" s="9" t="str">
        <f>IFERROR(MID(VLOOKUP($B178,Seqs!$A:$B,2,0),S178,1),"")</f>
        <v>F</v>
      </c>
      <c r="S178" s="9">
        <v>91</v>
      </c>
      <c r="T178" s="9" t="str">
        <f>IFERROR(MID(VLOOKUP($B178,Seqs!$A:$B,2,0),U178,1),"")</f>
        <v>G</v>
      </c>
      <c r="U178" s="9">
        <v>92</v>
      </c>
      <c r="V178" s="9" t="str">
        <f>IFERROR(MID(VLOOKUP($B178,Seqs!$A:$B,2,0),W178,1),"")</f>
        <v>F</v>
      </c>
      <c r="W178" s="9">
        <v>127</v>
      </c>
      <c r="X178" s="9" t="str">
        <f>IFERROR(MID(VLOOKUP($B178,Seqs!$A:$B,2,0),Y178,1),"")</f>
        <v>P</v>
      </c>
      <c r="Y178" s="9">
        <v>128</v>
      </c>
      <c r="Z178" s="9" t="str">
        <f>IFERROR(MID(VLOOKUP($B178,Seqs!$A:$B,2,0),AA178,1),"")</f>
        <v>V</v>
      </c>
      <c r="AA178" s="9">
        <v>135</v>
      </c>
      <c r="AB178" s="9" t="str">
        <f>IFERROR(MID(VLOOKUP($B178,Seqs!$A:$B,2,0),AC178,1),"")</f>
        <v>T</v>
      </c>
      <c r="AC178" s="9">
        <v>136</v>
      </c>
      <c r="AD178" s="9" t="str">
        <f>IFERROR(MID(VLOOKUP($B178,Seqs!$A:$B,2,0),AE178,1),"")</f>
        <v>A</v>
      </c>
      <c r="AE178" s="9">
        <v>161</v>
      </c>
      <c r="AF178" s="9" t="str">
        <f>IFERROR(MID(VLOOKUP($B178,Seqs!$A:$B,2,0),AG178,1),"")</f>
        <v>C</v>
      </c>
      <c r="AG178" s="9">
        <v>173</v>
      </c>
      <c r="AH178" s="9" t="str">
        <f>IFERROR(MID(VLOOKUP($B178,Seqs!$A:$B,2,0),AI178,1),"")</f>
        <v>E</v>
      </c>
      <c r="AI178" s="9">
        <v>175</v>
      </c>
      <c r="AJ178" s="9" t="str">
        <f>IFERROR(MID(VLOOKUP($B178,Seqs!$A:$B,2,0),AK178,1),"")</f>
        <v>D</v>
      </c>
      <c r="AK178" s="9">
        <v>179</v>
      </c>
      <c r="AL178" s="9" t="str">
        <f>IFERROR(MID(VLOOKUP($B178,Seqs!$A:$B,2,0),AM178,1),"")</f>
        <v>K</v>
      </c>
      <c r="AM178" s="9">
        <v>218</v>
      </c>
      <c r="AN178" s="9" t="str">
        <f>IFERROR(MID(VLOOKUP($B178,Seqs!$A:$B,2,0),AO178,1),"")</f>
        <v>N</v>
      </c>
      <c r="AO178" s="9">
        <v>224</v>
      </c>
      <c r="AP178" s="9" t="str">
        <f>IFERROR(MID(VLOOKUP($B178,Seqs!$A:$B,2,0),AQ178,1),"")</f>
        <v>N</v>
      </c>
      <c r="AQ178" s="9">
        <v>262</v>
      </c>
      <c r="AR178" s="9" t="str">
        <f>IFERROR(MID(VLOOKUP($B178,Seqs!$A:$B,2,0),AS178,1),"")</f>
        <v>P</v>
      </c>
      <c r="AS178" s="9">
        <v>266</v>
      </c>
      <c r="AT178" s="9" t="str">
        <f>IFERROR(MID(VLOOKUP($B178,Seqs!$A:$B,2,0),AU178,1),"")</f>
        <v>S</v>
      </c>
      <c r="AU178" s="9">
        <v>298</v>
      </c>
      <c r="AV178" s="9" t="str">
        <f>IFERROR(MID(VLOOKUP($B178,Seqs!$A:$B,2,0),AW178,1),"")</f>
        <v>G</v>
      </c>
      <c r="AW178" s="9">
        <v>299</v>
      </c>
      <c r="AX178" s="9" t="str">
        <f>IFERROR(MID(VLOOKUP($B178,Seqs!$A:$B,2,0),AY178,1),"")</f>
        <v>K</v>
      </c>
      <c r="AY178" s="9">
        <v>311</v>
      </c>
      <c r="AZ178" s="110" t="str">
        <f>VLOOKUP(B178,Classification!A:D,2,0)</f>
        <v>A</v>
      </c>
      <c r="BA178" s="98" t="str">
        <f>VLOOKUP(B178,Classification!A:D,4,0)</f>
        <v>Leukotriene</v>
      </c>
      <c r="BB178" s="36" t="b">
        <f t="shared" ref="BB178:BB179" si="1177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09">
        <f t="shared" ref="BC178:BC179" si="1178">_xlfn.AGGREGATE(9,6,CH178:CS178)-_xlfn.AGGREGATE(9,6,BV178:CG178)+12</f>
        <v>275</v>
      </c>
      <c r="BD178" s="126" t="s">
        <v>23</v>
      </c>
      <c r="BE178" s="9" t="s">
        <v>1374</v>
      </c>
      <c r="BF178" s="119">
        <v>3.8</v>
      </c>
      <c r="BG178" s="51" t="s">
        <v>1377</v>
      </c>
      <c r="BH178" s="51" t="s">
        <v>1377</v>
      </c>
      <c r="BJ178" s="111" t="s">
        <v>1287</v>
      </c>
      <c r="BK178" s="112" t="s">
        <v>1287</v>
      </c>
      <c r="BL178" s="112" t="s">
        <v>1287</v>
      </c>
      <c r="BM178" s="112" t="s">
        <v>1287</v>
      </c>
      <c r="BN178" s="112" t="s">
        <v>1287</v>
      </c>
      <c r="BO178" s="112" t="s">
        <v>1287</v>
      </c>
      <c r="BP178" s="112" t="s">
        <v>1287</v>
      </c>
      <c r="BQ178" s="112" t="s">
        <v>1287</v>
      </c>
      <c r="BR178" s="112" t="s">
        <v>1287</v>
      </c>
      <c r="BS178" s="112" t="s">
        <v>1287</v>
      </c>
      <c r="BT178" s="112" t="s">
        <v>1287</v>
      </c>
      <c r="BU178" s="112" t="s">
        <v>1287</v>
      </c>
      <c r="BV178" s="111">
        <f t="shared" ref="BV178:BV179" si="1179">E178</f>
        <v>11</v>
      </c>
      <c r="BW178" s="113" t="str">
        <f t="shared" ref="BW178:BW179" si="1180">I178</f>
        <v>-</v>
      </c>
      <c r="BX178" s="114">
        <f t="shared" ref="BX178:BX179" si="1181">M178</f>
        <v>56</v>
      </c>
      <c r="BY178" s="113">
        <f t="shared" ref="BY178:BY179" si="1182">Q178</f>
        <v>88</v>
      </c>
      <c r="BZ178" s="114">
        <f t="shared" ref="BZ178:BZ179" si="1183">U178</f>
        <v>92</v>
      </c>
      <c r="CA178" s="113">
        <f t="shared" ref="CA178:CA179" si="1184">Y178</f>
        <v>128</v>
      </c>
      <c r="CB178" s="114">
        <f t="shared" ref="CB178:CB179" si="1185">AC178</f>
        <v>136</v>
      </c>
      <c r="CC178" s="113">
        <f t="shared" ref="CC178:CC179" si="1186">AG178</f>
        <v>173</v>
      </c>
      <c r="CD178" s="114">
        <f t="shared" ref="CD178:CD179" si="1187">AK178</f>
        <v>179</v>
      </c>
      <c r="CE178" s="113">
        <f t="shared" ref="CE178:CE179" si="1188">AO178</f>
        <v>224</v>
      </c>
      <c r="CF178" s="114">
        <f t="shared" ref="CF178:CF179" si="1189">AS178</f>
        <v>266</v>
      </c>
      <c r="CG178" s="113">
        <f t="shared" ref="CG178:CG179" si="1190">AW178</f>
        <v>299</v>
      </c>
      <c r="CH178" s="111">
        <f t="shared" ref="CH178:CH179" si="1191">G178</f>
        <v>51</v>
      </c>
      <c r="CI178" s="113" t="str">
        <f t="shared" ref="CI178:CI179" si="1192">K178</f>
        <v>-</v>
      </c>
      <c r="CJ178" s="114">
        <f t="shared" ref="CJ178:CJ179" si="1193">O178</f>
        <v>86</v>
      </c>
      <c r="CK178" s="114">
        <f t="shared" ref="CK178:CK179" si="1194">S178</f>
        <v>91</v>
      </c>
      <c r="CL178" s="114">
        <f t="shared" ref="CL178:CL179" si="1195">W178</f>
        <v>127</v>
      </c>
      <c r="CM178" s="114">
        <f t="shared" ref="CM178:CM179" si="1196">AA178</f>
        <v>135</v>
      </c>
      <c r="CN178" s="114">
        <f t="shared" ref="CN178:CN179" si="1197">AE178</f>
        <v>161</v>
      </c>
      <c r="CO178" s="114">
        <f t="shared" ref="CO178:CO179" si="1198">AI178</f>
        <v>175</v>
      </c>
      <c r="CP178" s="114">
        <f t="shared" ref="CP178:CP179" si="1199">AM178</f>
        <v>218</v>
      </c>
      <c r="CQ178" s="114">
        <f t="shared" ref="CQ178:CQ179" si="1200">AQ178</f>
        <v>262</v>
      </c>
      <c r="CR178" s="114">
        <f t="shared" ref="CR178:CR179" si="1201">AU178</f>
        <v>298</v>
      </c>
      <c r="CS178" s="114">
        <f t="shared" ref="CS178:CS179" si="1202">AY178</f>
        <v>311</v>
      </c>
      <c r="CT178" s="109" t="e">
        <f t="shared" ref="CT178:CT179" si="1203">M178-K178</f>
        <v>#VALUE!</v>
      </c>
    </row>
    <row r="179" spans="1:1030" s="12" customFormat="1" x14ac:dyDescent="0.2">
      <c r="A179" s="9" t="str">
        <f t="shared" si="951"/>
        <v>cltr1_human_6RZ4</v>
      </c>
      <c r="B179" s="9" t="s">
        <v>179</v>
      </c>
      <c r="C179" s="9" t="s">
        <v>1601</v>
      </c>
      <c r="D179" s="9" t="str">
        <f>IFERROR(MID(VLOOKUP($B179,Seqs!$A:$B,2,0),E179,1),"")</f>
        <v>S</v>
      </c>
      <c r="E179" s="9">
        <v>11</v>
      </c>
      <c r="F179" s="9" t="str">
        <f>IFERROR(MID(VLOOKUP($B179,Seqs!$A:$B,2,0),G179,1),"")</f>
        <v>T</v>
      </c>
      <c r="G179" s="9">
        <v>51</v>
      </c>
      <c r="H179" s="9" t="str">
        <f>IFERROR(MID(VLOOKUP($B179,Seqs!$A:$B,2,0),I179,1),"")</f>
        <v/>
      </c>
      <c r="I179" s="109" t="s">
        <v>23</v>
      </c>
      <c r="J179" s="9" t="str">
        <f>IFERROR(MID(VLOOKUP($B179,Seqs!$A:$B,2,0),K179,1),"")</f>
        <v/>
      </c>
      <c r="K179" s="109" t="s">
        <v>23</v>
      </c>
      <c r="L179" s="9" t="str">
        <f>IFERROR(MID(VLOOKUP($B179,Seqs!$A:$B,2,0),M179,1),"")</f>
        <v>S</v>
      </c>
      <c r="M179" s="9">
        <v>56</v>
      </c>
      <c r="N179" s="9" t="str">
        <f>IFERROR(MID(VLOOKUP($B179,Seqs!$A:$B,2,0),O179,1),"")</f>
        <v>K</v>
      </c>
      <c r="O179" s="9">
        <v>86</v>
      </c>
      <c r="P179" s="9" t="str">
        <f>IFERROR(MID(VLOOKUP($B179,Seqs!$A:$B,2,0),Q179,1),"")</f>
        <v>I</v>
      </c>
      <c r="Q179" s="9">
        <v>88</v>
      </c>
      <c r="R179" s="9" t="str">
        <f>IFERROR(MID(VLOOKUP($B179,Seqs!$A:$B,2,0),S179,1),"")</f>
        <v>F</v>
      </c>
      <c r="S179" s="9">
        <v>91</v>
      </c>
      <c r="T179" s="9" t="str">
        <f>IFERROR(MID(VLOOKUP($B179,Seqs!$A:$B,2,0),U179,1),"")</f>
        <v>G</v>
      </c>
      <c r="U179" s="9">
        <v>92</v>
      </c>
      <c r="V179" s="9" t="str">
        <f>IFERROR(MID(VLOOKUP($B179,Seqs!$A:$B,2,0),W179,1),"")</f>
        <v>F</v>
      </c>
      <c r="W179" s="9">
        <v>127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I</v>
      </c>
      <c r="AC179" s="9">
        <v>132</v>
      </c>
      <c r="AD179" s="9" t="str">
        <f>IFERROR(MID(VLOOKUP($B179,Seqs!$A:$B,2,0),AE179,1),"")</f>
        <v>A</v>
      </c>
      <c r="AE179" s="9">
        <v>161</v>
      </c>
      <c r="AF179" s="9" t="str">
        <f>IFERROR(MID(VLOOKUP($B179,Seqs!$A:$B,2,0),AG179,1),"")</f>
        <v>C</v>
      </c>
      <c r="AG179" s="9">
        <v>173</v>
      </c>
      <c r="AH179" s="9" t="str">
        <f>IFERROR(MID(VLOOKUP($B179,Seqs!$A:$B,2,0),AI179,1),"")</f>
        <v>E</v>
      </c>
      <c r="AI179" s="9">
        <v>175</v>
      </c>
      <c r="AJ179" s="9" t="str">
        <f>IFERROR(MID(VLOOKUP($B179,Seqs!$A:$B,2,0),AK179,1),"")</f>
        <v>D</v>
      </c>
      <c r="AK179" s="9">
        <v>179</v>
      </c>
      <c r="AL179" s="9" t="str">
        <f>IFERROR(MID(VLOOKUP($B179,Seqs!$A:$B,2,0),AM179,1),"")</f>
        <v>K</v>
      </c>
      <c r="AM179" s="9">
        <v>222</v>
      </c>
      <c r="AN179" s="9" t="str">
        <f>IFERROR(MID(VLOOKUP($B179,Seqs!$A:$B,2,0),AO179,1),"")</f>
        <v>I</v>
      </c>
      <c r="AO179" s="9">
        <v>334</v>
      </c>
      <c r="AP179" s="9" t="str">
        <f>IFERROR(MID(VLOOKUP($B179,Seqs!$A:$B,2,0),AQ179,1),"")</f>
        <v/>
      </c>
      <c r="AQ179" s="9">
        <v>371</v>
      </c>
      <c r="AR179" s="9" t="str">
        <f>IFERROR(MID(VLOOKUP($B179,Seqs!$A:$B,2,0),AS179,1),"")</f>
        <v/>
      </c>
      <c r="AS179" s="9">
        <v>375</v>
      </c>
      <c r="AT179" s="9" t="str">
        <f>IFERROR(MID(VLOOKUP($B179,Seqs!$A:$B,2,0),AU179,1),"")</f>
        <v/>
      </c>
      <c r="AU179" s="9">
        <v>406</v>
      </c>
      <c r="AV179" s="9" t="str">
        <f>IFERROR(MID(VLOOKUP($B179,Seqs!$A:$B,2,0),AW179,1),"")</f>
        <v/>
      </c>
      <c r="AW179" s="9" t="s">
        <v>23</v>
      </c>
      <c r="AX179" s="9" t="str">
        <f>IFERROR(MID(VLOOKUP($B179,Seqs!$A:$B,2,0),AY179,1),"")</f>
        <v/>
      </c>
      <c r="AY179" s="9" t="s">
        <v>23</v>
      </c>
      <c r="AZ179" s="110" t="str">
        <f>VLOOKUP(B179,Classification!A:D,2,0)</f>
        <v>A</v>
      </c>
      <c r="BA179" s="98" t="str">
        <f>VLOOKUP(B179,Classification!A:D,4,0)</f>
        <v>Leukotriene</v>
      </c>
      <c r="BB179" s="36" t="b">
        <f t="shared" si="1177"/>
        <v>1</v>
      </c>
      <c r="BC179" s="109">
        <f t="shared" si="1178"/>
        <v>262</v>
      </c>
      <c r="BD179" s="126" t="s">
        <v>1429</v>
      </c>
      <c r="BE179" s="9" t="s">
        <v>1428</v>
      </c>
      <c r="BF179" s="119">
        <v>2.7</v>
      </c>
      <c r="BG179" s="51" t="s">
        <v>1</v>
      </c>
      <c r="BH179" s="51" t="s">
        <v>1</v>
      </c>
      <c r="BJ179" s="111" t="s">
        <v>1287</v>
      </c>
      <c r="BK179" s="112" t="s">
        <v>1287</v>
      </c>
      <c r="BL179" s="112" t="s">
        <v>1287</v>
      </c>
      <c r="BM179" s="112" t="s">
        <v>1287</v>
      </c>
      <c r="BN179" s="112" t="s">
        <v>1287</v>
      </c>
      <c r="BO179" s="112" t="s">
        <v>1287</v>
      </c>
      <c r="BP179" s="112" t="s">
        <v>1287</v>
      </c>
      <c r="BQ179" s="112" t="s">
        <v>1287</v>
      </c>
      <c r="BR179" s="112" t="s">
        <v>1287</v>
      </c>
      <c r="BS179" s="112" t="s">
        <v>1287</v>
      </c>
      <c r="BT179" s="112" t="s">
        <v>1287</v>
      </c>
      <c r="BU179" s="112" t="s">
        <v>1287</v>
      </c>
      <c r="BV179" s="111">
        <f t="shared" si="1179"/>
        <v>11</v>
      </c>
      <c r="BW179" s="113" t="str">
        <f t="shared" si="1180"/>
        <v>-</v>
      </c>
      <c r="BX179" s="114">
        <f t="shared" si="1181"/>
        <v>56</v>
      </c>
      <c r="BY179" s="113">
        <f t="shared" si="1182"/>
        <v>88</v>
      </c>
      <c r="BZ179" s="114">
        <f t="shared" si="1183"/>
        <v>92</v>
      </c>
      <c r="CA179" s="113" t="str">
        <f t="shared" si="1184"/>
        <v>-</v>
      </c>
      <c r="CB179" s="114">
        <f t="shared" si="1185"/>
        <v>132</v>
      </c>
      <c r="CC179" s="113">
        <f t="shared" si="1186"/>
        <v>173</v>
      </c>
      <c r="CD179" s="114">
        <f t="shared" si="1187"/>
        <v>179</v>
      </c>
      <c r="CE179" s="113">
        <f t="shared" si="1188"/>
        <v>334</v>
      </c>
      <c r="CF179" s="114">
        <f t="shared" si="1189"/>
        <v>375</v>
      </c>
      <c r="CG179" s="113" t="str">
        <f t="shared" si="1190"/>
        <v>-</v>
      </c>
      <c r="CH179" s="111">
        <f t="shared" si="1191"/>
        <v>51</v>
      </c>
      <c r="CI179" s="113" t="str">
        <f t="shared" si="1192"/>
        <v>-</v>
      </c>
      <c r="CJ179" s="114">
        <f t="shared" si="1193"/>
        <v>86</v>
      </c>
      <c r="CK179" s="114">
        <f t="shared" si="1194"/>
        <v>91</v>
      </c>
      <c r="CL179" s="114">
        <f t="shared" si="1195"/>
        <v>127</v>
      </c>
      <c r="CM179" s="114" t="str">
        <f t="shared" si="1196"/>
        <v>-</v>
      </c>
      <c r="CN179" s="114">
        <f t="shared" si="1197"/>
        <v>161</v>
      </c>
      <c r="CO179" s="114">
        <f t="shared" si="1198"/>
        <v>175</v>
      </c>
      <c r="CP179" s="114">
        <f t="shared" si="1199"/>
        <v>222</v>
      </c>
      <c r="CQ179" s="114">
        <f t="shared" si="1200"/>
        <v>371</v>
      </c>
      <c r="CR179" s="114">
        <f t="shared" si="1201"/>
        <v>406</v>
      </c>
      <c r="CS179" s="114" t="str">
        <f t="shared" si="1202"/>
        <v>-</v>
      </c>
      <c r="CT179" s="109" t="e">
        <f t="shared" si="1203"/>
        <v>#VALUE!</v>
      </c>
    </row>
    <row r="180" spans="1:1030" s="12" customFormat="1" x14ac:dyDescent="0.2">
      <c r="A180" s="9" t="str">
        <f t="shared" ref="A180" si="1204">CONCATENATE(B180,"_",C180)</f>
        <v>cltr1_human_6RZ5</v>
      </c>
      <c r="B180" s="9" t="s">
        <v>179</v>
      </c>
      <c r="C180" s="9" t="s">
        <v>1602</v>
      </c>
      <c r="D180" s="9" t="str">
        <f>IFERROR(MID(VLOOKUP($B180,Seqs!$A:$B,2,0),E180,1),"")</f>
        <v>I</v>
      </c>
      <c r="E180" s="9">
        <v>18</v>
      </c>
      <c r="F180" s="9" t="str">
        <f>IFERROR(MID(VLOOKUP($B180,Seqs!$A:$B,2,0),G180,1),"")</f>
        <v>T</v>
      </c>
      <c r="G180" s="9">
        <v>51</v>
      </c>
      <c r="H180" s="9" t="str">
        <f>IFERROR(MID(VLOOKUP($B180,Seqs!$A:$B,2,0),I180,1),"")</f>
        <v/>
      </c>
      <c r="I180" s="109" t="s">
        <v>23</v>
      </c>
      <c r="J180" s="9" t="str">
        <f>IFERROR(MID(VLOOKUP($B180,Seqs!$A:$B,2,0),K180,1),"")</f>
        <v/>
      </c>
      <c r="K180" s="109" t="s">
        <v>23</v>
      </c>
      <c r="L180" s="9" t="str">
        <f>IFERROR(MID(VLOOKUP($B180,Seqs!$A:$B,2,0),M180,1),"")</f>
        <v>S</v>
      </c>
      <c r="M180" s="9">
        <v>56</v>
      </c>
      <c r="N180" s="9" t="str">
        <f>IFERROR(MID(VLOOKUP($B180,Seqs!$A:$B,2,0),O180,1),"")</f>
        <v>K</v>
      </c>
      <c r="O180" s="9">
        <v>86</v>
      </c>
      <c r="P180" s="9" t="str">
        <f>IFERROR(MID(VLOOKUP($B180,Seqs!$A:$B,2,0),Q180,1),"")</f>
        <v>I</v>
      </c>
      <c r="Q180" s="9">
        <v>88</v>
      </c>
      <c r="R180" s="9" t="str">
        <f>IFERROR(MID(VLOOKUP($B180,Seqs!$A:$B,2,0),S180,1),"")</f>
        <v>F</v>
      </c>
      <c r="S180" s="9">
        <v>91</v>
      </c>
      <c r="T180" s="9" t="str">
        <f>IFERROR(MID(VLOOKUP($B180,Seqs!$A:$B,2,0),U180,1),"")</f>
        <v>G</v>
      </c>
      <c r="U180" s="9">
        <v>92</v>
      </c>
      <c r="V180" s="9" t="str">
        <f>IFERROR(MID(VLOOKUP($B180,Seqs!$A:$B,2,0),W180,1),"")</f>
        <v>F</v>
      </c>
      <c r="W180" s="9">
        <v>127</v>
      </c>
      <c r="X180" s="9" t="str">
        <f>IFERROR(MID(VLOOKUP($B180,Seqs!$A:$B,2,0),Y180,1),"")</f>
        <v>P</v>
      </c>
      <c r="Y180" s="9">
        <v>128</v>
      </c>
      <c r="Z180" s="9" t="str">
        <f>IFERROR(MID(VLOOKUP($B180,Seqs!$A:$B,2,0),AA180,1),"")</f>
        <v>V</v>
      </c>
      <c r="AA180" s="9">
        <v>135</v>
      </c>
      <c r="AB180" s="9" t="str">
        <f>IFERROR(MID(VLOOKUP($B180,Seqs!$A:$B,2,0),AC180,1),"")</f>
        <v>T</v>
      </c>
      <c r="AC180" s="9">
        <v>136</v>
      </c>
      <c r="AD180" s="9" t="str">
        <f>IFERROR(MID(VLOOKUP($B180,Seqs!$A:$B,2,0),AE180,1),"")</f>
        <v>M</v>
      </c>
      <c r="AE180" s="9">
        <v>160</v>
      </c>
      <c r="AF180" s="9" t="str">
        <f>IFERROR(MID(VLOOKUP($B180,Seqs!$A:$B,2,0),AG180,1),"")</f>
        <v>C</v>
      </c>
      <c r="AG180" s="9">
        <v>173</v>
      </c>
      <c r="AH180" s="9" t="str">
        <f>IFERROR(MID(VLOOKUP($B180,Seqs!$A:$B,2,0),AI180,1),"")</f>
        <v>E</v>
      </c>
      <c r="AI180" s="9">
        <v>175</v>
      </c>
      <c r="AJ180" s="9" t="str">
        <f>IFERROR(MID(VLOOKUP($B180,Seqs!$A:$B,2,0),AK180,1),"")</f>
        <v>K</v>
      </c>
      <c r="AK180" s="9">
        <v>183</v>
      </c>
      <c r="AL180" s="9" t="str">
        <f>IFERROR(MID(VLOOKUP($B180,Seqs!$A:$B,2,0),AM180,1),"")</f>
        <v>K</v>
      </c>
      <c r="AM180" s="9">
        <v>222</v>
      </c>
      <c r="AN180" s="9" t="str">
        <f>IFERROR(MID(VLOOKUP($B180,Seqs!$A:$B,2,0),AO180,1),"")</f>
        <v>C</v>
      </c>
      <c r="AO180" s="9">
        <v>335</v>
      </c>
      <c r="AP180" s="9" t="str">
        <f>IFERROR(MID(VLOOKUP($B180,Seqs!$A:$B,2,0),AQ180,1),"")</f>
        <v/>
      </c>
      <c r="AQ180" s="9">
        <v>371</v>
      </c>
      <c r="AR180" s="9" t="str">
        <f>IFERROR(MID(VLOOKUP($B180,Seqs!$A:$B,2,0),AS180,1),"")</f>
        <v/>
      </c>
      <c r="AS180" s="9">
        <v>375</v>
      </c>
      <c r="AT180" s="9" t="str">
        <f>IFERROR(MID(VLOOKUP($B180,Seqs!$A:$B,2,0),AU180,1),"")</f>
        <v/>
      </c>
      <c r="AU180" s="9">
        <v>407</v>
      </c>
      <c r="AV180" s="9" t="str">
        <f>IFERROR(MID(VLOOKUP($B180,Seqs!$A:$B,2,0),AW180,1),"")</f>
        <v/>
      </c>
      <c r="AW180" s="9" t="s">
        <v>23</v>
      </c>
      <c r="AX180" s="9" t="str">
        <f>IFERROR(MID(VLOOKUP($B180,Seqs!$A:$B,2,0),AY180,1),"")</f>
        <v/>
      </c>
      <c r="AY180" s="9" t="s">
        <v>23</v>
      </c>
      <c r="AZ180" s="110" t="str">
        <f>VLOOKUP(B180,Classification!A:D,2,0)</f>
        <v>A</v>
      </c>
      <c r="BA180" s="98" t="str">
        <f>VLOOKUP(B180,Classification!A:D,4,0)</f>
        <v>Leukotriene</v>
      </c>
      <c r="BB180" s="36" t="b">
        <f t="shared" ref="BB180" si="1205">AND(E180&lt;G180,OR(G180&lt;I180,I180="-"),OR(I180&lt;K180,I180="-"),OR(K180&lt;M180,K180="-"),M180&lt;O180,OR(O180&lt;Q180,Q180="-"),OR(Q180&lt;S180,Q180="-"),OR(S180&lt;U180,S180="-"),U180&lt;W180,OR(W180&lt;Y180,Y180="-"),OR(Y180&lt;AA180,Y180="-"),OR(AA180&lt;AC180,AA180="-"),AC180&lt;AE180,OR(AE180&lt;AG180,AG180="-"),OR(AG180&lt;AI180,AG180="-"),OR(AI180&lt;AK180,AI180="-"),AK180&lt;AM180,AM180&lt;AO180,AO180&lt;AQ180,AQ180&lt;AS180,AS180&lt;AU180,OR(AU180&lt;AW180,AW180="-"),OR(AW180&lt;AY180,AW180="-"))</f>
        <v>1</v>
      </c>
      <c r="BC180" s="109">
        <f t="shared" ref="BC180" si="1206">_xlfn.AGGREGATE(9,6,CH180:CS180)-_xlfn.AGGREGATE(9,6,BV180:CG180)+12</f>
        <v>253</v>
      </c>
      <c r="BD180" s="126" t="s">
        <v>23</v>
      </c>
      <c r="BE180" s="9" t="s">
        <v>1428</v>
      </c>
      <c r="BF180" s="119">
        <v>2.5299999999999998</v>
      </c>
      <c r="BG180" s="51" t="s">
        <v>1281</v>
      </c>
      <c r="BH180" s="51" t="s">
        <v>1281</v>
      </c>
      <c r="BJ180" s="111" t="s">
        <v>1287</v>
      </c>
      <c r="BK180" s="112" t="s">
        <v>1287</v>
      </c>
      <c r="BL180" s="112" t="s">
        <v>1287</v>
      </c>
      <c r="BM180" s="112" t="s">
        <v>1287</v>
      </c>
      <c r="BN180" s="112" t="s">
        <v>1287</v>
      </c>
      <c r="BO180" s="112" t="s">
        <v>1287</v>
      </c>
      <c r="BP180" s="112" t="s">
        <v>1287</v>
      </c>
      <c r="BQ180" s="112" t="s">
        <v>1287</v>
      </c>
      <c r="BR180" s="112" t="s">
        <v>1287</v>
      </c>
      <c r="BS180" s="112" t="s">
        <v>1287</v>
      </c>
      <c r="BT180" s="112" t="s">
        <v>1287</v>
      </c>
      <c r="BU180" s="112" t="s">
        <v>1287</v>
      </c>
      <c r="BV180" s="111">
        <f t="shared" ref="BV180" si="1207">E180</f>
        <v>18</v>
      </c>
      <c r="BW180" s="113" t="str">
        <f t="shared" ref="BW180" si="1208">I180</f>
        <v>-</v>
      </c>
      <c r="BX180" s="114">
        <f t="shared" ref="BX180" si="1209">M180</f>
        <v>56</v>
      </c>
      <c r="BY180" s="113">
        <f t="shared" ref="BY180" si="1210">Q180</f>
        <v>88</v>
      </c>
      <c r="BZ180" s="114">
        <f t="shared" ref="BZ180" si="1211">U180</f>
        <v>92</v>
      </c>
      <c r="CA180" s="113">
        <f t="shared" ref="CA180" si="1212">Y180</f>
        <v>128</v>
      </c>
      <c r="CB180" s="114">
        <f t="shared" ref="CB180" si="1213">AC180</f>
        <v>136</v>
      </c>
      <c r="CC180" s="113">
        <f t="shared" ref="CC180" si="1214">AG180</f>
        <v>173</v>
      </c>
      <c r="CD180" s="114">
        <f t="shared" ref="CD180" si="1215">AK180</f>
        <v>183</v>
      </c>
      <c r="CE180" s="113">
        <f t="shared" ref="CE180" si="1216">AO180</f>
        <v>335</v>
      </c>
      <c r="CF180" s="114">
        <f t="shared" ref="CF180" si="1217">AS180</f>
        <v>375</v>
      </c>
      <c r="CG180" s="113" t="str">
        <f t="shared" ref="CG180" si="1218">AW180</f>
        <v>-</v>
      </c>
      <c r="CH180" s="111">
        <f t="shared" ref="CH180" si="1219">G180</f>
        <v>51</v>
      </c>
      <c r="CI180" s="113" t="str">
        <f t="shared" ref="CI180" si="1220">K180</f>
        <v>-</v>
      </c>
      <c r="CJ180" s="114">
        <f t="shared" ref="CJ180" si="1221">O180</f>
        <v>86</v>
      </c>
      <c r="CK180" s="114">
        <f t="shared" ref="CK180" si="1222">S180</f>
        <v>91</v>
      </c>
      <c r="CL180" s="114">
        <f t="shared" ref="CL180" si="1223">W180</f>
        <v>127</v>
      </c>
      <c r="CM180" s="114">
        <f t="shared" ref="CM180" si="1224">AA180</f>
        <v>135</v>
      </c>
      <c r="CN180" s="114">
        <f t="shared" ref="CN180" si="1225">AE180</f>
        <v>160</v>
      </c>
      <c r="CO180" s="114">
        <f t="shared" ref="CO180" si="1226">AI180</f>
        <v>175</v>
      </c>
      <c r="CP180" s="114">
        <f t="shared" ref="CP180" si="1227">AM180</f>
        <v>222</v>
      </c>
      <c r="CQ180" s="114">
        <f t="shared" ref="CQ180" si="1228">AQ180</f>
        <v>371</v>
      </c>
      <c r="CR180" s="114">
        <f t="shared" ref="CR180" si="1229">AU180</f>
        <v>407</v>
      </c>
      <c r="CS180" s="114" t="str">
        <f t="shared" ref="CS180" si="1230">AY180</f>
        <v>-</v>
      </c>
      <c r="CT180" s="109" t="e">
        <f t="shared" ref="CT180" si="1231">M180-K180</f>
        <v>#VALUE!</v>
      </c>
    </row>
    <row r="181" spans="1:1030" s="12" customFormat="1" x14ac:dyDescent="0.2">
      <c r="A181" s="9" t="str">
        <f t="shared" ref="A181:A182" si="1232">CONCATENATE(B181,"_",C181)</f>
        <v>cltr2_human__wt</v>
      </c>
      <c r="B181" s="9" t="s">
        <v>180</v>
      </c>
      <c r="C181" s="9" t="s">
        <v>100</v>
      </c>
      <c r="D181" s="9" t="str">
        <f>IFERROR(MID(VLOOKUP($B181,Seqs!$A:$B,2,0),E181,1),"")</f>
        <v>C</v>
      </c>
      <c r="E181" s="9">
        <v>31</v>
      </c>
      <c r="F181" s="9" t="str">
        <f>IFERROR(MID(VLOOKUP($B181,Seqs!$A:$B,2,0),G181,1),"")</f>
        <v>P</v>
      </c>
      <c r="G181" s="9">
        <v>66</v>
      </c>
      <c r="H181" s="9" t="str">
        <f>IFERROR(MID(VLOOKUP($B181,Seqs!$A:$B,2,0),I181,1),"")</f>
        <v/>
      </c>
      <c r="I181" s="109" t="s">
        <v>23</v>
      </c>
      <c r="J181" s="9" t="str">
        <f>IFERROR(MID(VLOOKUP($B181,Seqs!$A:$B,2,0),K181,1),"")</f>
        <v/>
      </c>
      <c r="K181" s="109" t="s">
        <v>23</v>
      </c>
      <c r="L181" s="9" t="str">
        <f>IFERROR(MID(VLOOKUP($B181,Seqs!$A:$B,2,0),M181,1),"")</f>
        <v>T</v>
      </c>
      <c r="M181" s="9">
        <v>71</v>
      </c>
      <c r="N181" s="9" t="str">
        <f>IFERROR(MID(VLOOKUP($B181,Seqs!$A:$B,2,0),O181,1),"")</f>
        <v>G</v>
      </c>
      <c r="O181" s="9">
        <v>101</v>
      </c>
      <c r="P181" s="9" t="str">
        <f>IFERROR(MID(VLOOKUP($B181,Seqs!$A:$B,2,0),Q181,1),"")</f>
        <v>N</v>
      </c>
      <c r="Q181" s="9">
        <v>103</v>
      </c>
      <c r="R181" s="9" t="str">
        <f>IFERROR(MID(VLOOKUP($B181,Seqs!$A:$B,2,0),S181,1),"")</f>
        <v>F</v>
      </c>
      <c r="S181" s="9">
        <v>106</v>
      </c>
      <c r="T181" s="9" t="str">
        <f>IFERROR(MID(VLOOKUP($B181,Seqs!$A:$B,2,0),U181,1),"")</f>
        <v>G</v>
      </c>
      <c r="U181" s="9">
        <v>107</v>
      </c>
      <c r="V181" s="9" t="str">
        <f>IFERROR(MID(VLOOKUP($B181,Seqs!$A:$B,2,0),W181,1),"")</f>
        <v>H</v>
      </c>
      <c r="W181" s="9">
        <v>142</v>
      </c>
      <c r="X181" s="9" t="str">
        <f>IFERROR(MID(VLOOKUP($B181,Seqs!$A:$B,2,0),Y181,1),"")</f>
        <v>P</v>
      </c>
      <c r="Y181" s="9">
        <v>143</v>
      </c>
      <c r="Z181" s="9" t="str">
        <f>IFERROR(MID(VLOOKUP($B181,Seqs!$A:$B,2,0),AA181,1),"")</f>
        <v>T</v>
      </c>
      <c r="AA181" s="9">
        <v>150</v>
      </c>
      <c r="AB181" s="9" t="str">
        <f>IFERROR(MID(VLOOKUP($B181,Seqs!$A:$B,2,0),AC181,1),"")</f>
        <v>S</v>
      </c>
      <c r="AC181" s="9">
        <v>151</v>
      </c>
      <c r="AD181" s="9" t="str">
        <f>IFERROR(MID(VLOOKUP($B181,Seqs!$A:$B,2,0),AE181,1),"")</f>
        <v>S</v>
      </c>
      <c r="AE181" s="9">
        <v>176</v>
      </c>
      <c r="AF181" s="9" t="str">
        <f>IFERROR(MID(VLOOKUP($B181,Seqs!$A:$B,2,0),AG181,1),"")</f>
        <v>C</v>
      </c>
      <c r="AG181" s="9">
        <v>187</v>
      </c>
      <c r="AH181" s="9" t="str">
        <f>IFERROR(MID(VLOOKUP($B181,Seqs!$A:$B,2,0),AI181,1),"")</f>
        <v>E</v>
      </c>
      <c r="AI181" s="9">
        <v>189</v>
      </c>
      <c r="AJ181" s="9" t="str">
        <f>IFERROR(MID(VLOOKUP($B181,Seqs!$A:$B,2,0),AK181,1),"")</f>
        <v>I</v>
      </c>
      <c r="AK181" s="9">
        <v>195</v>
      </c>
      <c r="AL181" s="9" t="str">
        <f>IFERROR(MID(VLOOKUP($B181,Seqs!$A:$B,2,0),AM181,1),"")</f>
        <v>V</v>
      </c>
      <c r="AM181" s="9">
        <v>231</v>
      </c>
      <c r="AN181" s="9" t="str">
        <f>IFERROR(MID(VLOOKUP($B181,Seqs!$A:$B,2,0),AO181,1),"")</f>
        <v>S</v>
      </c>
      <c r="AO181" s="9">
        <v>236</v>
      </c>
      <c r="AP181" s="9" t="str">
        <f>IFERROR(MID(VLOOKUP($B181,Seqs!$A:$B,2,0),AQ181,1),"")</f>
        <v>W</v>
      </c>
      <c r="AQ181" s="9">
        <v>274</v>
      </c>
      <c r="AR181" s="9" t="str">
        <f>IFERROR(MID(VLOOKUP($B181,Seqs!$A:$B,2,0),AS181,1),"")</f>
        <v>K</v>
      </c>
      <c r="AS181" s="9">
        <v>280</v>
      </c>
      <c r="AT181" s="9" t="str">
        <f>IFERROR(MID(VLOOKUP($B181,Seqs!$A:$B,2,0),AU181,1),"")</f>
        <v>A</v>
      </c>
      <c r="AU181" s="9">
        <v>308</v>
      </c>
      <c r="AV181" s="9" t="str">
        <f>IFERROR(MID(VLOOKUP($B181,Seqs!$A:$B,2,0),AW181,1),"")</f>
        <v>G</v>
      </c>
      <c r="AW181" s="9">
        <v>309</v>
      </c>
      <c r="AX181" s="9" t="str">
        <f>IFERROR(MID(VLOOKUP($B181,Seqs!$A:$B,2,0),AY181,1),"")</f>
        <v>K</v>
      </c>
      <c r="AY181" s="9">
        <v>322</v>
      </c>
      <c r="AZ181" s="110" t="str">
        <f>VLOOKUP(B181,Classification!A:D,2,0)</f>
        <v>A</v>
      </c>
      <c r="BA181" s="98" t="str">
        <f>VLOOKUP(B181,Classification!A:D,4,0)</f>
        <v>Leukotriene</v>
      </c>
      <c r="BB181" s="36" t="b">
        <f t="shared" ref="BB181:BB182" si="1233">AND(E181&lt;G181,OR(G181&lt;I181,I181="-"),OR(I181&lt;K181,I181="-"),OR(K181&lt;M181,K181="-"),M181&lt;O181,OR(O181&lt;Q181,Q181="-"),OR(Q181&lt;S181,Q181="-"),OR(S181&lt;U181,S181="-"),U181&lt;W181,OR(W181&lt;Y181,Y181="-"),OR(Y181&lt;AA181,Y181="-"),OR(AA181&lt;AC181,AA181="-"),AC181&lt;AE181,OR(AE181&lt;AG181,AG181="-"),OR(AG181&lt;AI181,AG181="-"),OR(AI181&lt;AK181,AI181="-"),AK181&lt;AM181,AM181&lt;AO181,AO181&lt;AQ181,AQ181&lt;AS181,AS181&lt;AU181,OR(AU181&lt;AW181,AW181="-"),OR(AW181&lt;AY181,AW181="-"))</f>
        <v>1</v>
      </c>
      <c r="BC181" s="109">
        <f t="shared" ref="BC181:BC182" si="1234">_xlfn.AGGREGATE(9,6,CH181:CS181)-_xlfn.AGGREGATE(9,6,BV181:CG181)+12</f>
        <v>264</v>
      </c>
      <c r="BD181" s="126" t="s">
        <v>23</v>
      </c>
      <c r="BE181" s="9" t="s">
        <v>23</v>
      </c>
      <c r="BF181" s="119" t="s">
        <v>23</v>
      </c>
      <c r="BG181" s="51" t="s">
        <v>23</v>
      </c>
      <c r="BH181" s="51" t="s">
        <v>23</v>
      </c>
      <c r="BJ181" s="111" t="s">
        <v>1287</v>
      </c>
      <c r="BK181" s="112" t="s">
        <v>1287</v>
      </c>
      <c r="BL181" s="112" t="s">
        <v>1287</v>
      </c>
      <c r="BM181" s="112" t="s">
        <v>1287</v>
      </c>
      <c r="BN181" s="112" t="s">
        <v>1287</v>
      </c>
      <c r="BO181" s="112" t="s">
        <v>1287</v>
      </c>
      <c r="BP181" s="112" t="s">
        <v>1287</v>
      </c>
      <c r="BQ181" s="112" t="s">
        <v>1287</v>
      </c>
      <c r="BR181" s="112" t="s">
        <v>1287</v>
      </c>
      <c r="BS181" s="112" t="s">
        <v>1287</v>
      </c>
      <c r="BT181" s="112" t="s">
        <v>1287</v>
      </c>
      <c r="BU181" s="112" t="s">
        <v>1287</v>
      </c>
      <c r="BV181" s="111">
        <f t="shared" ref="BV181:BV182" si="1235">E181</f>
        <v>31</v>
      </c>
      <c r="BW181" s="113" t="str">
        <f t="shared" ref="BW181:BW182" si="1236">I181</f>
        <v>-</v>
      </c>
      <c r="BX181" s="114">
        <f t="shared" ref="BX181:BX182" si="1237">M181</f>
        <v>71</v>
      </c>
      <c r="BY181" s="113">
        <f t="shared" ref="BY181:BY182" si="1238">Q181</f>
        <v>103</v>
      </c>
      <c r="BZ181" s="114">
        <f t="shared" ref="BZ181:BZ182" si="1239">U181</f>
        <v>107</v>
      </c>
      <c r="CA181" s="113">
        <f t="shared" ref="CA181:CA182" si="1240">Y181</f>
        <v>143</v>
      </c>
      <c r="CB181" s="114">
        <f t="shared" ref="CB181:CB182" si="1241">AC181</f>
        <v>151</v>
      </c>
      <c r="CC181" s="113">
        <f t="shared" ref="CC181:CC182" si="1242">AG181</f>
        <v>187</v>
      </c>
      <c r="CD181" s="114">
        <f t="shared" ref="CD181:CD182" si="1243">AK181</f>
        <v>195</v>
      </c>
      <c r="CE181" s="113">
        <f t="shared" ref="CE181:CE182" si="1244">AO181</f>
        <v>236</v>
      </c>
      <c r="CF181" s="114">
        <f t="shared" ref="CF181:CF182" si="1245">AS181</f>
        <v>280</v>
      </c>
      <c r="CG181" s="113">
        <f t="shared" ref="CG181:CG182" si="1246">AW181</f>
        <v>309</v>
      </c>
      <c r="CH181" s="111">
        <f t="shared" ref="CH181:CH182" si="1247">G181</f>
        <v>66</v>
      </c>
      <c r="CI181" s="113" t="str">
        <f t="shared" ref="CI181:CI182" si="1248">K181</f>
        <v>-</v>
      </c>
      <c r="CJ181" s="114">
        <f t="shared" ref="CJ181:CJ182" si="1249">O181</f>
        <v>101</v>
      </c>
      <c r="CK181" s="114">
        <f t="shared" ref="CK181:CK182" si="1250">S181</f>
        <v>106</v>
      </c>
      <c r="CL181" s="114">
        <f t="shared" ref="CL181:CL182" si="1251">W181</f>
        <v>142</v>
      </c>
      <c r="CM181" s="114">
        <f t="shared" ref="CM181:CM182" si="1252">AA181</f>
        <v>150</v>
      </c>
      <c r="CN181" s="114">
        <f t="shared" ref="CN181:CN182" si="1253">AE181</f>
        <v>176</v>
      </c>
      <c r="CO181" s="114">
        <f t="shared" ref="CO181:CO182" si="1254">AI181</f>
        <v>189</v>
      </c>
      <c r="CP181" s="114">
        <f t="shared" ref="CP181:CP182" si="1255">AM181</f>
        <v>231</v>
      </c>
      <c r="CQ181" s="114">
        <f t="shared" ref="CQ181:CQ182" si="1256">AQ181</f>
        <v>274</v>
      </c>
      <c r="CR181" s="114">
        <f t="shared" ref="CR181:CR182" si="1257">AU181</f>
        <v>308</v>
      </c>
      <c r="CS181" s="114">
        <f t="shared" ref="CS181:CS182" si="1258">AY181</f>
        <v>322</v>
      </c>
      <c r="CT181" s="109" t="e">
        <f t="shared" ref="CT181:CT182" si="1259">M181-K181</f>
        <v>#VALUE!</v>
      </c>
    </row>
    <row r="182" spans="1:1030" s="12" customFormat="1" x14ac:dyDescent="0.2">
      <c r="A182" s="9" t="str">
        <f t="shared" si="1232"/>
        <v>cltr2_human_6RZ6</v>
      </c>
      <c r="B182" s="9" t="s">
        <v>180</v>
      </c>
      <c r="C182" s="9" t="s">
        <v>1619</v>
      </c>
      <c r="D182" s="9" t="str">
        <f>IFERROR(MID(VLOOKUP($B182,Seqs!$A:$B,2,0),E182,1),"")</f>
        <v>C</v>
      </c>
      <c r="E182" s="9">
        <v>31</v>
      </c>
      <c r="F182" s="9" t="str">
        <f>IFERROR(MID(VLOOKUP($B182,Seqs!$A:$B,2,0),G182,1),"")</f>
        <v>Q</v>
      </c>
      <c r="G182" s="9">
        <v>65</v>
      </c>
      <c r="H182" s="9" t="str">
        <f>IFERROR(MID(VLOOKUP($B182,Seqs!$A:$B,2,0),I182,1),"")</f>
        <v/>
      </c>
      <c r="I182" s="109" t="s">
        <v>23</v>
      </c>
      <c r="J182" s="9" t="str">
        <f>IFERROR(MID(VLOOKUP($B182,Seqs!$A:$B,2,0),K182,1),"")</f>
        <v/>
      </c>
      <c r="K182" s="109" t="s">
        <v>23</v>
      </c>
      <c r="L182" s="9" t="str">
        <f>IFERROR(MID(VLOOKUP($B182,Seqs!$A:$B,2,0),M182,1),"")</f>
        <v>T</v>
      </c>
      <c r="M182" s="9">
        <v>71</v>
      </c>
      <c r="N182" s="9" t="str">
        <f>IFERROR(MID(VLOOKUP($B182,Seqs!$A:$B,2,0),O182,1),"")</f>
        <v>G</v>
      </c>
      <c r="O182" s="9">
        <v>101</v>
      </c>
      <c r="P182" s="9" t="str">
        <f>IFERROR(MID(VLOOKUP($B182,Seqs!$A:$B,2,0),Q182,1),"")</f>
        <v>N</v>
      </c>
      <c r="Q182" s="9">
        <v>103</v>
      </c>
      <c r="R182" s="9" t="str">
        <f>IFERROR(MID(VLOOKUP($B182,Seqs!$A:$B,2,0),S182,1),"")</f>
        <v>F</v>
      </c>
      <c r="S182" s="9">
        <v>106</v>
      </c>
      <c r="T182" s="9" t="str">
        <f>IFERROR(MID(VLOOKUP($B182,Seqs!$A:$B,2,0),U182,1),"")</f>
        <v>G</v>
      </c>
      <c r="U182" s="9">
        <v>107</v>
      </c>
      <c r="V182" s="9" t="str">
        <f>IFERROR(MID(VLOOKUP($B182,Seqs!$A:$B,2,0),W182,1),"")</f>
        <v>H</v>
      </c>
      <c r="W182" s="9">
        <v>142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V</v>
      </c>
      <c r="AC182" s="9">
        <v>149</v>
      </c>
      <c r="AD182" s="9" t="str">
        <f>IFERROR(MID(VLOOKUP($B182,Seqs!$A:$B,2,0),AE182,1),"")</f>
        <v>S</v>
      </c>
      <c r="AE182" s="9">
        <v>176</v>
      </c>
      <c r="AF182" s="9" t="str">
        <f>IFERROR(MID(VLOOKUP($B182,Seqs!$A:$B,2,0),AG182,1),"")</f>
        <v>C</v>
      </c>
      <c r="AG182" s="9">
        <v>187</v>
      </c>
      <c r="AH182" s="9" t="str">
        <f>IFERROR(MID(VLOOKUP($B182,Seqs!$A:$B,2,0),AI182,1),"")</f>
        <v>E</v>
      </c>
      <c r="AI182" s="9">
        <v>189</v>
      </c>
      <c r="AJ182" s="9" t="str">
        <f>IFERROR(MID(VLOOKUP($B182,Seqs!$A:$B,2,0),AK182,1),"")</f>
        <v>K</v>
      </c>
      <c r="AK182" s="9">
        <v>194</v>
      </c>
      <c r="AL182" s="9" t="str">
        <f>IFERROR(MID(VLOOKUP($B182,Seqs!$A:$B,2,0),AM182,1),"")</f>
        <v>E</v>
      </c>
      <c r="AM182" s="9">
        <v>232</v>
      </c>
      <c r="AN182" s="9" t="str">
        <f>IFERROR(MID(VLOOKUP($B182,Seqs!$A:$B,2,0),AO182,1),"")</f>
        <v>S</v>
      </c>
      <c r="AO182" s="9">
        <v>241</v>
      </c>
      <c r="AP182" s="9" t="str">
        <f>IFERROR(MID(VLOOKUP($B182,Seqs!$A:$B,2,0),AQ182,1),"")</f>
        <v>W</v>
      </c>
      <c r="AQ182" s="9">
        <v>274</v>
      </c>
      <c r="AR182" s="9" t="str">
        <f>IFERROR(MID(VLOOKUP($B182,Seqs!$A:$B,2,0),AS182,1),"")</f>
        <v>K</v>
      </c>
      <c r="AS182" s="9">
        <v>280</v>
      </c>
      <c r="AT182" s="9" t="str">
        <f>IFERROR(MID(VLOOKUP($B182,Seqs!$A:$B,2,0),AU182,1),"")</f>
        <v>A</v>
      </c>
      <c r="AU182" s="9">
        <v>308</v>
      </c>
      <c r="AV182" s="9" t="str">
        <f>IFERROR(MID(VLOOKUP($B182,Seqs!$A:$B,2,0),AW182,1),"")</f>
        <v>N</v>
      </c>
      <c r="AW182" s="9">
        <v>311</v>
      </c>
      <c r="AX182" s="9" t="str">
        <f>IFERROR(MID(VLOOKUP($B182,Seqs!$A:$B,2,0),AY182,1),"")</f>
        <v>K</v>
      </c>
      <c r="AY182" s="9">
        <v>322</v>
      </c>
      <c r="AZ182" s="110" t="str">
        <f>VLOOKUP(B182,Classification!A:D,2,0)</f>
        <v>A</v>
      </c>
      <c r="BA182" s="98" t="str">
        <f>VLOOKUP(B182,Classification!A:D,4,0)</f>
        <v>Leukotriene</v>
      </c>
      <c r="BB182" s="36" t="b">
        <f t="shared" si="1233"/>
        <v>1</v>
      </c>
      <c r="BC182" s="109">
        <f t="shared" si="1234"/>
        <v>253</v>
      </c>
      <c r="BD182" s="126" t="s">
        <v>23</v>
      </c>
      <c r="BE182" s="9" t="s">
        <v>1291</v>
      </c>
      <c r="BF182" s="119">
        <v>2.4300000000000002</v>
      </c>
      <c r="BG182" s="51" t="s">
        <v>1</v>
      </c>
      <c r="BH182" s="51" t="s">
        <v>1</v>
      </c>
      <c r="BJ182" s="111" t="s">
        <v>1287</v>
      </c>
      <c r="BK182" s="112" t="s">
        <v>1287</v>
      </c>
      <c r="BL182" s="112" t="s">
        <v>1287</v>
      </c>
      <c r="BM182" s="112" t="s">
        <v>1287</v>
      </c>
      <c r="BN182" s="112" t="s">
        <v>1287</v>
      </c>
      <c r="BO182" s="112" t="s">
        <v>1287</v>
      </c>
      <c r="BP182" s="112" t="s">
        <v>1287</v>
      </c>
      <c r="BQ182" s="112" t="s">
        <v>1287</v>
      </c>
      <c r="BR182" s="112" t="s">
        <v>1287</v>
      </c>
      <c r="BS182" s="112" t="s">
        <v>1287</v>
      </c>
      <c r="BT182" s="112" t="s">
        <v>1287</v>
      </c>
      <c r="BU182" s="112" t="s">
        <v>1287</v>
      </c>
      <c r="BV182" s="111">
        <f t="shared" si="1235"/>
        <v>31</v>
      </c>
      <c r="BW182" s="113" t="str">
        <f t="shared" si="1236"/>
        <v>-</v>
      </c>
      <c r="BX182" s="114">
        <f t="shared" si="1237"/>
        <v>71</v>
      </c>
      <c r="BY182" s="113">
        <f t="shared" si="1238"/>
        <v>103</v>
      </c>
      <c r="BZ182" s="114">
        <f t="shared" si="1239"/>
        <v>107</v>
      </c>
      <c r="CA182" s="113" t="str">
        <f t="shared" si="1240"/>
        <v>-</v>
      </c>
      <c r="CB182" s="114">
        <f t="shared" si="1241"/>
        <v>149</v>
      </c>
      <c r="CC182" s="113">
        <f t="shared" si="1242"/>
        <v>187</v>
      </c>
      <c r="CD182" s="114">
        <f t="shared" si="1243"/>
        <v>194</v>
      </c>
      <c r="CE182" s="113">
        <f t="shared" si="1244"/>
        <v>241</v>
      </c>
      <c r="CF182" s="114">
        <f t="shared" si="1245"/>
        <v>280</v>
      </c>
      <c r="CG182" s="113">
        <f t="shared" si="1246"/>
        <v>311</v>
      </c>
      <c r="CH182" s="111">
        <f t="shared" si="1247"/>
        <v>65</v>
      </c>
      <c r="CI182" s="113" t="str">
        <f t="shared" si="1248"/>
        <v>-</v>
      </c>
      <c r="CJ182" s="114">
        <f t="shared" si="1249"/>
        <v>101</v>
      </c>
      <c r="CK182" s="114">
        <f t="shared" si="1250"/>
        <v>106</v>
      </c>
      <c r="CL182" s="114">
        <f t="shared" si="1251"/>
        <v>142</v>
      </c>
      <c r="CM182" s="114" t="str">
        <f t="shared" si="1252"/>
        <v>-</v>
      </c>
      <c r="CN182" s="114">
        <f t="shared" si="1253"/>
        <v>176</v>
      </c>
      <c r="CO182" s="114">
        <f t="shared" si="1254"/>
        <v>189</v>
      </c>
      <c r="CP182" s="114">
        <f t="shared" si="1255"/>
        <v>232</v>
      </c>
      <c r="CQ182" s="114">
        <f t="shared" si="1256"/>
        <v>274</v>
      </c>
      <c r="CR182" s="114">
        <f t="shared" si="1257"/>
        <v>308</v>
      </c>
      <c r="CS182" s="114">
        <f t="shared" si="1258"/>
        <v>322</v>
      </c>
      <c r="CT182" s="109" t="e">
        <f t="shared" si="1259"/>
        <v>#VALUE!</v>
      </c>
    </row>
    <row r="183" spans="1:1030" s="12" customFormat="1" ht="17" customHeight="1" x14ac:dyDescent="0.2">
      <c r="A183" s="9" t="str">
        <f t="shared" ref="A183" si="1260">CONCATENATE(B183,"_",C183)</f>
        <v>cltr2_human_6RZ7</v>
      </c>
      <c r="B183" s="9" t="s">
        <v>180</v>
      </c>
      <c r="C183" s="9" t="s">
        <v>1620</v>
      </c>
      <c r="D183" s="9" t="str">
        <f>IFERROR(MID(VLOOKUP($B183,Seqs!$A:$B,2,0),E183,1),"")</f>
        <v>C</v>
      </c>
      <c r="E183" s="9">
        <v>31</v>
      </c>
      <c r="F183" s="9" t="str">
        <f>IFERROR(MID(VLOOKUP($B183,Seqs!$A:$B,2,0),G183,1),"")</f>
        <v>Q</v>
      </c>
      <c r="G183" s="9">
        <v>65</v>
      </c>
      <c r="H183" s="9" t="str">
        <f>IFERROR(MID(VLOOKUP($B183,Seqs!$A:$B,2,0),I183,1),"")</f>
        <v/>
      </c>
      <c r="I183" s="109" t="s">
        <v>23</v>
      </c>
      <c r="J183" s="9" t="str">
        <f>IFERROR(MID(VLOOKUP($B183,Seqs!$A:$B,2,0),K183,1),"")</f>
        <v/>
      </c>
      <c r="K183" s="109" t="s">
        <v>23</v>
      </c>
      <c r="L183" s="9" t="str">
        <f>IFERROR(MID(VLOOKUP($B183,Seqs!$A:$B,2,0),M183,1),"")</f>
        <v>T</v>
      </c>
      <c r="M183" s="9">
        <v>71</v>
      </c>
      <c r="N183" s="9" t="str">
        <f>IFERROR(MID(VLOOKUP($B183,Seqs!$A:$B,2,0),O183,1),"")</f>
        <v>G</v>
      </c>
      <c r="O183" s="9">
        <v>101</v>
      </c>
      <c r="P183" s="9" t="str">
        <f>IFERROR(MID(VLOOKUP($B183,Seqs!$A:$B,2,0),Q183,1),"")</f>
        <v>N</v>
      </c>
      <c r="Q183" s="9">
        <v>103</v>
      </c>
      <c r="R183" s="9" t="str">
        <f>IFERROR(MID(VLOOKUP($B183,Seqs!$A:$B,2,0),S183,1),"")</f>
        <v>F</v>
      </c>
      <c r="S183" s="9">
        <v>106</v>
      </c>
      <c r="T183" s="9" t="str">
        <f>IFERROR(MID(VLOOKUP($B183,Seqs!$A:$B,2,0),U183,1),"")</f>
        <v>G</v>
      </c>
      <c r="U183" s="9">
        <v>107</v>
      </c>
      <c r="V183" s="9" t="str">
        <f>IFERROR(MID(VLOOKUP($B183,Seqs!$A:$B,2,0),W183,1),"")</f>
        <v>H</v>
      </c>
      <c r="W183" s="9">
        <v>142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S</v>
      </c>
      <c r="AC183" s="9">
        <v>151</v>
      </c>
      <c r="AD183" s="9" t="str">
        <f>IFERROR(MID(VLOOKUP($B183,Seqs!$A:$B,2,0),AE183,1),"")</f>
        <v>L</v>
      </c>
      <c r="AE183" s="9">
        <v>174</v>
      </c>
      <c r="AF183" s="9" t="str">
        <f>IFERROR(MID(VLOOKUP($B183,Seqs!$A:$B,2,0),AG183,1),"")</f>
        <v>C</v>
      </c>
      <c r="AG183" s="9">
        <v>187</v>
      </c>
      <c r="AH183" s="9" t="str">
        <f>IFERROR(MID(VLOOKUP($B183,Seqs!$A:$B,2,0),AI183,1),"")</f>
        <v>E</v>
      </c>
      <c r="AI183" s="9">
        <v>189</v>
      </c>
      <c r="AJ183" s="9" t="str">
        <f>IFERROR(MID(VLOOKUP($B183,Seqs!$A:$B,2,0),AK183,1),"")</f>
        <v>K</v>
      </c>
      <c r="AK183" s="9">
        <v>194</v>
      </c>
      <c r="AL183" s="9" t="str">
        <f>IFERROR(MID(VLOOKUP($B183,Seqs!$A:$B,2,0),AM183,1),"")</f>
        <v>E</v>
      </c>
      <c r="AM183" s="9">
        <v>232</v>
      </c>
      <c r="AN183" s="9" t="str">
        <f>IFERROR(MID(VLOOKUP($B183,Seqs!$A:$B,2,0),AO183,1),"")</f>
        <v>S</v>
      </c>
      <c r="AO183" s="9">
        <v>241</v>
      </c>
      <c r="AP183" s="9" t="str">
        <f>IFERROR(MID(VLOOKUP($B183,Seqs!$A:$B,2,0),AQ183,1),"")</f>
        <v>W</v>
      </c>
      <c r="AQ183" s="9">
        <v>274</v>
      </c>
      <c r="AR183" s="9" t="str">
        <f>IFERROR(MID(VLOOKUP($B183,Seqs!$A:$B,2,0),AS183,1),"")</f>
        <v>K</v>
      </c>
      <c r="AS183" s="9">
        <v>280</v>
      </c>
      <c r="AT183" s="9" t="str">
        <f>IFERROR(MID(VLOOKUP($B183,Seqs!$A:$B,2,0),AU183,1),"")</f>
        <v>G</v>
      </c>
      <c r="AU183" s="9">
        <v>309</v>
      </c>
      <c r="AV183" s="9" t="str">
        <f>IFERROR(MID(VLOOKUP($B183,Seqs!$A:$B,2,0),AW183,1),"")</f>
        <v>N</v>
      </c>
      <c r="AW183" s="9">
        <v>311</v>
      </c>
      <c r="AX183" s="9" t="str">
        <f>IFERROR(MID(VLOOKUP($B183,Seqs!$A:$B,2,0),AY183,1),"")</f>
        <v>R</v>
      </c>
      <c r="AY183" s="9">
        <v>321</v>
      </c>
      <c r="AZ183" s="110" t="str">
        <f>VLOOKUP(B183,Classification!A:D,2,0)</f>
        <v>A</v>
      </c>
      <c r="BA183" s="98" t="str">
        <f>VLOOKUP(B183,Classification!A:D,4,0)</f>
        <v>Leukotriene</v>
      </c>
      <c r="BB183" s="36" t="b">
        <f t="shared" ref="BB183" si="1261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09">
        <f t="shared" ref="BC183" si="1262">_xlfn.AGGREGATE(9,6,CH183:CS183)-_xlfn.AGGREGATE(9,6,BV183:CG183)+12</f>
        <v>249</v>
      </c>
      <c r="BD183" s="126" t="s">
        <v>23</v>
      </c>
      <c r="BE183" s="9" t="s">
        <v>1291</v>
      </c>
      <c r="BF183" s="119">
        <v>2.4300000000000002</v>
      </c>
      <c r="BG183" s="51" t="s">
        <v>1</v>
      </c>
      <c r="BH183" s="51" t="s">
        <v>1</v>
      </c>
      <c r="BJ183" s="111" t="s">
        <v>1287</v>
      </c>
      <c r="BK183" s="112" t="s">
        <v>1287</v>
      </c>
      <c r="BL183" s="112" t="s">
        <v>1287</v>
      </c>
      <c r="BM183" s="112" t="s">
        <v>1287</v>
      </c>
      <c r="BN183" s="112" t="s">
        <v>1287</v>
      </c>
      <c r="BO183" s="112" t="s">
        <v>1287</v>
      </c>
      <c r="BP183" s="112" t="s">
        <v>1287</v>
      </c>
      <c r="BQ183" s="112" t="s">
        <v>1287</v>
      </c>
      <c r="BR183" s="112" t="s">
        <v>1287</v>
      </c>
      <c r="BS183" s="112" t="s">
        <v>1287</v>
      </c>
      <c r="BT183" s="112" t="s">
        <v>1287</v>
      </c>
      <c r="BU183" s="112" t="s">
        <v>1287</v>
      </c>
      <c r="BV183" s="111">
        <f t="shared" ref="BV183" si="1263">E183</f>
        <v>31</v>
      </c>
      <c r="BW183" s="113" t="str">
        <f t="shared" ref="BW183" si="1264">I183</f>
        <v>-</v>
      </c>
      <c r="BX183" s="114">
        <f t="shared" ref="BX183" si="1265">M183</f>
        <v>71</v>
      </c>
      <c r="BY183" s="113">
        <f t="shared" ref="BY183" si="1266">Q183</f>
        <v>103</v>
      </c>
      <c r="BZ183" s="114">
        <f t="shared" ref="BZ183" si="1267">U183</f>
        <v>107</v>
      </c>
      <c r="CA183" s="113" t="str">
        <f t="shared" ref="CA183" si="1268">Y183</f>
        <v>-</v>
      </c>
      <c r="CB183" s="114">
        <f t="shared" ref="CB183" si="1269">AC183</f>
        <v>151</v>
      </c>
      <c r="CC183" s="113">
        <f t="shared" ref="CC183" si="1270">AG183</f>
        <v>187</v>
      </c>
      <c r="CD183" s="114">
        <f t="shared" ref="CD183" si="1271">AK183</f>
        <v>194</v>
      </c>
      <c r="CE183" s="113">
        <f t="shared" ref="CE183" si="1272">AO183</f>
        <v>241</v>
      </c>
      <c r="CF183" s="114">
        <f t="shared" ref="CF183" si="1273">AS183</f>
        <v>280</v>
      </c>
      <c r="CG183" s="113">
        <f t="shared" ref="CG183" si="1274">AW183</f>
        <v>311</v>
      </c>
      <c r="CH183" s="111">
        <f t="shared" ref="CH183" si="1275">G183</f>
        <v>65</v>
      </c>
      <c r="CI183" s="113" t="str">
        <f t="shared" ref="CI183" si="1276">K183</f>
        <v>-</v>
      </c>
      <c r="CJ183" s="114">
        <f t="shared" ref="CJ183" si="1277">O183</f>
        <v>101</v>
      </c>
      <c r="CK183" s="114">
        <f t="shared" ref="CK183" si="1278">S183</f>
        <v>106</v>
      </c>
      <c r="CL183" s="114">
        <f t="shared" ref="CL183" si="1279">W183</f>
        <v>142</v>
      </c>
      <c r="CM183" s="114" t="str">
        <f t="shared" ref="CM183" si="1280">AA183</f>
        <v>-</v>
      </c>
      <c r="CN183" s="114">
        <f t="shared" ref="CN183" si="1281">AE183</f>
        <v>174</v>
      </c>
      <c r="CO183" s="114">
        <f t="shared" ref="CO183" si="1282">AI183</f>
        <v>189</v>
      </c>
      <c r="CP183" s="114">
        <f t="shared" ref="CP183" si="1283">AM183</f>
        <v>232</v>
      </c>
      <c r="CQ183" s="114">
        <f t="shared" ref="CQ183" si="1284">AQ183</f>
        <v>274</v>
      </c>
      <c r="CR183" s="114">
        <f t="shared" ref="CR183" si="1285">AU183</f>
        <v>309</v>
      </c>
      <c r="CS183" s="114">
        <f t="shared" ref="CS183" si="1286">AY183</f>
        <v>321</v>
      </c>
      <c r="CT183" s="109" t="e">
        <f t="shared" ref="CT183" si="1287">M183-K183</f>
        <v>#VALUE!</v>
      </c>
    </row>
    <row r="184" spans="1:1030" s="12" customFormat="1" x14ac:dyDescent="0.2">
      <c r="A184" s="9" t="str">
        <f t="shared" ref="A184" si="1288">CONCATENATE(B184,"_",C184)</f>
        <v>cltr2_human_6RZ8</v>
      </c>
      <c r="B184" s="9" t="s">
        <v>180</v>
      </c>
      <c r="C184" s="9" t="s">
        <v>1621</v>
      </c>
      <c r="D184" s="9" t="str">
        <f>IFERROR(MID(VLOOKUP($B184,Seqs!$A:$B,2,0),E184,1),"")</f>
        <v>T</v>
      </c>
      <c r="E184" s="9">
        <v>32</v>
      </c>
      <c r="F184" s="9" t="str">
        <f>IFERROR(MID(VLOOKUP($B184,Seqs!$A:$B,2,0),G184,1),"")</f>
        <v>Q</v>
      </c>
      <c r="G184" s="9">
        <v>65</v>
      </c>
      <c r="H184" s="9" t="str">
        <f>IFERROR(MID(VLOOKUP($B184,Seqs!$A:$B,2,0),I184,1),"")</f>
        <v/>
      </c>
      <c r="I184" s="109" t="s">
        <v>23</v>
      </c>
      <c r="J184" s="9" t="str">
        <f>IFERROR(MID(VLOOKUP($B184,Seqs!$A:$B,2,0),K184,1),"")</f>
        <v/>
      </c>
      <c r="K184" s="109" t="s">
        <v>23</v>
      </c>
      <c r="L184" s="9" t="str">
        <f>IFERROR(MID(VLOOKUP($B184,Seqs!$A:$B,2,0),M184,1),"")</f>
        <v>T</v>
      </c>
      <c r="M184" s="9">
        <v>71</v>
      </c>
      <c r="N184" s="9" t="str">
        <f>IFERROR(MID(VLOOKUP($B184,Seqs!$A:$B,2,0),O184,1),"")</f>
        <v>G</v>
      </c>
      <c r="O184" s="9">
        <v>101</v>
      </c>
      <c r="P184" s="9" t="str">
        <f>IFERROR(MID(VLOOKUP($B184,Seqs!$A:$B,2,0),Q184,1),"")</f>
        <v>N</v>
      </c>
      <c r="Q184" s="9">
        <v>103</v>
      </c>
      <c r="R184" s="9" t="str">
        <f>IFERROR(MID(VLOOKUP($B184,Seqs!$A:$B,2,0),S184,1),"")</f>
        <v>F</v>
      </c>
      <c r="S184" s="9">
        <v>106</v>
      </c>
      <c r="T184" s="9" t="str">
        <f>IFERROR(MID(VLOOKUP($B184,Seqs!$A:$B,2,0),U184,1),"")</f>
        <v>G</v>
      </c>
      <c r="U184" s="9">
        <v>107</v>
      </c>
      <c r="V184" s="9" t="str">
        <f>IFERROR(MID(VLOOKUP($B184,Seqs!$A:$B,2,0),W184,1),"")</f>
        <v>H</v>
      </c>
      <c r="W184" s="9">
        <v>142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S</v>
      </c>
      <c r="AC184" s="9">
        <v>151</v>
      </c>
      <c r="AD184" s="9" t="str">
        <f>IFERROR(MID(VLOOKUP($B184,Seqs!$A:$B,2,0),AE184,1),"")</f>
        <v>S</v>
      </c>
      <c r="AE184" s="9">
        <v>176</v>
      </c>
      <c r="AF184" s="9" t="str">
        <f>IFERROR(MID(VLOOKUP($B184,Seqs!$A:$B,2,0),AG184,1),"")</f>
        <v>C</v>
      </c>
      <c r="AG184" s="9">
        <v>187</v>
      </c>
      <c r="AH184" s="9" t="str">
        <f>IFERROR(MID(VLOOKUP($B184,Seqs!$A:$B,2,0),AI184,1),"")</f>
        <v>E</v>
      </c>
      <c r="AI184" s="9">
        <v>189</v>
      </c>
      <c r="AJ184" s="9" t="str">
        <f>IFERROR(MID(VLOOKUP($B184,Seqs!$A:$B,2,0),AK184,1),"")</f>
        <v>K</v>
      </c>
      <c r="AK184" s="9">
        <v>194</v>
      </c>
      <c r="AL184" s="9" t="str">
        <f>IFERROR(MID(VLOOKUP($B184,Seqs!$A:$B,2,0),AM184,1),"")</f>
        <v>E</v>
      </c>
      <c r="AM184" s="9">
        <v>232</v>
      </c>
      <c r="AN184" s="9" t="str">
        <f>IFERROR(MID(VLOOKUP($B184,Seqs!$A:$B,2,0),AO184,1),"")</f>
        <v>S</v>
      </c>
      <c r="AO184" s="9">
        <v>241</v>
      </c>
      <c r="AP184" s="9" t="str">
        <f>IFERROR(MID(VLOOKUP($B184,Seqs!$A:$B,2,0),AQ184,1),"")</f>
        <v>W</v>
      </c>
      <c r="AQ184" s="9">
        <v>274</v>
      </c>
      <c r="AR184" s="9" t="str">
        <f>IFERROR(MID(VLOOKUP($B184,Seqs!$A:$B,2,0),AS184,1),"")</f>
        <v>K</v>
      </c>
      <c r="AS184" s="9">
        <v>280</v>
      </c>
      <c r="AT184" s="9" t="str">
        <f>IFERROR(MID(VLOOKUP($B184,Seqs!$A:$B,2,0),AU184,1),"")</f>
        <v>E</v>
      </c>
      <c r="AU184" s="9">
        <v>310</v>
      </c>
      <c r="AV184" s="9" t="str">
        <f>IFERROR(MID(VLOOKUP($B184,Seqs!$A:$B,2,0),AW184,1),"")</f>
        <v/>
      </c>
      <c r="AW184" s="9" t="s">
        <v>23</v>
      </c>
      <c r="AX184" s="9" t="str">
        <f>IFERROR(MID(VLOOKUP($B184,Seqs!$A:$B,2,0),AY184,1),"")</f>
        <v/>
      </c>
      <c r="AY184" s="9" t="s">
        <v>23</v>
      </c>
      <c r="AZ184" s="110" t="str">
        <f>VLOOKUP(B184,Classification!A:D,2,0)</f>
        <v>A</v>
      </c>
      <c r="BA184" s="98" t="str">
        <f>VLOOKUP(B184,Classification!A:D,4,0)</f>
        <v>Leukotriene</v>
      </c>
      <c r="BB184" s="36" t="b">
        <f t="shared" ref="BB184" si="1289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09">
        <f t="shared" ref="BC184" si="1290">_xlfn.AGGREGATE(9,6,CH184:CS184)-_xlfn.AGGREGATE(9,6,BV184:CG184)+12</f>
        <v>241</v>
      </c>
      <c r="BD184" s="126" t="s">
        <v>23</v>
      </c>
      <c r="BE184" s="9" t="s">
        <v>1291</v>
      </c>
      <c r="BF184" s="119">
        <v>2.7</v>
      </c>
      <c r="BG184" s="51" t="s">
        <v>1</v>
      </c>
      <c r="BH184" s="51" t="s">
        <v>1</v>
      </c>
      <c r="BJ184" s="111" t="s">
        <v>1287</v>
      </c>
      <c r="BK184" s="112" t="s">
        <v>1287</v>
      </c>
      <c r="BL184" s="112" t="s">
        <v>1287</v>
      </c>
      <c r="BM184" s="112" t="s">
        <v>1287</v>
      </c>
      <c r="BN184" s="112" t="s">
        <v>1287</v>
      </c>
      <c r="BO184" s="112" t="s">
        <v>1287</v>
      </c>
      <c r="BP184" s="112" t="s">
        <v>1287</v>
      </c>
      <c r="BQ184" s="112" t="s">
        <v>1287</v>
      </c>
      <c r="BR184" s="112" t="s">
        <v>1287</v>
      </c>
      <c r="BS184" s="112" t="s">
        <v>1287</v>
      </c>
      <c r="BT184" s="112" t="s">
        <v>1287</v>
      </c>
      <c r="BU184" s="112" t="s">
        <v>1287</v>
      </c>
      <c r="BV184" s="111">
        <f t="shared" ref="BV184" si="1291">E184</f>
        <v>32</v>
      </c>
      <c r="BW184" s="113" t="str">
        <f t="shared" ref="BW184" si="1292">I184</f>
        <v>-</v>
      </c>
      <c r="BX184" s="114">
        <f t="shared" ref="BX184" si="1293">M184</f>
        <v>71</v>
      </c>
      <c r="BY184" s="113">
        <f t="shared" ref="BY184" si="1294">Q184</f>
        <v>103</v>
      </c>
      <c r="BZ184" s="114">
        <f t="shared" ref="BZ184" si="1295">U184</f>
        <v>107</v>
      </c>
      <c r="CA184" s="113" t="str">
        <f t="shared" ref="CA184" si="1296">Y184</f>
        <v>-</v>
      </c>
      <c r="CB184" s="114">
        <f t="shared" ref="CB184" si="1297">AC184</f>
        <v>151</v>
      </c>
      <c r="CC184" s="113">
        <f t="shared" ref="CC184" si="1298">AG184</f>
        <v>187</v>
      </c>
      <c r="CD184" s="114">
        <f t="shared" ref="CD184" si="1299">AK184</f>
        <v>194</v>
      </c>
      <c r="CE184" s="113">
        <f t="shared" ref="CE184" si="1300">AO184</f>
        <v>241</v>
      </c>
      <c r="CF184" s="114">
        <f t="shared" ref="CF184" si="1301">AS184</f>
        <v>280</v>
      </c>
      <c r="CG184" s="113" t="str">
        <f t="shared" ref="CG184" si="1302">AW184</f>
        <v>-</v>
      </c>
      <c r="CH184" s="111">
        <f t="shared" ref="CH184" si="1303">G184</f>
        <v>65</v>
      </c>
      <c r="CI184" s="113" t="str">
        <f t="shared" ref="CI184" si="1304">K184</f>
        <v>-</v>
      </c>
      <c r="CJ184" s="114">
        <f t="shared" ref="CJ184" si="1305">O184</f>
        <v>101</v>
      </c>
      <c r="CK184" s="114">
        <f t="shared" ref="CK184" si="1306">S184</f>
        <v>106</v>
      </c>
      <c r="CL184" s="114">
        <f t="shared" ref="CL184" si="1307">W184</f>
        <v>142</v>
      </c>
      <c r="CM184" s="114" t="str">
        <f t="shared" ref="CM184" si="1308">AA184</f>
        <v>-</v>
      </c>
      <c r="CN184" s="114">
        <f t="shared" ref="CN184" si="1309">AE184</f>
        <v>176</v>
      </c>
      <c r="CO184" s="114">
        <f t="shared" ref="CO184" si="1310">AI184</f>
        <v>189</v>
      </c>
      <c r="CP184" s="114">
        <f t="shared" ref="CP184" si="1311">AM184</f>
        <v>232</v>
      </c>
      <c r="CQ184" s="114">
        <f t="shared" ref="CQ184" si="1312">AQ184</f>
        <v>274</v>
      </c>
      <c r="CR184" s="114">
        <f t="shared" ref="CR184" si="1313">AU184</f>
        <v>310</v>
      </c>
      <c r="CS184" s="114" t="str">
        <f t="shared" ref="CS184" si="1314">AY184</f>
        <v>-</v>
      </c>
      <c r="CT184" s="109" t="e">
        <f t="shared" ref="CT184" si="1315">M184-K184</f>
        <v>#VALUE!</v>
      </c>
    </row>
    <row r="185" spans="1:1030" s="12" customFormat="1" x14ac:dyDescent="0.2">
      <c r="A185" s="9" t="str">
        <f t="shared" ref="A185" si="1316">CONCATENATE(B185,"_",C185)</f>
        <v>cltr2_human_6RZ9</v>
      </c>
      <c r="B185" s="9" t="s">
        <v>180</v>
      </c>
      <c r="C185" s="9" t="s">
        <v>1622</v>
      </c>
      <c r="D185" s="9" t="str">
        <f>IFERROR(MID(VLOOKUP($B185,Seqs!$A:$B,2,0),E185,1),"")</f>
        <v>C</v>
      </c>
      <c r="E185" s="9">
        <v>31</v>
      </c>
      <c r="F185" s="9" t="str">
        <f>IFERROR(MID(VLOOKUP($B185,Seqs!$A:$B,2,0),G185,1),"")</f>
        <v>Q</v>
      </c>
      <c r="G185" s="9">
        <v>65</v>
      </c>
      <c r="H185" s="9" t="str">
        <f>IFERROR(MID(VLOOKUP($B185,Seqs!$A:$B,2,0),I185,1),"")</f>
        <v/>
      </c>
      <c r="I185" s="109" t="s">
        <v>23</v>
      </c>
      <c r="J185" s="9" t="str">
        <f>IFERROR(MID(VLOOKUP($B185,Seqs!$A:$B,2,0),K185,1),"")</f>
        <v/>
      </c>
      <c r="K185" s="109" t="s">
        <v>23</v>
      </c>
      <c r="L185" s="9" t="str">
        <f>IFERROR(MID(VLOOKUP($B185,Seqs!$A:$B,2,0),M185,1),"")</f>
        <v>T</v>
      </c>
      <c r="M185" s="9">
        <v>71</v>
      </c>
      <c r="N185" s="9" t="str">
        <f>IFERROR(MID(VLOOKUP($B185,Seqs!$A:$B,2,0),O185,1),"")</f>
        <v>G</v>
      </c>
      <c r="O185" s="9">
        <v>101</v>
      </c>
      <c r="P185" s="9" t="str">
        <f>IFERROR(MID(VLOOKUP($B185,Seqs!$A:$B,2,0),Q185,1),"")</f>
        <v>N</v>
      </c>
      <c r="Q185" s="9">
        <v>103</v>
      </c>
      <c r="R185" s="9" t="str">
        <f>IFERROR(MID(VLOOKUP($B185,Seqs!$A:$B,2,0),S185,1),"")</f>
        <v>F</v>
      </c>
      <c r="S185" s="9">
        <v>106</v>
      </c>
      <c r="T185" s="9" t="str">
        <f>IFERROR(MID(VLOOKUP($B185,Seqs!$A:$B,2,0),U185,1),"")</f>
        <v>G</v>
      </c>
      <c r="U185" s="9">
        <v>107</v>
      </c>
      <c r="V185" s="9" t="str">
        <f>IFERROR(MID(VLOOKUP($B185,Seqs!$A:$B,2,0),W185,1),"")</f>
        <v>H</v>
      </c>
      <c r="W185" s="9">
        <v>142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H</v>
      </c>
      <c r="AC185" s="9">
        <v>148</v>
      </c>
      <c r="AD185" s="9" t="str">
        <f>IFERROR(MID(VLOOKUP($B185,Seqs!$A:$B,2,0),AE185,1),"")</f>
        <v>S</v>
      </c>
      <c r="AE185" s="9">
        <v>176</v>
      </c>
      <c r="AF185" s="9" t="str">
        <f>IFERROR(MID(VLOOKUP($B185,Seqs!$A:$B,2,0),AG185,1),"")</f>
        <v>C</v>
      </c>
      <c r="AG185" s="9">
        <v>187</v>
      </c>
      <c r="AH185" s="9" t="str">
        <f>IFERROR(MID(VLOOKUP($B185,Seqs!$A:$B,2,0),AI185,1),"")</f>
        <v>E</v>
      </c>
      <c r="AI185" s="9">
        <v>189</v>
      </c>
      <c r="AJ185" s="9" t="str">
        <f>IFERROR(MID(VLOOKUP($B185,Seqs!$A:$B,2,0),AK185,1),"")</f>
        <v>K</v>
      </c>
      <c r="AK185" s="9">
        <v>194</v>
      </c>
      <c r="AL185" s="9" t="str">
        <f>IFERROR(MID(VLOOKUP($B185,Seqs!$A:$B,2,0),AM185,1),"")</f>
        <v>E</v>
      </c>
      <c r="AM185" s="9">
        <v>232</v>
      </c>
      <c r="AN185" s="9" t="str">
        <f>IFERROR(MID(VLOOKUP($B185,Seqs!$A:$B,2,0),AO185,1),"")</f>
        <v>S</v>
      </c>
      <c r="AO185" s="9">
        <v>241</v>
      </c>
      <c r="AP185" s="9" t="str">
        <f>IFERROR(MID(VLOOKUP($B185,Seqs!$A:$B,2,0),AQ185,1),"")</f>
        <v>W</v>
      </c>
      <c r="AQ185" s="9">
        <v>274</v>
      </c>
      <c r="AR185" s="9" t="str">
        <f>IFERROR(MID(VLOOKUP($B185,Seqs!$A:$B,2,0),AS185,1),"")</f>
        <v>K</v>
      </c>
      <c r="AS185" s="9">
        <v>280</v>
      </c>
      <c r="AT185" s="9" t="str">
        <f>IFERROR(MID(VLOOKUP($B185,Seqs!$A:$B,2,0),AU185,1),"")</f>
        <v>A</v>
      </c>
      <c r="AU185" s="9">
        <v>308</v>
      </c>
      <c r="AV185" s="9" t="str">
        <f>IFERROR(MID(VLOOKUP($B185,Seqs!$A:$B,2,0),AW185,1),"")</f>
        <v>N</v>
      </c>
      <c r="AW185" s="9">
        <v>311</v>
      </c>
      <c r="AX185" s="9" t="str">
        <f>IFERROR(MID(VLOOKUP($B185,Seqs!$A:$B,2,0),AY185,1),"")</f>
        <v>R</v>
      </c>
      <c r="AY185" s="9">
        <v>321</v>
      </c>
      <c r="AZ185" s="110" t="str">
        <f>VLOOKUP(B185,Classification!A:D,2,0)</f>
        <v>A</v>
      </c>
      <c r="BA185" s="98" t="str">
        <f>VLOOKUP(B185,Classification!A:D,4,0)</f>
        <v>Leukotriene</v>
      </c>
      <c r="BB185" s="36" t="b">
        <f t="shared" ref="BB185" si="1317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" si="1318">_xlfn.AGGREGATE(9,6,CH185:CS185)-_xlfn.AGGREGATE(9,6,BV185:CG185)+12</f>
        <v>253</v>
      </c>
      <c r="BD185" s="126" t="s">
        <v>1375</v>
      </c>
      <c r="BE185" s="9" t="s">
        <v>1291</v>
      </c>
      <c r="BF185" s="119">
        <v>2.73</v>
      </c>
      <c r="BG185" s="51" t="s">
        <v>1</v>
      </c>
      <c r="BH185" s="51" t="s">
        <v>1</v>
      </c>
      <c r="BJ185" s="111" t="s">
        <v>1287</v>
      </c>
      <c r="BK185" s="112" t="s">
        <v>1287</v>
      </c>
      <c r="BL185" s="112" t="s">
        <v>1287</v>
      </c>
      <c r="BM185" s="112" t="s">
        <v>1287</v>
      </c>
      <c r="BN185" s="112" t="s">
        <v>1287</v>
      </c>
      <c r="BO185" s="112" t="s">
        <v>1287</v>
      </c>
      <c r="BP185" s="112" t="s">
        <v>1287</v>
      </c>
      <c r="BQ185" s="112" t="s">
        <v>1287</v>
      </c>
      <c r="BR185" s="112" t="s">
        <v>1287</v>
      </c>
      <c r="BS185" s="112" t="s">
        <v>1287</v>
      </c>
      <c r="BT185" s="112" t="s">
        <v>1287</v>
      </c>
      <c r="BU185" s="112" t="s">
        <v>1287</v>
      </c>
      <c r="BV185" s="111">
        <f t="shared" ref="BV185" si="1319">E185</f>
        <v>31</v>
      </c>
      <c r="BW185" s="113" t="str">
        <f t="shared" ref="BW185" si="1320">I185</f>
        <v>-</v>
      </c>
      <c r="BX185" s="114">
        <f t="shared" ref="BX185" si="1321">M185</f>
        <v>71</v>
      </c>
      <c r="BY185" s="113">
        <f t="shared" ref="BY185" si="1322">Q185</f>
        <v>103</v>
      </c>
      <c r="BZ185" s="114">
        <f t="shared" ref="BZ185" si="1323">U185</f>
        <v>107</v>
      </c>
      <c r="CA185" s="113" t="str">
        <f t="shared" ref="CA185" si="1324">Y185</f>
        <v>-</v>
      </c>
      <c r="CB185" s="114">
        <f t="shared" ref="CB185" si="1325">AC185</f>
        <v>148</v>
      </c>
      <c r="CC185" s="113">
        <f t="shared" ref="CC185" si="1326">AG185</f>
        <v>187</v>
      </c>
      <c r="CD185" s="114">
        <f t="shared" ref="CD185" si="1327">AK185</f>
        <v>194</v>
      </c>
      <c r="CE185" s="113">
        <f t="shared" ref="CE185" si="1328">AO185</f>
        <v>241</v>
      </c>
      <c r="CF185" s="114">
        <f t="shared" ref="CF185" si="1329">AS185</f>
        <v>280</v>
      </c>
      <c r="CG185" s="113">
        <f t="shared" ref="CG185" si="1330">AW185</f>
        <v>311</v>
      </c>
      <c r="CH185" s="111">
        <f t="shared" ref="CH185" si="1331">G185</f>
        <v>65</v>
      </c>
      <c r="CI185" s="113" t="str">
        <f t="shared" ref="CI185" si="1332">K185</f>
        <v>-</v>
      </c>
      <c r="CJ185" s="114">
        <f t="shared" ref="CJ185" si="1333">O185</f>
        <v>101</v>
      </c>
      <c r="CK185" s="114">
        <f t="shared" ref="CK185" si="1334">S185</f>
        <v>106</v>
      </c>
      <c r="CL185" s="114">
        <f t="shared" ref="CL185" si="1335">W185</f>
        <v>142</v>
      </c>
      <c r="CM185" s="114" t="str">
        <f t="shared" ref="CM185" si="1336">AA185</f>
        <v>-</v>
      </c>
      <c r="CN185" s="114">
        <f t="shared" ref="CN185" si="1337">AE185</f>
        <v>176</v>
      </c>
      <c r="CO185" s="114">
        <f t="shared" ref="CO185" si="1338">AI185</f>
        <v>189</v>
      </c>
      <c r="CP185" s="114">
        <f t="shared" ref="CP185" si="1339">AM185</f>
        <v>232</v>
      </c>
      <c r="CQ185" s="114">
        <f t="shared" ref="CQ185" si="1340">AQ185</f>
        <v>274</v>
      </c>
      <c r="CR185" s="114">
        <f t="shared" ref="CR185" si="1341">AU185</f>
        <v>308</v>
      </c>
      <c r="CS185" s="114">
        <f t="shared" ref="CS185" si="1342">AY185</f>
        <v>321</v>
      </c>
      <c r="CT185" s="109" t="e">
        <f t="shared" ref="CT185" si="1343">M185-K185</f>
        <v>#VALUE!</v>
      </c>
    </row>
    <row r="186" spans="1:1030" x14ac:dyDescent="0.2">
      <c r="A186" s="3" t="str">
        <f t="shared" si="951"/>
        <v>cnr1_human__wt</v>
      </c>
      <c r="B186" s="3" t="s">
        <v>182</v>
      </c>
      <c r="C186" s="3" t="s">
        <v>100</v>
      </c>
      <c r="D186" s="3" t="str">
        <f>IFERROR(MID(VLOOKUP($B186,Seqs!$A:$B,2,0),E186,1),"")</f>
        <v>N</v>
      </c>
      <c r="E186" s="3">
        <v>112</v>
      </c>
      <c r="F186" s="3" t="str">
        <f>IFERROR(MID(VLOOKUP($B186,Seqs!$A:$B,2,0),G186,1),"")</f>
        <v>S</v>
      </c>
      <c r="G186" s="3">
        <v>144</v>
      </c>
      <c r="H186" s="3" t="str">
        <f>IFERROR(MID(VLOOKUP($B186,Seqs!$A:$B,2,0),I186,1),"")</f>
        <v>R</v>
      </c>
      <c r="I186" s="23">
        <v>145</v>
      </c>
      <c r="J186" s="3" t="str">
        <f>IFERROR(MID(VLOOKUP($B186,Seqs!$A:$B,2,0),K186,1),"")</f>
        <v>R</v>
      </c>
      <c r="K186" s="23">
        <v>148</v>
      </c>
      <c r="L186" s="3" t="str">
        <f>IFERROR(MID(VLOOKUP($B186,Seqs!$A:$B,2,0),M186,1),"")</f>
        <v>R</v>
      </c>
      <c r="M186" s="3">
        <v>150</v>
      </c>
      <c r="N186" s="3" t="str">
        <f>IFERROR(MID(VLOOKUP($B186,Seqs!$A:$B,2,0),O186,1),"")</f>
        <v>V</v>
      </c>
      <c r="O186" s="3">
        <v>179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S</v>
      </c>
      <c r="U186" s="3">
        <v>185</v>
      </c>
      <c r="V186" s="3" t="str">
        <f>IFERROR(MID(VLOOKUP($B186,Seqs!$A:$B,2,0),W186,1),"")</f>
        <v>R</v>
      </c>
      <c r="W186" s="3">
        <v>220</v>
      </c>
      <c r="X186" s="3" t="str">
        <f>IFERROR(MID(VLOOKUP($B186,Seqs!$A:$B,2,0),Y186,1),"")</f>
        <v>P</v>
      </c>
      <c r="Y186" s="3">
        <v>221</v>
      </c>
      <c r="Z186" s="3" t="str">
        <f>IFERROR(MID(VLOOKUP($B186,Seqs!$A:$B,2,0),AA186,1),"")</f>
        <v>V</v>
      </c>
      <c r="AA186" s="3">
        <v>228</v>
      </c>
      <c r="AB186" s="3" t="str">
        <f>IFERROR(MID(VLOOKUP($B186,Seqs!$A:$B,2,0),AC186,1),"")</f>
        <v>T</v>
      </c>
      <c r="AC186" s="9">
        <v>229</v>
      </c>
      <c r="AD186" s="3" t="str">
        <f>IFERROR(MID(VLOOKUP($B186,Seqs!$A:$B,2,0),AE186,1),"")</f>
        <v>G</v>
      </c>
      <c r="AE186" s="3">
        <v>254</v>
      </c>
      <c r="AF186" s="3" t="str">
        <f>IFERROR(MID(VLOOKUP($B186,Seqs!$A:$B,2,0),AG186,1),"")</f>
        <v/>
      </c>
      <c r="AG186" s="3" t="s">
        <v>23</v>
      </c>
      <c r="AH186" s="3" t="str">
        <f>IFERROR(MID(VLOOKUP($B186,Seqs!$A:$B,2,0),AI186,1),"")</f>
        <v/>
      </c>
      <c r="AI186" s="3" t="s">
        <v>23</v>
      </c>
      <c r="AJ186" s="3" t="str">
        <f>IFERROR(MID(VLOOKUP($B186,Seqs!$A:$B,2,0),AK186,1),"")</f>
        <v>D</v>
      </c>
      <c r="AK186" s="3">
        <v>272</v>
      </c>
      <c r="AL186" s="3" t="str">
        <f>IFERROR(MID(VLOOKUP($B186,Seqs!$A:$B,2,0),AM186,1),"")</f>
        <v>G</v>
      </c>
      <c r="AM186" s="3">
        <v>312</v>
      </c>
      <c r="AN186" s="3" t="str">
        <f>IFERROR(MID(VLOOKUP($B186,Seqs!$A:$B,2,0),AO186,1),"")</f>
        <v>P</v>
      </c>
      <c r="AO186" s="3">
        <v>332</v>
      </c>
      <c r="AP186" s="3" t="str">
        <f>IFERROR(MID(VLOOKUP($B186,Seqs!$A:$B,2,0),AQ186,1),"")</f>
        <v>G</v>
      </c>
      <c r="AQ186" s="3">
        <v>369</v>
      </c>
      <c r="AR186" s="3" t="str">
        <f>IFERROR(MID(VLOOKUP($B186,Seqs!$A:$B,2,0),AS186,1),"")</f>
        <v>N</v>
      </c>
      <c r="AS186" s="3">
        <v>372</v>
      </c>
      <c r="AT186" s="3" t="str">
        <f>IFERROR(MID(VLOOKUP($B186,Seqs!$A:$B,2,0),AU186,1),"")</f>
        <v>R</v>
      </c>
      <c r="AU186" s="3">
        <v>400</v>
      </c>
      <c r="AV186" s="3" t="str">
        <f>IFERROR(MID(VLOOKUP($B186,Seqs!$A:$B,2,0),AW186,1),"")</f>
        <v>S</v>
      </c>
      <c r="AW186" s="3">
        <v>401</v>
      </c>
      <c r="AX186" s="3" t="str">
        <f>IFERROR(MID(VLOOKUP($B186,Seqs!$A:$B,2,0),AY186,1),"")</f>
        <v>P</v>
      </c>
      <c r="AY186" s="3">
        <v>413</v>
      </c>
      <c r="AZ186" s="77" t="str">
        <f>VLOOKUP(B186,Classification!A:D,2,0)</f>
        <v>A</v>
      </c>
      <c r="BA186" s="94" t="str">
        <f>VLOOKUP(B186,Classification!A:D,4,0)</f>
        <v>Cannabinoid</v>
      </c>
      <c r="BB186" s="27" t="b">
        <f t="shared" si="952"/>
        <v>1</v>
      </c>
      <c r="BC186" s="23">
        <f t="shared" si="729"/>
        <v>260</v>
      </c>
      <c r="BD186" s="56" t="s">
        <v>23</v>
      </c>
      <c r="BE186" s="3" t="s">
        <v>23</v>
      </c>
      <c r="BF186" s="118" t="s">
        <v>23</v>
      </c>
      <c r="BG186" s="49" t="s">
        <v>1372</v>
      </c>
      <c r="BH186" s="49" t="s">
        <v>1377</v>
      </c>
      <c r="BJ186" s="70" t="s">
        <v>1287</v>
      </c>
      <c r="BK186" s="57" t="s">
        <v>1287</v>
      </c>
      <c r="BL186" s="57" t="s">
        <v>1287</v>
      </c>
      <c r="BM186" s="57" t="s">
        <v>1287</v>
      </c>
      <c r="BN186" s="57" t="s">
        <v>1287</v>
      </c>
      <c r="BO186" s="57" t="s">
        <v>1287</v>
      </c>
      <c r="BP186" s="57" t="s">
        <v>1287</v>
      </c>
      <c r="BQ186" s="57" t="s">
        <v>1287</v>
      </c>
      <c r="BR186" s="57" t="s">
        <v>1287</v>
      </c>
      <c r="BS186" s="57" t="s">
        <v>1287</v>
      </c>
      <c r="BT186" s="57" t="s">
        <v>1287</v>
      </c>
      <c r="BU186" s="57" t="s">
        <v>1287</v>
      </c>
      <c r="BV186" s="70">
        <f t="shared" si="730"/>
        <v>112</v>
      </c>
      <c r="BW186" s="71">
        <f t="shared" si="731"/>
        <v>145</v>
      </c>
      <c r="BX186" s="72">
        <f t="shared" si="732"/>
        <v>150</v>
      </c>
      <c r="BY186" s="71" t="str">
        <f t="shared" si="733"/>
        <v>-</v>
      </c>
      <c r="BZ186" s="72">
        <f t="shared" si="734"/>
        <v>185</v>
      </c>
      <c r="CA186" s="71">
        <f t="shared" si="735"/>
        <v>221</v>
      </c>
      <c r="CB186" s="72">
        <f t="shared" si="736"/>
        <v>229</v>
      </c>
      <c r="CC186" s="71" t="str">
        <f t="shared" si="737"/>
        <v>-</v>
      </c>
      <c r="CD186" s="72">
        <f t="shared" si="738"/>
        <v>272</v>
      </c>
      <c r="CE186" s="71">
        <f t="shared" si="739"/>
        <v>332</v>
      </c>
      <c r="CF186" s="72">
        <f t="shared" si="740"/>
        <v>372</v>
      </c>
      <c r="CG186" s="71">
        <f t="shared" si="741"/>
        <v>401</v>
      </c>
      <c r="CH186" s="70">
        <f t="shared" si="742"/>
        <v>144</v>
      </c>
      <c r="CI186" s="71">
        <f t="shared" si="743"/>
        <v>148</v>
      </c>
      <c r="CJ186" s="72">
        <f t="shared" si="744"/>
        <v>179</v>
      </c>
      <c r="CK186" s="72" t="str">
        <f t="shared" si="745"/>
        <v>-</v>
      </c>
      <c r="CL186" s="72">
        <f t="shared" si="746"/>
        <v>220</v>
      </c>
      <c r="CM186" s="72">
        <f t="shared" si="747"/>
        <v>228</v>
      </c>
      <c r="CN186" s="72">
        <f t="shared" si="748"/>
        <v>254</v>
      </c>
      <c r="CO186" s="72" t="str">
        <f t="shared" si="749"/>
        <v>-</v>
      </c>
      <c r="CP186" s="72">
        <f t="shared" si="750"/>
        <v>312</v>
      </c>
      <c r="CQ186" s="72">
        <f t="shared" si="751"/>
        <v>369</v>
      </c>
      <c r="CR186" s="72">
        <f t="shared" si="752"/>
        <v>400</v>
      </c>
      <c r="CS186" s="72">
        <f t="shared" si="753"/>
        <v>413</v>
      </c>
      <c r="CT186" s="23">
        <f t="shared" si="754"/>
        <v>2</v>
      </c>
    </row>
    <row r="187" spans="1:1030" s="3" customFormat="1" x14ac:dyDescent="0.2">
      <c r="A187" s="3" t="str">
        <f t="shared" si="951"/>
        <v>cnr1_human_5TGZ</v>
      </c>
      <c r="B187" s="3" t="s">
        <v>182</v>
      </c>
      <c r="C187" s="3" t="s">
        <v>1359</v>
      </c>
      <c r="D187" s="3" t="str">
        <f>IFERROR(MID(VLOOKUP($B187,Seqs!$A:$B,2,0),E187,1),"")</f>
        <v>P</v>
      </c>
      <c r="E187" s="3">
        <v>113</v>
      </c>
      <c r="F187" s="3" t="str">
        <f>IFERROR(MID(VLOOKUP($B187,Seqs!$A:$B,2,0),G187,1),"")</f>
        <v>S</v>
      </c>
      <c r="G187" s="3">
        <v>144</v>
      </c>
      <c r="H187" s="3" t="str">
        <f>IFERROR(MID(VLOOKUP($B187,Seqs!$A:$B,2,0),I187,1),"")</f>
        <v>R</v>
      </c>
      <c r="I187" s="23">
        <v>145</v>
      </c>
      <c r="J187" s="3" t="str">
        <f>IFERROR(MID(VLOOKUP($B187,Seqs!$A:$B,2,0),K187,1),"")</f>
        <v>R</v>
      </c>
      <c r="K187" s="23">
        <v>148</v>
      </c>
      <c r="L187" s="3" t="str">
        <f>IFERROR(MID(VLOOKUP($B187,Seqs!$A:$B,2,0),M187,1),"")</f>
        <v>R</v>
      </c>
      <c r="M187" s="3">
        <v>150</v>
      </c>
      <c r="N187" s="3" t="str">
        <f>IFERROR(MID(VLOOKUP($B187,Seqs!$A:$B,2,0),O187,1),"")</f>
        <v>V</v>
      </c>
      <c r="O187" s="3">
        <v>179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185</v>
      </c>
      <c r="V187" s="3" t="str">
        <f>IFERROR(MID(VLOOKUP($B187,Seqs!$A:$B,2,0),W187,1),"")</f>
        <v>R</v>
      </c>
      <c r="W187" s="3">
        <v>220</v>
      </c>
      <c r="X187" s="3" t="str">
        <f>IFERROR(MID(VLOOKUP($B187,Seqs!$A:$B,2,0),Y187,1),"")</f>
        <v>P</v>
      </c>
      <c r="Y187" s="3">
        <v>221</v>
      </c>
      <c r="Z187" s="3" t="str">
        <f>IFERROR(MID(VLOOKUP($B187,Seqs!$A:$B,2,0),AA187,1),"")</f>
        <v>V</v>
      </c>
      <c r="AA187" s="3">
        <v>228</v>
      </c>
      <c r="AB187" s="3" t="str">
        <f>IFERROR(MID(VLOOKUP($B187,Seqs!$A:$B,2,0),AC187,1),"")</f>
        <v>T</v>
      </c>
      <c r="AC187" s="9">
        <v>229</v>
      </c>
      <c r="AD187" s="3" t="str">
        <f>IFERROR(MID(VLOOKUP($B187,Seqs!$A:$B,2,0),AE187,1),"")</f>
        <v>G</v>
      </c>
      <c r="AE187" s="3">
        <v>254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D</v>
      </c>
      <c r="AK187" s="3">
        <v>272</v>
      </c>
      <c r="AL187" s="3" t="str">
        <f>IFERROR(MID(VLOOKUP($B187,Seqs!$A:$B,2,0),AM187,1),"")</f>
        <v>H</v>
      </c>
      <c r="AM187" s="3">
        <v>304</v>
      </c>
      <c r="AN187" s="3" t="str">
        <f>IFERROR(MID(VLOOKUP($B187,Seqs!$A:$B,2,0),AO187,1),"")</f>
        <v>P</v>
      </c>
      <c r="AO187" s="3">
        <v>332</v>
      </c>
      <c r="AP187" s="3" t="str">
        <f>IFERROR(MID(VLOOKUP($B187,Seqs!$A:$B,2,0),AQ187,1),"")</f>
        <v>F</v>
      </c>
      <c r="AQ187" s="3">
        <v>368</v>
      </c>
      <c r="AR187" s="3" t="str">
        <f>IFERROR(MID(VLOOKUP($B187,Seqs!$A:$B,2,0),AS187,1),"")</f>
        <v>N</v>
      </c>
      <c r="AS187" s="3">
        <v>372</v>
      </c>
      <c r="AT187" s="3" t="str">
        <f>IFERROR(MID(VLOOKUP($B187,Seqs!$A:$B,2,0),AU187,1),"")</f>
        <v>R</v>
      </c>
      <c r="AU187" s="3">
        <v>400</v>
      </c>
      <c r="AV187" s="3" t="str">
        <f>IFERROR(MID(VLOOKUP($B187,Seqs!$A:$B,2,0),AW187,1),"")</f>
        <v>S</v>
      </c>
      <c r="AW187" s="3">
        <v>401</v>
      </c>
      <c r="AX187" s="3" t="str">
        <f>IFERROR(MID(VLOOKUP($B187,Seqs!$A:$B,2,0),AY187,1),"")</f>
        <v>M</v>
      </c>
      <c r="AY187" s="3">
        <v>411</v>
      </c>
      <c r="AZ187" s="77" t="str">
        <f>VLOOKUP(B187,Classification!A:D,2,0)</f>
        <v>A</v>
      </c>
      <c r="BA187" s="94" t="str">
        <f>VLOOKUP(B187,Classification!A:D,4,0)</f>
        <v>Cannabinoid</v>
      </c>
      <c r="BB187" s="27" t="b">
        <f t="shared" si="952"/>
        <v>1</v>
      </c>
      <c r="BC187" s="23">
        <f t="shared" si="729"/>
        <v>248</v>
      </c>
      <c r="BD187" s="16" t="s">
        <v>1376</v>
      </c>
      <c r="BE187" s="3" t="s">
        <v>1374</v>
      </c>
      <c r="BF187" s="118">
        <v>2.8</v>
      </c>
      <c r="BG187" s="49" t="s">
        <v>1377</v>
      </c>
      <c r="BH187" s="49" t="s">
        <v>1377</v>
      </c>
      <c r="BJ187" s="70" t="s">
        <v>1287</v>
      </c>
      <c r="BK187" s="57" t="s">
        <v>1287</v>
      </c>
      <c r="BL187" s="57" t="s">
        <v>1287</v>
      </c>
      <c r="BM187" s="57" t="s">
        <v>1287</v>
      </c>
      <c r="BN187" s="57" t="s">
        <v>1287</v>
      </c>
      <c r="BO187" s="57" t="s">
        <v>1287</v>
      </c>
      <c r="BP187" s="57" t="s">
        <v>1287</v>
      </c>
      <c r="BQ187" s="57" t="s">
        <v>1287</v>
      </c>
      <c r="BR187" s="57" t="s">
        <v>1287</v>
      </c>
      <c r="BS187" s="57" t="s">
        <v>1287</v>
      </c>
      <c r="BT187" s="57" t="s">
        <v>1287</v>
      </c>
      <c r="BU187" s="57" t="s">
        <v>1287</v>
      </c>
      <c r="BV187" s="70">
        <f t="shared" si="730"/>
        <v>113</v>
      </c>
      <c r="BW187" s="71">
        <f t="shared" si="731"/>
        <v>145</v>
      </c>
      <c r="BX187" s="72">
        <f t="shared" si="732"/>
        <v>150</v>
      </c>
      <c r="BY187" s="71" t="str">
        <f t="shared" si="733"/>
        <v>-</v>
      </c>
      <c r="BZ187" s="72">
        <f t="shared" si="734"/>
        <v>185</v>
      </c>
      <c r="CA187" s="71">
        <f t="shared" si="735"/>
        <v>221</v>
      </c>
      <c r="CB187" s="72">
        <f t="shared" si="736"/>
        <v>229</v>
      </c>
      <c r="CC187" s="71" t="str">
        <f t="shared" si="737"/>
        <v>-</v>
      </c>
      <c r="CD187" s="72">
        <f t="shared" si="738"/>
        <v>272</v>
      </c>
      <c r="CE187" s="71">
        <f t="shared" si="739"/>
        <v>332</v>
      </c>
      <c r="CF187" s="72">
        <f t="shared" si="740"/>
        <v>372</v>
      </c>
      <c r="CG187" s="71">
        <f t="shared" si="741"/>
        <v>401</v>
      </c>
      <c r="CH187" s="70">
        <f t="shared" si="742"/>
        <v>144</v>
      </c>
      <c r="CI187" s="71">
        <f t="shared" si="743"/>
        <v>148</v>
      </c>
      <c r="CJ187" s="72">
        <f t="shared" si="744"/>
        <v>179</v>
      </c>
      <c r="CK187" s="72" t="str">
        <f t="shared" si="745"/>
        <v>-</v>
      </c>
      <c r="CL187" s="72">
        <f t="shared" si="746"/>
        <v>220</v>
      </c>
      <c r="CM187" s="72">
        <f t="shared" si="747"/>
        <v>228</v>
      </c>
      <c r="CN187" s="72">
        <f t="shared" si="748"/>
        <v>254</v>
      </c>
      <c r="CO187" s="72" t="str">
        <f t="shared" si="749"/>
        <v>-</v>
      </c>
      <c r="CP187" s="72">
        <f t="shared" si="750"/>
        <v>304</v>
      </c>
      <c r="CQ187" s="72">
        <f t="shared" si="751"/>
        <v>368</v>
      </c>
      <c r="CR187" s="72">
        <f t="shared" si="752"/>
        <v>400</v>
      </c>
      <c r="CS187" s="72">
        <f t="shared" si="753"/>
        <v>411</v>
      </c>
      <c r="CT187" s="23">
        <f t="shared" si="754"/>
        <v>2</v>
      </c>
      <c r="AMP187" s="1"/>
    </row>
    <row r="188" spans="1:1030" x14ac:dyDescent="0.2">
      <c r="A188" s="3" t="str">
        <f t="shared" si="951"/>
        <v>cnr1_human_5U09</v>
      </c>
      <c r="B188" s="3" t="s">
        <v>182</v>
      </c>
      <c r="C188" s="3" t="s">
        <v>1364</v>
      </c>
      <c r="D188" s="3" t="str">
        <f>IFERROR(MID(VLOOKUP($B188,Seqs!$A:$B,2,0),E188,1),"")</f>
        <v>N</v>
      </c>
      <c r="E188" s="3">
        <v>112</v>
      </c>
      <c r="F188" s="3" t="str">
        <f>IFERROR(MID(VLOOKUP($B188,Seqs!$A:$B,2,0),G188,1),"")</f>
        <v>S</v>
      </c>
      <c r="G188" s="3">
        <v>144</v>
      </c>
      <c r="H188" s="3" t="str">
        <f>IFERROR(MID(VLOOKUP($B188,Seqs!$A:$B,2,0),I188,1),"")</f>
        <v>R</v>
      </c>
      <c r="I188" s="23">
        <v>145</v>
      </c>
      <c r="J188" s="3" t="str">
        <f>IFERROR(MID(VLOOKUP($B188,Seqs!$A:$B,2,0),K188,1),"")</f>
        <v>R</v>
      </c>
      <c r="K188" s="23">
        <v>148</v>
      </c>
      <c r="L188" s="3" t="str">
        <f>IFERROR(MID(VLOOKUP($B188,Seqs!$A:$B,2,0),M188,1),"")</f>
        <v>R</v>
      </c>
      <c r="M188" s="3">
        <v>150</v>
      </c>
      <c r="N188" s="3" t="str">
        <f>IFERROR(MID(VLOOKUP($B188,Seqs!$A:$B,2,0),O188,1),"")</f>
        <v>V</v>
      </c>
      <c r="O188" s="3">
        <v>179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S</v>
      </c>
      <c r="U188" s="3">
        <v>185</v>
      </c>
      <c r="V188" s="3" t="str">
        <f>IFERROR(MID(VLOOKUP($B188,Seqs!$A:$B,2,0),W188,1),"")</f>
        <v>R</v>
      </c>
      <c r="W188" s="3">
        <v>220</v>
      </c>
      <c r="X188" s="3" t="str">
        <f>IFERROR(MID(VLOOKUP($B188,Seqs!$A:$B,2,0),Y188,1),"")</f>
        <v>P</v>
      </c>
      <c r="Y188" s="3">
        <v>221</v>
      </c>
      <c r="Z188" s="3" t="str">
        <f>IFERROR(MID(VLOOKUP($B188,Seqs!$A:$B,2,0),AA188,1),"")</f>
        <v>V</v>
      </c>
      <c r="AA188" s="3">
        <v>228</v>
      </c>
      <c r="AB188" s="3" t="str">
        <f>IFERROR(MID(VLOOKUP($B188,Seqs!$A:$B,2,0),AC188,1),"")</f>
        <v>T</v>
      </c>
      <c r="AC188" s="9">
        <v>229</v>
      </c>
      <c r="AD188" s="3" t="str">
        <f>IFERROR(MID(VLOOKUP($B188,Seqs!$A:$B,2,0),AE188,1),"")</f>
        <v>G</v>
      </c>
      <c r="AE188" s="3">
        <v>254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D</v>
      </c>
      <c r="AK188" s="3">
        <v>272</v>
      </c>
      <c r="AL188" s="3" t="str">
        <f>IFERROR(MID(VLOOKUP($B188,Seqs!$A:$B,2,0),AM188,1),"")</f>
        <v>A</v>
      </c>
      <c r="AM188" s="3">
        <v>301</v>
      </c>
      <c r="AN188" s="3" t="str">
        <f>IFERROR(MID(VLOOKUP($B188,Seqs!$A:$B,2,0),AO188,1),"")</f>
        <v>D</v>
      </c>
      <c r="AO188" s="3">
        <v>333</v>
      </c>
      <c r="AP188" s="3" t="str">
        <f>IFERROR(MID(VLOOKUP($B188,Seqs!$A:$B,2,0),AQ188,1),"")</f>
        <v>F</v>
      </c>
      <c r="AQ188" s="3">
        <v>368</v>
      </c>
      <c r="AR188" s="3" t="str">
        <f>IFERROR(MID(VLOOKUP($B188,Seqs!$A:$B,2,0),AS188,1),"")</f>
        <v>L</v>
      </c>
      <c r="AS188" s="3">
        <v>374</v>
      </c>
      <c r="AT188" s="3" t="str">
        <f>IFERROR(MID(VLOOKUP($B188,Seqs!$A:$B,2,0),AU188,1),"")</f>
        <v>R</v>
      </c>
      <c r="AU188" s="3">
        <v>400</v>
      </c>
      <c r="AV188" s="3" t="str">
        <f>IFERROR(MID(VLOOKUP($B188,Seqs!$A:$B,2,0),AW188,1),"")</f>
        <v>S</v>
      </c>
      <c r="AW188" s="3">
        <v>401</v>
      </c>
      <c r="AX188" s="3" t="str">
        <f>IFERROR(MID(VLOOKUP($B188,Seqs!$A:$B,2,0),AY188,1),"")</f>
        <v>M</v>
      </c>
      <c r="AY188" s="3">
        <v>411</v>
      </c>
      <c r="AZ188" s="77" t="str">
        <f>VLOOKUP(B188,Classification!A:D,2,0)</f>
        <v>A</v>
      </c>
      <c r="BA188" s="94" t="str">
        <f>VLOOKUP(B188,Classification!A:D,4,0)</f>
        <v>Cannabinoid</v>
      </c>
      <c r="BB188" s="27" t="b">
        <f t="shared" si="952"/>
        <v>1</v>
      </c>
      <c r="BC188" s="23">
        <f t="shared" si="729"/>
        <v>243</v>
      </c>
      <c r="BD188" s="2" t="s">
        <v>23</v>
      </c>
      <c r="BE188" s="3" t="s">
        <v>1374</v>
      </c>
      <c r="BF188" s="118">
        <v>2.6</v>
      </c>
      <c r="BG188" s="49" t="s">
        <v>1377</v>
      </c>
      <c r="BH188" s="49" t="s">
        <v>1377</v>
      </c>
      <c r="BJ188" s="70" t="s">
        <v>1287</v>
      </c>
      <c r="BK188" s="57" t="s">
        <v>1287</v>
      </c>
      <c r="BL188" s="57" t="s">
        <v>1287</v>
      </c>
      <c r="BM188" s="57" t="s">
        <v>1287</v>
      </c>
      <c r="BN188" s="57" t="s">
        <v>1287</v>
      </c>
      <c r="BO188" s="57" t="s">
        <v>1287</v>
      </c>
      <c r="BP188" s="57" t="s">
        <v>1287</v>
      </c>
      <c r="BQ188" s="57" t="s">
        <v>1287</v>
      </c>
      <c r="BR188" s="57" t="s">
        <v>1287</v>
      </c>
      <c r="BS188" s="57" t="s">
        <v>1287</v>
      </c>
      <c r="BT188" s="57" t="s">
        <v>1287</v>
      </c>
      <c r="BU188" s="57" t="s">
        <v>1287</v>
      </c>
      <c r="BV188" s="70">
        <f t="shared" si="730"/>
        <v>112</v>
      </c>
      <c r="BW188" s="71">
        <f t="shared" si="731"/>
        <v>145</v>
      </c>
      <c r="BX188" s="72">
        <f t="shared" si="732"/>
        <v>150</v>
      </c>
      <c r="BY188" s="71" t="str">
        <f t="shared" si="733"/>
        <v>-</v>
      </c>
      <c r="BZ188" s="72">
        <f t="shared" si="734"/>
        <v>185</v>
      </c>
      <c r="CA188" s="71">
        <f t="shared" si="735"/>
        <v>221</v>
      </c>
      <c r="CB188" s="72">
        <f t="shared" si="736"/>
        <v>229</v>
      </c>
      <c r="CC188" s="71" t="str">
        <f t="shared" si="737"/>
        <v>-</v>
      </c>
      <c r="CD188" s="72">
        <f t="shared" si="738"/>
        <v>272</v>
      </c>
      <c r="CE188" s="71">
        <f t="shared" si="739"/>
        <v>333</v>
      </c>
      <c r="CF188" s="72">
        <f t="shared" si="740"/>
        <v>374</v>
      </c>
      <c r="CG188" s="71">
        <f t="shared" si="741"/>
        <v>401</v>
      </c>
      <c r="CH188" s="70">
        <f t="shared" si="742"/>
        <v>144</v>
      </c>
      <c r="CI188" s="71">
        <f t="shared" si="743"/>
        <v>148</v>
      </c>
      <c r="CJ188" s="72">
        <f t="shared" si="744"/>
        <v>179</v>
      </c>
      <c r="CK188" s="72" t="str">
        <f t="shared" si="745"/>
        <v>-</v>
      </c>
      <c r="CL188" s="72">
        <f t="shared" si="746"/>
        <v>220</v>
      </c>
      <c r="CM188" s="72">
        <f t="shared" si="747"/>
        <v>228</v>
      </c>
      <c r="CN188" s="72">
        <f t="shared" si="748"/>
        <v>254</v>
      </c>
      <c r="CO188" s="72" t="str">
        <f t="shared" si="749"/>
        <v>-</v>
      </c>
      <c r="CP188" s="72">
        <f t="shared" si="750"/>
        <v>301</v>
      </c>
      <c r="CQ188" s="72">
        <f t="shared" si="751"/>
        <v>368</v>
      </c>
      <c r="CR188" s="72">
        <f t="shared" si="752"/>
        <v>400</v>
      </c>
      <c r="CS188" s="72">
        <f t="shared" si="753"/>
        <v>411</v>
      </c>
      <c r="CT188" s="23">
        <f t="shared" si="754"/>
        <v>2</v>
      </c>
    </row>
    <row r="189" spans="1:1030" x14ac:dyDescent="0.2">
      <c r="A189" s="3" t="str">
        <f t="shared" ref="A189:A194" si="1344">CONCATENATE(B189,"_",C189)</f>
        <v>cnr1_human_5XR8</v>
      </c>
      <c r="B189" s="3" t="s">
        <v>182</v>
      </c>
      <c r="C189" s="3" t="s">
        <v>1424</v>
      </c>
      <c r="D189" s="3" t="str">
        <f>IFERROR(MID(VLOOKUP($B189,Seqs!$A:$B,2,0),E189,1),"")</f>
        <v>N</v>
      </c>
      <c r="E189" s="3">
        <v>112</v>
      </c>
      <c r="F189" s="3" t="str">
        <f>IFERROR(MID(VLOOKUP($B189,Seqs!$A:$B,2,0),G189,1),"")</f>
        <v>S</v>
      </c>
      <c r="G189" s="3">
        <v>146</v>
      </c>
      <c r="H189" s="3" t="str">
        <f>IFERROR(MID(VLOOKUP($B189,Seqs!$A:$B,2,0),I189,1),"")</f>
        <v/>
      </c>
      <c r="I189" s="23" t="s">
        <v>23</v>
      </c>
      <c r="J189" s="3" t="str">
        <f>IFERROR(MID(VLOOKUP($B189,Seqs!$A:$B,2,0),K189,1),"")</f>
        <v/>
      </c>
      <c r="K189" s="23" t="s">
        <v>23</v>
      </c>
      <c r="L189" s="3" t="str">
        <f>IFERROR(MID(VLOOKUP($B189,Seqs!$A:$B,2,0),M189,1),"")</f>
        <v>Y</v>
      </c>
      <c r="M189" s="3">
        <v>153</v>
      </c>
      <c r="N189" s="3" t="str">
        <f>IFERROR(MID(VLOOKUP($B189,Seqs!$A:$B,2,0),O189,1),"")</f>
        <v>F</v>
      </c>
      <c r="O189" s="3">
        <v>180</v>
      </c>
      <c r="P189" s="3" t="str">
        <f>IFERROR(MID(VLOOKUP($B189,Seqs!$A:$B,2,0),Q189,1),"")</f>
        <v/>
      </c>
      <c r="Q189" s="3" t="s">
        <v>23</v>
      </c>
      <c r="R189" s="3" t="str">
        <f>IFERROR(MID(VLOOKUP($B189,Seqs!$A:$B,2,0),S189,1),"")</f>
        <v/>
      </c>
      <c r="S189" s="3" t="s">
        <v>23</v>
      </c>
      <c r="T189" s="3" t="str">
        <f>IFERROR(MID(VLOOKUP($B189,Seqs!$A:$B,2,0),U189,1),"")</f>
        <v>S</v>
      </c>
      <c r="U189" s="3">
        <v>185</v>
      </c>
      <c r="V189" s="3" t="str">
        <f>IFERROR(MID(VLOOKUP($B189,Seqs!$A:$B,2,0),W189,1),"")</f>
        <v>R</v>
      </c>
      <c r="W189" s="3">
        <v>220</v>
      </c>
      <c r="X189" s="3" t="str">
        <f>IFERROR(MID(VLOOKUP($B189,Seqs!$A:$B,2,0),Y189,1),"")</f>
        <v>P</v>
      </c>
      <c r="Y189" s="3">
        <v>221</v>
      </c>
      <c r="Z189" s="3" t="str">
        <f>IFERROR(MID(VLOOKUP($B189,Seqs!$A:$B,2,0),AA189,1),"")</f>
        <v>V</v>
      </c>
      <c r="AA189" s="3">
        <v>228</v>
      </c>
      <c r="AB189" s="3" t="str">
        <f>IFERROR(MID(VLOOKUP($B189,Seqs!$A:$B,2,0),AC189,1),"")</f>
        <v>T</v>
      </c>
      <c r="AC189" s="3">
        <v>229</v>
      </c>
      <c r="AD189" s="3" t="str">
        <f>IFERROR(MID(VLOOKUP($B189,Seqs!$A:$B,2,0),AE189,1),"")</f>
        <v>G</v>
      </c>
      <c r="AE189" s="3">
        <v>254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D</v>
      </c>
      <c r="AK189" s="3">
        <v>272</v>
      </c>
      <c r="AL189" s="3" t="str">
        <f>IFERROR(MID(VLOOKUP($B189,Seqs!$A:$B,2,0),AM189,1),"")</f>
        <v>S</v>
      </c>
      <c r="AM189" s="3">
        <v>303</v>
      </c>
      <c r="AN189" s="3" t="str">
        <f>IFERROR(MID(VLOOKUP($B189,Seqs!$A:$B,2,0),AO189,1),"")</f>
        <v>D</v>
      </c>
      <c r="AO189" s="3">
        <v>338</v>
      </c>
      <c r="AP189" s="3" t="str">
        <f>IFERROR(MID(VLOOKUP($B189,Seqs!$A:$B,2,0),AQ189,1),"")</f>
        <v>F</v>
      </c>
      <c r="AQ189" s="3">
        <v>368</v>
      </c>
      <c r="AR189" s="3" t="str">
        <f>IFERROR(MID(VLOOKUP($B189,Seqs!$A:$B,2,0),AS189,1),"")</f>
        <v>N</v>
      </c>
      <c r="AS189" s="3">
        <v>372</v>
      </c>
      <c r="AT189" s="3" t="str">
        <f>IFERROR(MID(VLOOKUP($B189,Seqs!$A:$B,2,0),AU189,1),"")</f>
        <v>Y</v>
      </c>
      <c r="AU189" s="3">
        <v>397</v>
      </c>
      <c r="AV189" s="3" t="str">
        <f>IFERROR(MID(VLOOKUP($B189,Seqs!$A:$B,2,0),AW189,1),"")</f>
        <v>S</v>
      </c>
      <c r="AW189" s="3">
        <v>401</v>
      </c>
      <c r="AX189" s="3" t="str">
        <f>IFERROR(MID(VLOOKUP($B189,Seqs!$A:$B,2,0),AY189,1),"")</f>
        <v>F</v>
      </c>
      <c r="AY189" s="3">
        <v>412</v>
      </c>
      <c r="AZ189" s="77" t="str">
        <f>VLOOKUP(B189,Classification!A:D,2,0)</f>
        <v>A</v>
      </c>
      <c r="BA189" s="94" t="str">
        <f>VLOOKUP(B189,Classification!A:D,4,0)</f>
        <v>Cannabinoid</v>
      </c>
      <c r="BB189" s="27" t="b">
        <f t="shared" ref="BB189:BB194" si="1345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23">
        <f t="shared" ref="BC189:BC194" si="1346">_xlfn.AGGREGATE(9,6,CH189:CS189)-_xlfn.AGGREGATE(9,6,BV189:CG189)+12</f>
        <v>237</v>
      </c>
      <c r="BD189" s="2" t="s">
        <v>23</v>
      </c>
      <c r="BE189" s="3" t="s">
        <v>1291</v>
      </c>
      <c r="BF189" s="118">
        <v>2.95</v>
      </c>
      <c r="BG189" s="49" t="s">
        <v>1</v>
      </c>
      <c r="BH189" s="49" t="s">
        <v>1</v>
      </c>
      <c r="BJ189" s="70" t="s">
        <v>1287</v>
      </c>
      <c r="BK189" s="57" t="s">
        <v>1287</v>
      </c>
      <c r="BL189" s="57" t="s">
        <v>1287</v>
      </c>
      <c r="BM189" s="57" t="s">
        <v>1287</v>
      </c>
      <c r="BN189" s="57" t="s">
        <v>1287</v>
      </c>
      <c r="BO189" s="57" t="s">
        <v>1287</v>
      </c>
      <c r="BP189" s="57" t="s">
        <v>1287</v>
      </c>
      <c r="BQ189" s="57" t="s">
        <v>1287</v>
      </c>
      <c r="BR189" s="57" t="s">
        <v>1287</v>
      </c>
      <c r="BS189" s="57" t="s">
        <v>1287</v>
      </c>
      <c r="BT189" s="57" t="s">
        <v>1287</v>
      </c>
      <c r="BU189" s="57" t="s">
        <v>1287</v>
      </c>
      <c r="BV189" s="70">
        <f t="shared" ref="BV189:BV194" si="1347">E189</f>
        <v>112</v>
      </c>
      <c r="BW189" s="71" t="str">
        <f t="shared" ref="BW189:BW194" si="1348">I189</f>
        <v>-</v>
      </c>
      <c r="BX189" s="72">
        <f t="shared" ref="BX189:BX194" si="1349">M189</f>
        <v>153</v>
      </c>
      <c r="BY189" s="71" t="str">
        <f t="shared" ref="BY189:BY194" si="1350">Q189</f>
        <v>-</v>
      </c>
      <c r="BZ189" s="72">
        <f t="shared" ref="BZ189:BZ194" si="1351">U189</f>
        <v>185</v>
      </c>
      <c r="CA189" s="71">
        <f t="shared" ref="CA189:CA194" si="1352">Y189</f>
        <v>221</v>
      </c>
      <c r="CB189" s="72">
        <f t="shared" ref="CB189:CB194" si="1353">AC189</f>
        <v>229</v>
      </c>
      <c r="CC189" s="71" t="str">
        <f t="shared" ref="CC189:CC194" si="1354">AG189</f>
        <v>-</v>
      </c>
      <c r="CD189" s="72">
        <f t="shared" ref="CD189:CD194" si="1355">AK189</f>
        <v>272</v>
      </c>
      <c r="CE189" s="71">
        <f t="shared" ref="CE189:CE194" si="1356">AO189</f>
        <v>338</v>
      </c>
      <c r="CF189" s="72">
        <f t="shared" ref="CF189:CF194" si="1357">AS189</f>
        <v>372</v>
      </c>
      <c r="CG189" s="71">
        <f t="shared" ref="CG189:CG194" si="1358">AW189</f>
        <v>401</v>
      </c>
      <c r="CH189" s="70">
        <f t="shared" ref="CH189:CH194" si="1359">G189</f>
        <v>146</v>
      </c>
      <c r="CI189" s="71" t="str">
        <f t="shared" ref="CI189:CI194" si="1360">K189</f>
        <v>-</v>
      </c>
      <c r="CJ189" s="72">
        <f t="shared" ref="CJ189:CJ194" si="1361">O189</f>
        <v>180</v>
      </c>
      <c r="CK189" s="72" t="str">
        <f t="shared" ref="CK189:CK194" si="1362">S189</f>
        <v>-</v>
      </c>
      <c r="CL189" s="72">
        <f t="shared" ref="CL189:CL194" si="1363">W189</f>
        <v>220</v>
      </c>
      <c r="CM189" s="72">
        <f t="shared" ref="CM189:CM194" si="1364">AA189</f>
        <v>228</v>
      </c>
      <c r="CN189" s="72">
        <f t="shared" ref="CN189:CN194" si="1365">AE189</f>
        <v>254</v>
      </c>
      <c r="CO189" s="72" t="str">
        <f t="shared" ref="CO189:CO194" si="1366">AI189</f>
        <v>-</v>
      </c>
      <c r="CP189" s="72">
        <f t="shared" ref="CP189:CP194" si="1367">AM189</f>
        <v>303</v>
      </c>
      <c r="CQ189" s="72">
        <f t="shared" ref="CQ189:CQ194" si="1368">AQ189</f>
        <v>368</v>
      </c>
      <c r="CR189" s="72">
        <f t="shared" ref="CR189:CR194" si="1369">AU189</f>
        <v>397</v>
      </c>
      <c r="CS189" s="72">
        <f t="shared" ref="CS189:CS194" si="1370">AY189</f>
        <v>412</v>
      </c>
      <c r="CT189" s="23" t="e">
        <f t="shared" ref="CT189:CT194" si="1371">M189-K189</f>
        <v>#VALUE!</v>
      </c>
    </row>
    <row r="190" spans="1:1030" x14ac:dyDescent="0.2">
      <c r="A190" s="3" t="str">
        <f t="shared" si="1344"/>
        <v>cnr1_human_5XRA</v>
      </c>
      <c r="B190" s="3" t="s">
        <v>182</v>
      </c>
      <c r="C190" s="3" t="s">
        <v>1425</v>
      </c>
      <c r="D190" s="3" t="str">
        <f>IFERROR(MID(VLOOKUP($B190,Seqs!$A:$B,2,0),E190,1),"")</f>
        <v>N</v>
      </c>
      <c r="E190" s="3">
        <v>112</v>
      </c>
      <c r="F190" s="3" t="str">
        <f>IFERROR(MID(VLOOKUP($B190,Seqs!$A:$B,2,0),G190,1),"")</f>
        <v>S</v>
      </c>
      <c r="G190" s="3">
        <v>146</v>
      </c>
      <c r="H190" s="3" t="str">
        <f>IFERROR(MID(VLOOKUP($B190,Seqs!$A:$B,2,0),I190,1),"")</f>
        <v/>
      </c>
      <c r="I190" s="23" t="s">
        <v>23</v>
      </c>
      <c r="J190" s="3" t="str">
        <f>IFERROR(MID(VLOOKUP($B190,Seqs!$A:$B,2,0),K190,1),"")</f>
        <v/>
      </c>
      <c r="K190" s="23" t="s">
        <v>23</v>
      </c>
      <c r="L190" s="3" t="str">
        <f>IFERROR(MID(VLOOKUP($B190,Seqs!$A:$B,2,0),M190,1),"")</f>
        <v>Y</v>
      </c>
      <c r="M190" s="3">
        <v>153</v>
      </c>
      <c r="N190" s="3" t="str">
        <f>IFERROR(MID(VLOOKUP($B190,Seqs!$A:$B,2,0),O190,1),"")</f>
        <v>F</v>
      </c>
      <c r="O190" s="3">
        <v>180</v>
      </c>
      <c r="P190" s="3" t="str">
        <f>IFERROR(MID(VLOOKUP($B190,Seqs!$A:$B,2,0),Q190,1),"")</f>
        <v/>
      </c>
      <c r="Q190" s="3" t="s">
        <v>23</v>
      </c>
      <c r="R190" s="3" t="str">
        <f>IFERROR(MID(VLOOKUP($B190,Seqs!$A:$B,2,0),S190,1),"")</f>
        <v/>
      </c>
      <c r="S190" s="3" t="s">
        <v>23</v>
      </c>
      <c r="T190" s="3" t="str">
        <f>IFERROR(MID(VLOOKUP($B190,Seqs!$A:$B,2,0),U190,1),"")</f>
        <v>S</v>
      </c>
      <c r="U190" s="3">
        <v>185</v>
      </c>
      <c r="V190" s="3" t="str">
        <f>IFERROR(MID(VLOOKUP($B190,Seqs!$A:$B,2,0),W190,1),"")</f>
        <v>R</v>
      </c>
      <c r="W190" s="3">
        <v>220</v>
      </c>
      <c r="X190" s="3" t="str">
        <f>IFERROR(MID(VLOOKUP($B190,Seqs!$A:$B,2,0),Y190,1),"")</f>
        <v>P</v>
      </c>
      <c r="Y190" s="3">
        <v>221</v>
      </c>
      <c r="Z190" s="3" t="str">
        <f>IFERROR(MID(VLOOKUP($B190,Seqs!$A:$B,2,0),AA190,1),"")</f>
        <v>V</v>
      </c>
      <c r="AA190" s="3">
        <v>228</v>
      </c>
      <c r="AB190" s="3" t="str">
        <f>IFERROR(MID(VLOOKUP($B190,Seqs!$A:$B,2,0),AC190,1),"")</f>
        <v>T</v>
      </c>
      <c r="AC190" s="3">
        <v>229</v>
      </c>
      <c r="AD190" s="3" t="str">
        <f>IFERROR(MID(VLOOKUP($B190,Seqs!$A:$B,2,0),AE190,1),"")</f>
        <v>G</v>
      </c>
      <c r="AE190" s="3">
        <v>254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D</v>
      </c>
      <c r="AK190" s="3">
        <v>272</v>
      </c>
      <c r="AL190" s="3" t="str">
        <f>IFERROR(MID(VLOOKUP($B190,Seqs!$A:$B,2,0),AM190,1),"")</f>
        <v>A</v>
      </c>
      <c r="AM190" s="3">
        <v>305</v>
      </c>
      <c r="AN190" s="3" t="str">
        <f>IFERROR(MID(VLOOKUP($B190,Seqs!$A:$B,2,0),AO190,1),"")</f>
        <v>D</v>
      </c>
      <c r="AO190" s="3">
        <v>338</v>
      </c>
      <c r="AP190" s="3" t="str">
        <f>IFERROR(MID(VLOOKUP($B190,Seqs!$A:$B,2,0),AQ190,1),"")</f>
        <v>G</v>
      </c>
      <c r="AQ190" s="3">
        <v>369</v>
      </c>
      <c r="AR190" s="3" t="str">
        <f>IFERROR(MID(VLOOKUP($B190,Seqs!$A:$B,2,0),AS190,1),"")</f>
        <v>N</v>
      </c>
      <c r="AS190" s="3">
        <v>372</v>
      </c>
      <c r="AT190" s="3" t="str">
        <f>IFERROR(MID(VLOOKUP($B190,Seqs!$A:$B,2,0),AU190,1),"")</f>
        <v>Y</v>
      </c>
      <c r="AU190" s="3">
        <v>397</v>
      </c>
      <c r="AV190" s="3" t="str">
        <f>IFERROR(MID(VLOOKUP($B190,Seqs!$A:$B,2,0),AW190,1),"")</f>
        <v>S</v>
      </c>
      <c r="AW190" s="3">
        <v>401</v>
      </c>
      <c r="AX190" s="3" t="str">
        <f>IFERROR(MID(VLOOKUP($B190,Seqs!$A:$B,2,0),AY190,1),"")</f>
        <v>F</v>
      </c>
      <c r="AY190" s="3">
        <v>412</v>
      </c>
      <c r="AZ190" s="77" t="str">
        <f>VLOOKUP(B190,Classification!A:D,2,0)</f>
        <v>A</v>
      </c>
      <c r="BA190" s="94" t="str">
        <f>VLOOKUP(B190,Classification!A:D,4,0)</f>
        <v>Cannabinoid</v>
      </c>
      <c r="BB190" s="27" t="b">
        <f t="shared" si="1345"/>
        <v>1</v>
      </c>
      <c r="BC190" s="23">
        <f t="shared" si="1346"/>
        <v>240</v>
      </c>
      <c r="BD190" s="2" t="s">
        <v>23</v>
      </c>
      <c r="BE190" s="3" t="s">
        <v>1291</v>
      </c>
      <c r="BF190" s="118">
        <v>2.8</v>
      </c>
      <c r="BG190" s="49" t="s">
        <v>1</v>
      </c>
      <c r="BH190" s="49" t="s">
        <v>1</v>
      </c>
      <c r="BJ190" s="70" t="s">
        <v>1287</v>
      </c>
      <c r="BK190" s="57" t="s">
        <v>1287</v>
      </c>
      <c r="BL190" s="57" t="s">
        <v>1287</v>
      </c>
      <c r="BM190" s="57" t="s">
        <v>1287</v>
      </c>
      <c r="BN190" s="57" t="s">
        <v>1287</v>
      </c>
      <c r="BO190" s="57" t="s">
        <v>1287</v>
      </c>
      <c r="BP190" s="57" t="s">
        <v>1287</v>
      </c>
      <c r="BQ190" s="57" t="s">
        <v>1287</v>
      </c>
      <c r="BR190" s="57" t="s">
        <v>1287</v>
      </c>
      <c r="BS190" s="57" t="s">
        <v>1287</v>
      </c>
      <c r="BT190" s="57" t="s">
        <v>1287</v>
      </c>
      <c r="BU190" s="57" t="s">
        <v>1287</v>
      </c>
      <c r="BV190" s="70">
        <f t="shared" si="1347"/>
        <v>112</v>
      </c>
      <c r="BW190" s="71" t="str">
        <f t="shared" si="1348"/>
        <v>-</v>
      </c>
      <c r="BX190" s="72">
        <f t="shared" si="1349"/>
        <v>153</v>
      </c>
      <c r="BY190" s="71" t="str">
        <f t="shared" si="1350"/>
        <v>-</v>
      </c>
      <c r="BZ190" s="72">
        <f t="shared" si="1351"/>
        <v>185</v>
      </c>
      <c r="CA190" s="71">
        <f t="shared" si="1352"/>
        <v>221</v>
      </c>
      <c r="CB190" s="72">
        <f t="shared" si="1353"/>
        <v>229</v>
      </c>
      <c r="CC190" s="71" t="str">
        <f t="shared" si="1354"/>
        <v>-</v>
      </c>
      <c r="CD190" s="72">
        <f t="shared" si="1355"/>
        <v>272</v>
      </c>
      <c r="CE190" s="71">
        <f t="shared" si="1356"/>
        <v>338</v>
      </c>
      <c r="CF190" s="72">
        <f t="shared" si="1357"/>
        <v>372</v>
      </c>
      <c r="CG190" s="71">
        <f t="shared" si="1358"/>
        <v>401</v>
      </c>
      <c r="CH190" s="70">
        <f t="shared" si="1359"/>
        <v>146</v>
      </c>
      <c r="CI190" s="71" t="str">
        <f t="shared" si="1360"/>
        <v>-</v>
      </c>
      <c r="CJ190" s="72">
        <f t="shared" si="1361"/>
        <v>180</v>
      </c>
      <c r="CK190" s="72" t="str">
        <f t="shared" si="1362"/>
        <v>-</v>
      </c>
      <c r="CL190" s="72">
        <f t="shared" si="1363"/>
        <v>220</v>
      </c>
      <c r="CM190" s="72">
        <f t="shared" si="1364"/>
        <v>228</v>
      </c>
      <c r="CN190" s="72">
        <f t="shared" si="1365"/>
        <v>254</v>
      </c>
      <c r="CO190" s="72" t="str">
        <f t="shared" si="1366"/>
        <v>-</v>
      </c>
      <c r="CP190" s="72">
        <f t="shared" si="1367"/>
        <v>305</v>
      </c>
      <c r="CQ190" s="72">
        <f t="shared" si="1368"/>
        <v>369</v>
      </c>
      <c r="CR190" s="72">
        <f t="shared" si="1369"/>
        <v>397</v>
      </c>
      <c r="CS190" s="72">
        <f t="shared" si="1370"/>
        <v>412</v>
      </c>
      <c r="CT190" s="23" t="e">
        <f t="shared" si="1371"/>
        <v>#VALUE!</v>
      </c>
    </row>
    <row r="191" spans="1:1030" x14ac:dyDescent="0.2">
      <c r="A191" s="3" t="str">
        <f t="shared" si="1344"/>
        <v>cnr1_human_6N4B</v>
      </c>
      <c r="B191" s="3" t="s">
        <v>182</v>
      </c>
      <c r="C191" s="3" t="s">
        <v>1556</v>
      </c>
      <c r="D191" s="3" t="str">
        <f>IFERROR(MID(VLOOKUP($B191,Seqs!$A:$B,2,0),E191,1),"")</f>
        <v>N</v>
      </c>
      <c r="E191" s="3">
        <v>112</v>
      </c>
      <c r="F191" s="3" t="str">
        <f>IFERROR(MID(VLOOKUP($B191,Seqs!$A:$B,2,0),G191,1),"")</f>
        <v>H</v>
      </c>
      <c r="G191" s="3">
        <v>143</v>
      </c>
      <c r="H191" s="3" t="str">
        <f>IFERROR(MID(VLOOKUP($B191,Seqs!$A:$B,2,0),I191,1),"")</f>
        <v>R</v>
      </c>
      <c r="I191" s="23">
        <v>145</v>
      </c>
      <c r="J191" s="3" t="str">
        <f>IFERROR(MID(VLOOKUP($B191,Seqs!$A:$B,2,0),K191,1),"")</f>
        <v>R</v>
      </c>
      <c r="K191" s="23">
        <v>148</v>
      </c>
      <c r="L191" s="3" t="str">
        <f>IFERROR(MID(VLOOKUP($B191,Seqs!$A:$B,2,0),M191,1),"")</f>
        <v>Y</v>
      </c>
      <c r="M191" s="3">
        <v>153</v>
      </c>
      <c r="N191" s="3" t="str">
        <f>IFERROR(MID(VLOOKUP($B191,Seqs!$A:$B,2,0),O191,1),"")</f>
        <v>H</v>
      </c>
      <c r="O191" s="3">
        <v>178</v>
      </c>
      <c r="P191" s="3" t="str">
        <f>IFERROR(MID(VLOOKUP($B191,Seqs!$A:$B,2,0),Q191,1),"")</f>
        <v/>
      </c>
      <c r="Q191" s="3" t="s">
        <v>23</v>
      </c>
      <c r="R191" s="3" t="str">
        <f>IFERROR(MID(VLOOKUP($B191,Seqs!$A:$B,2,0),S191,1),"")</f>
        <v/>
      </c>
      <c r="S191" s="3" t="s">
        <v>23</v>
      </c>
      <c r="T191" s="3" t="str">
        <f>IFERROR(MID(VLOOKUP($B191,Seqs!$A:$B,2,0),U191,1),"")</f>
        <v>S</v>
      </c>
      <c r="U191" s="3">
        <v>185</v>
      </c>
      <c r="V191" s="3" t="str">
        <f>IFERROR(MID(VLOOKUP($B191,Seqs!$A:$B,2,0),W191,1),"")</f>
        <v>R</v>
      </c>
      <c r="W191" s="3">
        <v>220</v>
      </c>
      <c r="X191" s="3" t="str">
        <f>IFERROR(MID(VLOOKUP($B191,Seqs!$A:$B,2,0),Y191,1),"")</f>
        <v>P</v>
      </c>
      <c r="Y191" s="3">
        <v>221</v>
      </c>
      <c r="Z191" s="3" t="str">
        <f>IFERROR(MID(VLOOKUP($B191,Seqs!$A:$B,2,0),AA191,1),"")</f>
        <v>V</v>
      </c>
      <c r="AA191" s="3">
        <v>228</v>
      </c>
      <c r="AB191" s="3" t="str">
        <f>IFERROR(MID(VLOOKUP($B191,Seqs!$A:$B,2,0),AC191,1),"")</f>
        <v>T</v>
      </c>
      <c r="AC191" s="3">
        <v>229</v>
      </c>
      <c r="AD191" s="3" t="str">
        <f>IFERROR(MID(VLOOKUP($B191,Seqs!$A:$B,2,0),AE191,1),"")</f>
        <v>G</v>
      </c>
      <c r="AE191" s="3">
        <v>254</v>
      </c>
      <c r="AF191" s="3" t="str">
        <f>IFERROR(MID(VLOOKUP($B191,Seqs!$A:$B,2,0),AG191,1),"")</f>
        <v/>
      </c>
      <c r="AG191" s="3" t="s">
        <v>23</v>
      </c>
      <c r="AH191" s="3" t="str">
        <f>IFERROR(MID(VLOOKUP($B191,Seqs!$A:$B,2,0),AI191,1),"")</f>
        <v/>
      </c>
      <c r="AI191" s="3" t="s">
        <v>23</v>
      </c>
      <c r="AJ191" s="3" t="str">
        <f>IFERROR(MID(VLOOKUP($B191,Seqs!$A:$B,2,0),AK191,1),"")</f>
        <v>D</v>
      </c>
      <c r="AK191" s="3">
        <v>272</v>
      </c>
      <c r="AL191" s="3" t="str">
        <f>IFERROR(MID(VLOOKUP($B191,Seqs!$A:$B,2,0),AM191,1),"")</f>
        <v>R</v>
      </c>
      <c r="AM191" s="3">
        <v>311</v>
      </c>
      <c r="AN191" s="3" t="str">
        <f>IFERROR(MID(VLOOKUP($B191,Seqs!$A:$B,2,0),AO191,1),"")</f>
        <v>A</v>
      </c>
      <c r="AO191" s="3">
        <v>335</v>
      </c>
      <c r="AP191" s="3" t="str">
        <f>IFERROR(MID(VLOOKUP($B191,Seqs!$A:$B,2,0),AQ191,1),"")</f>
        <v>M</v>
      </c>
      <c r="AQ191" s="3">
        <v>363</v>
      </c>
      <c r="AR191" s="3" t="str">
        <f>IFERROR(MID(VLOOKUP($B191,Seqs!$A:$B,2,0),AS191,1),"")</f>
        <v>L</v>
      </c>
      <c r="AS191" s="3">
        <v>374</v>
      </c>
      <c r="AT191" s="3" t="str">
        <f>IFERROR(MID(VLOOKUP($B191,Seqs!$A:$B,2,0),AU191,1),"")</f>
        <v>R</v>
      </c>
      <c r="AU191" s="3">
        <v>400</v>
      </c>
      <c r="AV191" s="3" t="str">
        <f>IFERROR(MID(VLOOKUP($B191,Seqs!$A:$B,2,0),AW191,1),"")</f>
        <v>S</v>
      </c>
      <c r="AW191" s="3">
        <v>401</v>
      </c>
      <c r="AX191" s="3" t="str">
        <f>IFERROR(MID(VLOOKUP($B191,Seqs!$A:$B,2,0),AY191,1),"")</f>
        <v>M</v>
      </c>
      <c r="AY191" s="3">
        <v>411</v>
      </c>
      <c r="AZ191" s="77" t="str">
        <f>VLOOKUP(B191,Classification!A:D,2,0)</f>
        <v>A</v>
      </c>
      <c r="BA191" s="94" t="str">
        <f>VLOOKUP(B191,Classification!A:D,4,0)</f>
        <v>Cannabinoid</v>
      </c>
      <c r="BB191" s="27" t="b">
        <f t="shared" si="1345"/>
        <v>1</v>
      </c>
      <c r="BC191" s="23">
        <f t="shared" si="1346"/>
        <v>241</v>
      </c>
      <c r="BD191" s="2" t="s">
        <v>1375</v>
      </c>
      <c r="BE191" s="3" t="s">
        <v>1291</v>
      </c>
      <c r="BF191" s="118">
        <v>3</v>
      </c>
      <c r="BG191" s="49" t="s">
        <v>1422</v>
      </c>
      <c r="BH191" s="49" t="s">
        <v>1422</v>
      </c>
      <c r="BJ191" s="70" t="s">
        <v>1287</v>
      </c>
      <c r="BK191" s="57" t="s">
        <v>1287</v>
      </c>
      <c r="BL191" s="57" t="s">
        <v>1287</v>
      </c>
      <c r="BM191" s="57" t="s">
        <v>1287</v>
      </c>
      <c r="BN191" s="57" t="s">
        <v>1287</v>
      </c>
      <c r="BO191" s="57" t="s">
        <v>1287</v>
      </c>
      <c r="BP191" s="57" t="s">
        <v>1287</v>
      </c>
      <c r="BQ191" s="57" t="s">
        <v>1287</v>
      </c>
      <c r="BR191" s="57" t="s">
        <v>1287</v>
      </c>
      <c r="BS191" s="57" t="s">
        <v>1287</v>
      </c>
      <c r="BT191" s="57" t="s">
        <v>1287</v>
      </c>
      <c r="BU191" s="57" t="s">
        <v>1287</v>
      </c>
      <c r="BV191" s="70">
        <f t="shared" si="1347"/>
        <v>112</v>
      </c>
      <c r="BW191" s="71">
        <f t="shared" si="1348"/>
        <v>145</v>
      </c>
      <c r="BX191" s="72">
        <f t="shared" si="1349"/>
        <v>153</v>
      </c>
      <c r="BY191" s="71" t="str">
        <f t="shared" si="1350"/>
        <v>-</v>
      </c>
      <c r="BZ191" s="72">
        <f t="shared" si="1351"/>
        <v>185</v>
      </c>
      <c r="CA191" s="71">
        <f t="shared" si="1352"/>
        <v>221</v>
      </c>
      <c r="CB191" s="72">
        <f t="shared" si="1353"/>
        <v>229</v>
      </c>
      <c r="CC191" s="71" t="str">
        <f t="shared" si="1354"/>
        <v>-</v>
      </c>
      <c r="CD191" s="72">
        <f t="shared" si="1355"/>
        <v>272</v>
      </c>
      <c r="CE191" s="71">
        <f t="shared" si="1356"/>
        <v>335</v>
      </c>
      <c r="CF191" s="72">
        <f t="shared" si="1357"/>
        <v>374</v>
      </c>
      <c r="CG191" s="71">
        <f t="shared" si="1358"/>
        <v>401</v>
      </c>
      <c r="CH191" s="70">
        <f t="shared" si="1359"/>
        <v>143</v>
      </c>
      <c r="CI191" s="71">
        <f t="shared" si="1360"/>
        <v>148</v>
      </c>
      <c r="CJ191" s="72">
        <f t="shared" si="1361"/>
        <v>178</v>
      </c>
      <c r="CK191" s="72" t="str">
        <f t="shared" si="1362"/>
        <v>-</v>
      </c>
      <c r="CL191" s="72">
        <f t="shared" si="1363"/>
        <v>220</v>
      </c>
      <c r="CM191" s="72">
        <f t="shared" si="1364"/>
        <v>228</v>
      </c>
      <c r="CN191" s="72">
        <f t="shared" si="1365"/>
        <v>254</v>
      </c>
      <c r="CO191" s="72" t="str">
        <f t="shared" si="1366"/>
        <v>-</v>
      </c>
      <c r="CP191" s="72">
        <f t="shared" si="1367"/>
        <v>311</v>
      </c>
      <c r="CQ191" s="72">
        <f t="shared" si="1368"/>
        <v>363</v>
      </c>
      <c r="CR191" s="72">
        <f t="shared" si="1369"/>
        <v>400</v>
      </c>
      <c r="CS191" s="72">
        <f t="shared" si="1370"/>
        <v>411</v>
      </c>
      <c r="CT191" s="23">
        <f t="shared" si="1371"/>
        <v>5</v>
      </c>
    </row>
    <row r="192" spans="1:1030" s="12" customFormat="1" x14ac:dyDescent="0.2">
      <c r="A192" s="9" t="str">
        <f t="shared" si="1344"/>
        <v>cnr1_human_6KQI</v>
      </c>
      <c r="B192" s="9" t="s">
        <v>182</v>
      </c>
      <c r="C192" s="9" t="s">
        <v>1593</v>
      </c>
      <c r="D192" s="9" t="str">
        <f>IFERROR(MID(VLOOKUP($B192,Seqs!$A:$B,2,0),E192,1),"")</f>
        <v>N</v>
      </c>
      <c r="E192" s="9">
        <v>112</v>
      </c>
      <c r="F192" s="9" t="str">
        <f>IFERROR(MID(VLOOKUP($B192,Seqs!$A:$B,2,0),G192,1),"")</f>
        <v>S</v>
      </c>
      <c r="G192" s="9">
        <v>144</v>
      </c>
      <c r="H192" s="9" t="str">
        <f>IFERROR(MID(VLOOKUP($B192,Seqs!$A:$B,2,0),I192,1),"")</f>
        <v>R</v>
      </c>
      <c r="I192" s="109">
        <v>145</v>
      </c>
      <c r="J192" s="9" t="str">
        <f>IFERROR(MID(VLOOKUP($B192,Seqs!$A:$B,2,0),K192,1),"")</f>
        <v>R</v>
      </c>
      <c r="K192" s="109">
        <v>148</v>
      </c>
      <c r="L192" s="9" t="str">
        <f>IFERROR(MID(VLOOKUP($B192,Seqs!$A:$B,2,0),M192,1),"")</f>
        <v>Y</v>
      </c>
      <c r="M192" s="9">
        <v>153</v>
      </c>
      <c r="N192" s="9" t="str">
        <f>IFERROR(MID(VLOOKUP($B192,Seqs!$A:$B,2,0),O192,1),"")</f>
        <v>V</v>
      </c>
      <c r="O192" s="9">
        <v>179</v>
      </c>
      <c r="P192" s="9" t="str">
        <f>IFERROR(MID(VLOOKUP($B192,Seqs!$A:$B,2,0),Q192,1),"")</f>
        <v/>
      </c>
      <c r="Q192" s="9" t="s">
        <v>23</v>
      </c>
      <c r="R192" s="9" t="str">
        <f>IFERROR(MID(VLOOKUP($B192,Seqs!$A:$B,2,0),S192,1),"")</f>
        <v/>
      </c>
      <c r="S192" s="9" t="s">
        <v>23</v>
      </c>
      <c r="T192" s="9" t="str">
        <f>IFERROR(MID(VLOOKUP($B192,Seqs!$A:$B,2,0),U192,1),"")</f>
        <v>S</v>
      </c>
      <c r="U192" s="9">
        <v>185</v>
      </c>
      <c r="V192" s="9" t="str">
        <f>IFERROR(MID(VLOOKUP($B192,Seqs!$A:$B,2,0),W192,1),"")</f>
        <v>R</v>
      </c>
      <c r="W192" s="9">
        <v>220</v>
      </c>
      <c r="X192" s="9" t="str">
        <f>IFERROR(MID(VLOOKUP($B192,Seqs!$A:$B,2,0),Y192,1),"")</f>
        <v>P</v>
      </c>
      <c r="Y192" s="9">
        <v>221</v>
      </c>
      <c r="Z192" s="9" t="str">
        <f>IFERROR(MID(VLOOKUP($B192,Seqs!$A:$B,2,0),AA192,1),"")</f>
        <v>V</v>
      </c>
      <c r="AA192" s="9">
        <v>228</v>
      </c>
      <c r="AB192" s="9"/>
      <c r="AC192" s="9">
        <v>229</v>
      </c>
      <c r="AD192" s="9" t="str">
        <f>IFERROR(MID(VLOOKUP($B192,Seqs!$A:$B,2,0),AE192,1),"")</f>
        <v>L</v>
      </c>
      <c r="AE192" s="9">
        <v>253</v>
      </c>
      <c r="AF192" s="9" t="str">
        <f>IFERROR(MID(VLOOKUP($B192,Seqs!$A:$B,2,0),AG192,1),"")</f>
        <v/>
      </c>
      <c r="AG192" s="9" t="s">
        <v>23</v>
      </c>
      <c r="AH192" s="9" t="str">
        <f>IFERROR(MID(VLOOKUP($B192,Seqs!$A:$B,2,0),AI192,1),"")</f>
        <v/>
      </c>
      <c r="AI192" s="9" t="s">
        <v>23</v>
      </c>
      <c r="AJ192" s="9" t="str">
        <f>IFERROR(MID(VLOOKUP($B192,Seqs!$A:$B,2,0),AK192,1),"")</f>
        <v>D</v>
      </c>
      <c r="AK192" s="9">
        <v>272</v>
      </c>
      <c r="AL192" s="9" t="str">
        <f>IFERROR(MID(VLOOKUP($B192,Seqs!$A:$B,2,0),AM192,1),"")</f>
        <v>A</v>
      </c>
      <c r="AM192" s="9">
        <v>301</v>
      </c>
      <c r="AN192" s="9" t="str">
        <f>IFERROR(MID(VLOOKUP($B192,Seqs!$A:$B,2,0),AO192,1),"")</f>
        <v>D</v>
      </c>
      <c r="AO192" s="9">
        <v>333</v>
      </c>
      <c r="AP192" s="9" t="str">
        <f>IFERROR(MID(VLOOKUP($B192,Seqs!$A:$B,2,0),AQ192,1),"")</f>
        <v>F</v>
      </c>
      <c r="AQ192" s="9">
        <v>368</v>
      </c>
      <c r="AR192" s="9" t="str">
        <f>IFERROR(MID(VLOOKUP($B192,Seqs!$A:$B,2,0),AS192,1),"")</f>
        <v>N</v>
      </c>
      <c r="AS192" s="9">
        <v>372</v>
      </c>
      <c r="AT192" s="9" t="str">
        <f>IFERROR(MID(VLOOKUP($B192,Seqs!$A:$B,2,0),AU192,1),"")</f>
        <v>R</v>
      </c>
      <c r="AU192" s="9">
        <v>400</v>
      </c>
      <c r="AV192" s="9" t="str">
        <f>IFERROR(MID(VLOOKUP($B192,Seqs!$A:$B,2,0),AW192,1),"")</f>
        <v>S</v>
      </c>
      <c r="AW192" s="9">
        <v>401</v>
      </c>
      <c r="AX192" s="9" t="str">
        <f>IFERROR(MID(VLOOKUP($B192,Seqs!$A:$B,2,0),AY192,1),"")</f>
        <v>F</v>
      </c>
      <c r="AY192" s="9">
        <v>412</v>
      </c>
      <c r="AZ192" s="110" t="str">
        <f>VLOOKUP(B192,Classification!A:D,2,0)</f>
        <v>A</v>
      </c>
      <c r="BA192" s="98" t="str">
        <f>VLOOKUP(B192,Classification!A:D,4,0)</f>
        <v>Cannabinoid</v>
      </c>
      <c r="BB192" s="36" t="b">
        <f t="shared" si="1345"/>
        <v>1</v>
      </c>
      <c r="BC192" s="109">
        <f t="shared" si="1346"/>
        <v>242</v>
      </c>
      <c r="BD192" s="40" t="s">
        <v>23</v>
      </c>
      <c r="BE192" s="9" t="s">
        <v>1374</v>
      </c>
      <c r="BF192" s="119">
        <v>3.25</v>
      </c>
      <c r="BG192" s="51" t="s">
        <v>1</v>
      </c>
      <c r="BH192" s="51" t="s">
        <v>1</v>
      </c>
      <c r="BI192" s="9"/>
      <c r="BJ192" s="111" t="s">
        <v>1287</v>
      </c>
      <c r="BK192" s="112" t="s">
        <v>1287</v>
      </c>
      <c r="BL192" s="112" t="s">
        <v>1287</v>
      </c>
      <c r="BM192" s="112" t="s">
        <v>1287</v>
      </c>
      <c r="BN192" s="112" t="s">
        <v>1287</v>
      </c>
      <c r="BO192" s="112" t="s">
        <v>1287</v>
      </c>
      <c r="BP192" s="112" t="s">
        <v>1287</v>
      </c>
      <c r="BQ192" s="112" t="s">
        <v>1287</v>
      </c>
      <c r="BR192" s="112" t="s">
        <v>1287</v>
      </c>
      <c r="BS192" s="112" t="s">
        <v>1287</v>
      </c>
      <c r="BT192" s="112" t="s">
        <v>1287</v>
      </c>
      <c r="BU192" s="112" t="s">
        <v>1287</v>
      </c>
      <c r="BV192" s="111">
        <f t="shared" si="1347"/>
        <v>112</v>
      </c>
      <c r="BW192" s="113">
        <f t="shared" si="1348"/>
        <v>145</v>
      </c>
      <c r="BX192" s="114">
        <f t="shared" si="1349"/>
        <v>153</v>
      </c>
      <c r="BY192" s="113" t="str">
        <f t="shared" si="1350"/>
        <v>-</v>
      </c>
      <c r="BZ192" s="114">
        <f t="shared" si="1351"/>
        <v>185</v>
      </c>
      <c r="CA192" s="113">
        <f t="shared" si="1352"/>
        <v>221</v>
      </c>
      <c r="CB192" s="114">
        <f t="shared" si="1353"/>
        <v>229</v>
      </c>
      <c r="CC192" s="113" t="str">
        <f t="shared" si="1354"/>
        <v>-</v>
      </c>
      <c r="CD192" s="114">
        <f t="shared" si="1355"/>
        <v>272</v>
      </c>
      <c r="CE192" s="113">
        <f t="shared" si="1356"/>
        <v>333</v>
      </c>
      <c r="CF192" s="114">
        <f t="shared" si="1357"/>
        <v>372</v>
      </c>
      <c r="CG192" s="113">
        <f t="shared" si="1358"/>
        <v>401</v>
      </c>
      <c r="CH192" s="111">
        <f t="shared" si="1359"/>
        <v>144</v>
      </c>
      <c r="CI192" s="113">
        <f t="shared" si="1360"/>
        <v>148</v>
      </c>
      <c r="CJ192" s="114">
        <f t="shared" si="1361"/>
        <v>179</v>
      </c>
      <c r="CK192" s="114" t="str">
        <f t="shared" si="1362"/>
        <v>-</v>
      </c>
      <c r="CL192" s="114">
        <f t="shared" si="1363"/>
        <v>220</v>
      </c>
      <c r="CM192" s="114">
        <f t="shared" si="1364"/>
        <v>228</v>
      </c>
      <c r="CN192" s="114">
        <f t="shared" si="1365"/>
        <v>253</v>
      </c>
      <c r="CO192" s="114" t="str">
        <f t="shared" si="1366"/>
        <v>-</v>
      </c>
      <c r="CP192" s="114">
        <f t="shared" si="1367"/>
        <v>301</v>
      </c>
      <c r="CQ192" s="114">
        <f t="shared" si="1368"/>
        <v>368</v>
      </c>
      <c r="CR192" s="114">
        <f t="shared" si="1369"/>
        <v>400</v>
      </c>
      <c r="CS192" s="114">
        <f t="shared" si="1370"/>
        <v>412</v>
      </c>
      <c r="CT192" s="109">
        <f t="shared" si="1371"/>
        <v>5</v>
      </c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  <c r="ZW192" s="9"/>
      <c r="ZX192" s="9"/>
      <c r="ZY192" s="9"/>
      <c r="ZZ192" s="9"/>
      <c r="AAA192" s="9"/>
      <c r="AAB192" s="9"/>
      <c r="AAC192" s="9"/>
      <c r="AAD192" s="9"/>
      <c r="AAE192" s="9"/>
      <c r="AAF192" s="9"/>
      <c r="AAG192" s="9"/>
      <c r="AAH192" s="9"/>
      <c r="AAI192" s="9"/>
      <c r="AAJ192" s="9"/>
      <c r="AAK192" s="9"/>
      <c r="AAL192" s="9"/>
      <c r="AAM192" s="9"/>
      <c r="AAN192" s="9"/>
      <c r="AAO192" s="9"/>
      <c r="AAP192" s="9"/>
      <c r="AAQ192" s="9"/>
      <c r="AAR192" s="9"/>
      <c r="AAS192" s="9"/>
      <c r="AAT192" s="9"/>
      <c r="AAU192" s="9"/>
      <c r="AAV192" s="9"/>
      <c r="AAW192" s="9"/>
      <c r="AAX192" s="9"/>
      <c r="AAY192" s="9"/>
      <c r="AAZ192" s="9"/>
      <c r="ABA192" s="9"/>
      <c r="ABB192" s="9"/>
      <c r="ABC192" s="9"/>
      <c r="ABD192" s="9"/>
      <c r="ABE192" s="9"/>
      <c r="ABF192" s="9"/>
      <c r="ABG192" s="9"/>
      <c r="ABH192" s="9"/>
      <c r="ABI192" s="9"/>
      <c r="ABJ192" s="9"/>
      <c r="ABK192" s="9"/>
      <c r="ABL192" s="9"/>
      <c r="ABM192" s="9"/>
      <c r="ABN192" s="9"/>
      <c r="ABO192" s="9"/>
      <c r="ABP192" s="9"/>
      <c r="ABQ192" s="9"/>
      <c r="ABR192" s="9"/>
      <c r="ABS192" s="9"/>
      <c r="ABT192" s="9"/>
      <c r="ABU192" s="9"/>
      <c r="ABV192" s="9"/>
      <c r="ABW192" s="9"/>
      <c r="ABX192" s="9"/>
      <c r="ABY192" s="9"/>
      <c r="ABZ192" s="9"/>
      <c r="ACA192" s="9"/>
      <c r="ACB192" s="9"/>
      <c r="ACC192" s="9"/>
      <c r="ACD192" s="9"/>
      <c r="ACE192" s="9"/>
      <c r="ACF192" s="9"/>
      <c r="ACG192" s="9"/>
      <c r="ACH192" s="9"/>
      <c r="ACI192" s="9"/>
      <c r="ACJ192" s="9"/>
      <c r="ACK192" s="9"/>
      <c r="ACL192" s="9"/>
      <c r="ACM192" s="9"/>
      <c r="ACN192" s="9"/>
      <c r="ACO192" s="9"/>
      <c r="ACP192" s="9"/>
      <c r="ACQ192" s="9"/>
      <c r="ACR192" s="9"/>
      <c r="ACS192" s="9"/>
      <c r="ACT192" s="9"/>
      <c r="ACU192" s="9"/>
      <c r="ACV192" s="9"/>
      <c r="ACW192" s="9"/>
      <c r="ACX192" s="9"/>
      <c r="ACY192" s="9"/>
      <c r="ACZ192" s="9"/>
      <c r="ADA192" s="9"/>
      <c r="ADB192" s="9"/>
      <c r="ADC192" s="9"/>
      <c r="ADD192" s="9"/>
      <c r="ADE192" s="9"/>
      <c r="ADF192" s="9"/>
      <c r="ADG192" s="9"/>
      <c r="ADH192" s="9"/>
      <c r="ADI192" s="9"/>
      <c r="ADJ192" s="9"/>
      <c r="ADK192" s="9"/>
      <c r="ADL192" s="9"/>
      <c r="ADM192" s="9"/>
      <c r="ADN192" s="9"/>
      <c r="ADO192" s="9"/>
      <c r="ADP192" s="9"/>
      <c r="ADQ192" s="9"/>
      <c r="ADR192" s="9"/>
      <c r="ADS192" s="9"/>
      <c r="ADT192" s="9"/>
      <c r="ADU192" s="9"/>
      <c r="ADV192" s="9"/>
      <c r="ADW192" s="9"/>
      <c r="ADX192" s="9"/>
      <c r="ADY192" s="9"/>
      <c r="ADZ192" s="9"/>
      <c r="AEA192" s="9"/>
      <c r="AEB192" s="9"/>
      <c r="AEC192" s="9"/>
      <c r="AED192" s="9"/>
      <c r="AEE192" s="9"/>
      <c r="AEF192" s="9"/>
      <c r="AEG192" s="9"/>
      <c r="AEH192" s="9"/>
      <c r="AEI192" s="9"/>
      <c r="AEJ192" s="9"/>
      <c r="AEK192" s="9"/>
      <c r="AEL192" s="9"/>
      <c r="AEM192" s="9"/>
      <c r="AEN192" s="9"/>
      <c r="AEO192" s="9"/>
      <c r="AEP192" s="9"/>
      <c r="AEQ192" s="9"/>
      <c r="AER192" s="9"/>
      <c r="AES192" s="9"/>
      <c r="AET192" s="9"/>
      <c r="AEU192" s="9"/>
      <c r="AEV192" s="9"/>
      <c r="AEW192" s="9"/>
      <c r="AEX192" s="9"/>
      <c r="AEY192" s="9"/>
      <c r="AEZ192" s="9"/>
      <c r="AFA192" s="9"/>
      <c r="AFB192" s="9"/>
      <c r="AFC192" s="9"/>
      <c r="AFD192" s="9"/>
      <c r="AFE192" s="9"/>
      <c r="AFF192" s="9"/>
      <c r="AFG192" s="9"/>
      <c r="AFH192" s="9"/>
      <c r="AFI192" s="9"/>
      <c r="AFJ192" s="9"/>
      <c r="AFK192" s="9"/>
      <c r="AFL192" s="9"/>
      <c r="AFM192" s="9"/>
      <c r="AFN192" s="9"/>
      <c r="AFO192" s="9"/>
      <c r="AFP192" s="9"/>
      <c r="AFQ192" s="9"/>
      <c r="AFR192" s="9"/>
      <c r="AFS192" s="9"/>
      <c r="AFT192" s="9"/>
      <c r="AFU192" s="9"/>
      <c r="AFV192" s="9"/>
      <c r="AFW192" s="9"/>
      <c r="AFX192" s="9"/>
      <c r="AFY192" s="9"/>
      <c r="AFZ192" s="9"/>
      <c r="AGA192" s="9"/>
      <c r="AGB192" s="9"/>
      <c r="AGC192" s="9"/>
      <c r="AGD192" s="9"/>
      <c r="AGE192" s="9"/>
      <c r="AGF192" s="9"/>
      <c r="AGG192" s="9"/>
      <c r="AGH192" s="9"/>
      <c r="AGI192" s="9"/>
      <c r="AGJ192" s="9"/>
      <c r="AGK192" s="9"/>
      <c r="AGL192" s="9"/>
      <c r="AGM192" s="9"/>
      <c r="AGN192" s="9"/>
      <c r="AGO192" s="9"/>
      <c r="AGP192" s="9"/>
      <c r="AGQ192" s="9"/>
      <c r="AGR192" s="9"/>
      <c r="AGS192" s="9"/>
      <c r="AGT192" s="9"/>
      <c r="AGU192" s="9"/>
      <c r="AGV192" s="9"/>
      <c r="AGW192" s="9"/>
      <c r="AGX192" s="9"/>
      <c r="AGY192" s="9"/>
      <c r="AGZ192" s="9"/>
      <c r="AHA192" s="9"/>
      <c r="AHB192" s="9"/>
      <c r="AHC192" s="9"/>
      <c r="AHD192" s="9"/>
      <c r="AHE192" s="9"/>
      <c r="AHF192" s="9"/>
      <c r="AHG192" s="9"/>
      <c r="AHH192" s="9"/>
      <c r="AHI192" s="9"/>
      <c r="AHJ192" s="9"/>
      <c r="AHK192" s="9"/>
      <c r="AHL192" s="9"/>
      <c r="AHM192" s="9"/>
      <c r="AHN192" s="9"/>
      <c r="AHO192" s="9"/>
      <c r="AHP192" s="9"/>
      <c r="AHQ192" s="9"/>
      <c r="AHR192" s="9"/>
      <c r="AHS192" s="9"/>
      <c r="AHT192" s="9"/>
      <c r="AHU192" s="9"/>
      <c r="AHV192" s="9"/>
      <c r="AHW192" s="9"/>
      <c r="AHX192" s="9"/>
      <c r="AHY192" s="9"/>
      <c r="AHZ192" s="9"/>
      <c r="AIA192" s="9"/>
      <c r="AIB192" s="9"/>
      <c r="AIC192" s="9"/>
      <c r="AID192" s="9"/>
      <c r="AIE192" s="9"/>
      <c r="AIF192" s="9"/>
      <c r="AIG192" s="9"/>
      <c r="AIH192" s="9"/>
      <c r="AII192" s="9"/>
      <c r="AIJ192" s="9"/>
      <c r="AIK192" s="9"/>
      <c r="AIL192" s="9"/>
      <c r="AIM192" s="9"/>
      <c r="AIN192" s="9"/>
      <c r="AIO192" s="9"/>
      <c r="AIP192" s="9"/>
      <c r="AIQ192" s="9"/>
      <c r="AIR192" s="9"/>
      <c r="AIS192" s="9"/>
      <c r="AIT192" s="9"/>
      <c r="AIU192" s="9"/>
      <c r="AIV192" s="9"/>
      <c r="AIW192" s="9"/>
      <c r="AIX192" s="9"/>
      <c r="AIY192" s="9"/>
      <c r="AIZ192" s="9"/>
      <c r="AJA192" s="9"/>
      <c r="AJB192" s="9"/>
      <c r="AJC192" s="9"/>
      <c r="AJD192" s="9"/>
      <c r="AJE192" s="9"/>
      <c r="AJF192" s="9"/>
      <c r="AJG192" s="9"/>
      <c r="AJH192" s="9"/>
      <c r="AJI192" s="9"/>
      <c r="AJJ192" s="9"/>
      <c r="AJK192" s="9"/>
      <c r="AJL192" s="9"/>
      <c r="AJM192" s="9"/>
      <c r="AJN192" s="9"/>
      <c r="AJO192" s="9"/>
      <c r="AJP192" s="9"/>
      <c r="AJQ192" s="9"/>
      <c r="AJR192" s="9"/>
      <c r="AJS192" s="9"/>
      <c r="AJT192" s="9"/>
      <c r="AJU192" s="9"/>
      <c r="AJV192" s="9"/>
      <c r="AJW192" s="9"/>
      <c r="AJX192" s="9"/>
      <c r="AJY192" s="9"/>
      <c r="AJZ192" s="9"/>
      <c r="AKA192" s="9"/>
      <c r="AKB192" s="9"/>
      <c r="AKC192" s="9"/>
      <c r="AKD192" s="9"/>
      <c r="AKE192" s="9"/>
      <c r="AKF192" s="9"/>
      <c r="AKG192" s="9"/>
      <c r="AKH192" s="9"/>
      <c r="AKI192" s="9"/>
      <c r="AKJ192" s="9"/>
      <c r="AKK192" s="9"/>
      <c r="AKL192" s="9"/>
      <c r="AKM192" s="9"/>
      <c r="AKN192" s="9"/>
      <c r="AKO192" s="9"/>
      <c r="AKP192" s="9"/>
      <c r="AKQ192" s="9"/>
      <c r="AKR192" s="9"/>
      <c r="AKS192" s="9"/>
      <c r="AKT192" s="9"/>
      <c r="AKU192" s="9"/>
      <c r="AKV192" s="9"/>
      <c r="AKW192" s="9"/>
      <c r="AKX192" s="9"/>
      <c r="AKY192" s="9"/>
      <c r="AKZ192" s="9"/>
      <c r="ALA192" s="9"/>
      <c r="ALB192" s="9"/>
      <c r="ALC192" s="9"/>
      <c r="ALD192" s="9"/>
      <c r="ALE192" s="9"/>
      <c r="ALF192" s="9"/>
      <c r="ALG192" s="9"/>
      <c r="ALH192" s="9"/>
      <c r="ALI192" s="9"/>
      <c r="ALJ192" s="9"/>
      <c r="ALK192" s="9"/>
      <c r="ALL192" s="9"/>
      <c r="ALM192" s="9"/>
      <c r="ALN192" s="9"/>
      <c r="ALO192" s="9"/>
      <c r="ALP192" s="9"/>
      <c r="ALQ192" s="9"/>
      <c r="ALR192" s="9"/>
      <c r="ALS192" s="9"/>
      <c r="ALT192" s="9"/>
      <c r="ALU192" s="9"/>
      <c r="ALV192" s="9"/>
      <c r="ALW192" s="9"/>
      <c r="ALX192" s="9"/>
      <c r="ALY192" s="9"/>
      <c r="ALZ192" s="9"/>
      <c r="AMA192" s="9"/>
      <c r="AMB192" s="9"/>
      <c r="AMC192" s="9"/>
      <c r="AMD192" s="9"/>
      <c r="AME192" s="9"/>
      <c r="AMF192" s="9"/>
      <c r="AMG192" s="9"/>
      <c r="AMH192" s="9"/>
      <c r="AMI192" s="9"/>
      <c r="AMJ192" s="9"/>
      <c r="AMK192" s="9"/>
      <c r="AML192" s="9"/>
      <c r="AMM192" s="9"/>
      <c r="AMN192" s="9"/>
      <c r="AMO192" s="9"/>
    </row>
    <row r="193" spans="1:1029" x14ac:dyDescent="0.2">
      <c r="A193" s="3" t="str">
        <f t="shared" si="1344"/>
        <v>cnr2_human__wt</v>
      </c>
      <c r="B193" s="3" t="s">
        <v>183</v>
      </c>
      <c r="C193" s="3" t="s">
        <v>100</v>
      </c>
      <c r="D193" s="3" t="str">
        <f>IFERROR(MID(VLOOKUP($B193,Seqs!$A:$B,2,0),E193,1),"")</f>
        <v>S</v>
      </c>
      <c r="E193" s="3">
        <v>29</v>
      </c>
      <c r="F193" s="3" t="str">
        <f>IFERROR(MID(VLOOKUP($B193,Seqs!$A:$B,2,0),G193,1),"")</f>
        <v>S</v>
      </c>
      <c r="G193" s="3">
        <v>61</v>
      </c>
      <c r="H193" s="3" t="str">
        <f>IFERROR(MID(VLOOKUP($B193,Seqs!$A:$B,2,0),I193,1),"")</f>
        <v>H</v>
      </c>
      <c r="I193" s="23">
        <v>62</v>
      </c>
      <c r="J193" s="3" t="str">
        <f>IFERROR(MID(VLOOKUP($B193,Seqs!$A:$B,2,0),K193,1),"")</f>
        <v>R</v>
      </c>
      <c r="K193" s="23">
        <v>65</v>
      </c>
      <c r="L193" s="3" t="str">
        <f>IFERROR(MID(VLOOKUP($B193,Seqs!$A:$B,2,0),M193,1),"")</f>
        <v>K</v>
      </c>
      <c r="M193" s="3">
        <v>67</v>
      </c>
      <c r="N193" s="3" t="str">
        <f>IFERROR(MID(VLOOKUP($B193,Seqs!$A:$B,2,0),O193,1),"")</f>
        <v>V</v>
      </c>
      <c r="O193" s="3">
        <v>96</v>
      </c>
      <c r="P193" s="3" t="str">
        <f>IFERROR(MID(VLOOKUP($B193,Seqs!$A:$B,2,0),Q193,1),"")</f>
        <v/>
      </c>
      <c r="Q193" s="3" t="s">
        <v>23</v>
      </c>
      <c r="R193" s="3" t="str">
        <f>IFERROR(MID(VLOOKUP($B193,Seqs!$A:$B,2,0),S193,1),"")</f>
        <v/>
      </c>
      <c r="S193" s="3" t="s">
        <v>23</v>
      </c>
      <c r="T193" s="3" t="str">
        <f>IFERROR(MID(VLOOKUP($B193,Seqs!$A:$B,2,0),U193,1),"")</f>
        <v>S</v>
      </c>
      <c r="U193" s="3">
        <v>102</v>
      </c>
      <c r="V193" s="3" t="str">
        <f>IFERROR(MID(VLOOKUP($B193,Seqs!$A:$B,2,0),W193,1),"")</f>
        <v>Y</v>
      </c>
      <c r="W193" s="3">
        <v>137</v>
      </c>
      <c r="X193" s="3" t="str">
        <f>IFERROR(MID(VLOOKUP($B193,Seqs!$A:$B,2,0),Y193,1),"")</f>
        <v>P</v>
      </c>
      <c r="Y193" s="3">
        <v>138</v>
      </c>
      <c r="Z193" s="3" t="str">
        <f>IFERROR(MID(VLOOKUP($B193,Seqs!$A:$B,2,0),AA193,1),"")</f>
        <v>L</v>
      </c>
      <c r="AA193" s="3">
        <v>145</v>
      </c>
      <c r="AB193" s="3" t="str">
        <f>IFERROR(MID(VLOOKUP($B193,Seqs!$A:$B,2,0),AC193,1),"")</f>
        <v>T</v>
      </c>
      <c r="AC193" s="3">
        <v>146</v>
      </c>
      <c r="AD193" s="3" t="str">
        <f>IFERROR(MID(VLOOKUP($B193,Seqs!$A:$B,2,0),AE193,1),"")</f>
        <v>G</v>
      </c>
      <c r="AE193" s="3">
        <v>171</v>
      </c>
      <c r="AF193" s="3" t="str">
        <f>IFERROR(MID(VLOOKUP($B193,Seqs!$A:$B,2,0),AG193,1),"")</f>
        <v/>
      </c>
      <c r="AG193" s="3" t="s">
        <v>23</v>
      </c>
      <c r="AH193" s="3" t="str">
        <f>IFERROR(MID(VLOOKUP($B193,Seqs!$A:$B,2,0),AI193,1),"")</f>
        <v/>
      </c>
      <c r="AI193" s="3" t="s">
        <v>23</v>
      </c>
      <c r="AJ193" s="3" t="str">
        <f>IFERROR(MID(VLOOKUP($B193,Seqs!$A:$B,2,0),AK193,1),"")</f>
        <v>P</v>
      </c>
      <c r="AK193" s="3">
        <v>187</v>
      </c>
      <c r="AL193" s="3" t="str">
        <f>IFERROR(MID(VLOOKUP($B193,Seqs!$A:$B,2,0),AM193,1),"")</f>
        <v>G</v>
      </c>
      <c r="AM193" s="3">
        <v>225</v>
      </c>
      <c r="AN193" s="3" t="str">
        <f>IFERROR(MID(VLOOKUP($B193,Seqs!$A:$B,2,0),AO193,1),"")</f>
        <v>V</v>
      </c>
      <c r="AO193" s="3">
        <v>231</v>
      </c>
      <c r="AP193" s="3" t="str">
        <f>IFERROR(MID(VLOOKUP($B193,Seqs!$A:$B,2,0),AQ193,1),"")</f>
        <v>T</v>
      </c>
      <c r="AQ193" s="3">
        <v>271</v>
      </c>
      <c r="AR193" s="3" t="str">
        <f>IFERROR(MID(VLOOKUP($B193,Seqs!$A:$B,2,0),AS193,1),"")</f>
        <v>S</v>
      </c>
      <c r="AS193" s="3">
        <v>274</v>
      </c>
      <c r="AT193" s="3" t="str">
        <f>IFERROR(MID(VLOOKUP($B193,Seqs!$A:$B,2,0),AU193,1),"")</f>
        <v>R</v>
      </c>
      <c r="AU193" s="3">
        <v>302</v>
      </c>
      <c r="AV193" s="3" t="str">
        <f>IFERROR(MID(VLOOKUP($B193,Seqs!$A:$B,2,0),AW193,1),"")</f>
        <v>S</v>
      </c>
      <c r="AW193" s="3">
        <v>303</v>
      </c>
      <c r="AX193" s="3" t="str">
        <f>IFERROR(MID(VLOOKUP($B193,Seqs!$A:$B,2,0),AY193,1),"")</f>
        <v>K</v>
      </c>
      <c r="AY193" s="3">
        <v>319</v>
      </c>
      <c r="AZ193" s="77" t="str">
        <f>VLOOKUP(B193,Classification!A:D,2,0)</f>
        <v>A</v>
      </c>
      <c r="BA193" s="94" t="str">
        <f>VLOOKUP(B193,Classification!A:D,4,0)</f>
        <v>Cannabinoid</v>
      </c>
      <c r="BB193" s="27" t="b">
        <f t="shared" si="1345"/>
        <v>1</v>
      </c>
      <c r="BC193" s="23">
        <f t="shared" si="1346"/>
        <v>265</v>
      </c>
      <c r="BD193" s="2" t="s">
        <v>23</v>
      </c>
      <c r="BE193" s="3" t="s">
        <v>23</v>
      </c>
      <c r="BF193" s="118" t="s">
        <v>23</v>
      </c>
      <c r="BG193" s="49" t="s">
        <v>23</v>
      </c>
      <c r="BH193" s="49" t="s">
        <v>23</v>
      </c>
      <c r="BJ193" s="70" t="s">
        <v>1287</v>
      </c>
      <c r="BK193" s="57" t="s">
        <v>1287</v>
      </c>
      <c r="BL193" s="57" t="s">
        <v>1287</v>
      </c>
      <c r="BM193" s="57" t="s">
        <v>1287</v>
      </c>
      <c r="BN193" s="57" t="s">
        <v>1287</v>
      </c>
      <c r="BO193" s="57" t="s">
        <v>1287</v>
      </c>
      <c r="BP193" s="57" t="s">
        <v>1287</v>
      </c>
      <c r="BQ193" s="57" t="s">
        <v>1287</v>
      </c>
      <c r="BR193" s="57" t="s">
        <v>1287</v>
      </c>
      <c r="BS193" s="57" t="s">
        <v>1287</v>
      </c>
      <c r="BT193" s="57" t="s">
        <v>1287</v>
      </c>
      <c r="BU193" s="57" t="s">
        <v>1287</v>
      </c>
      <c r="BV193" s="70">
        <f t="shared" si="1347"/>
        <v>29</v>
      </c>
      <c r="BW193" s="71">
        <f t="shared" si="1348"/>
        <v>62</v>
      </c>
      <c r="BX193" s="72">
        <f t="shared" si="1349"/>
        <v>67</v>
      </c>
      <c r="BY193" s="71" t="str">
        <f t="shared" si="1350"/>
        <v>-</v>
      </c>
      <c r="BZ193" s="72">
        <f t="shared" si="1351"/>
        <v>102</v>
      </c>
      <c r="CA193" s="71">
        <f t="shared" si="1352"/>
        <v>138</v>
      </c>
      <c r="CB193" s="72">
        <f t="shared" si="1353"/>
        <v>146</v>
      </c>
      <c r="CC193" s="71" t="str">
        <f t="shared" si="1354"/>
        <v>-</v>
      </c>
      <c r="CD193" s="72">
        <f t="shared" si="1355"/>
        <v>187</v>
      </c>
      <c r="CE193" s="71">
        <f t="shared" si="1356"/>
        <v>231</v>
      </c>
      <c r="CF193" s="72">
        <f t="shared" si="1357"/>
        <v>274</v>
      </c>
      <c r="CG193" s="71">
        <f t="shared" si="1358"/>
        <v>303</v>
      </c>
      <c r="CH193" s="70">
        <f t="shared" si="1359"/>
        <v>61</v>
      </c>
      <c r="CI193" s="71">
        <f t="shared" si="1360"/>
        <v>65</v>
      </c>
      <c r="CJ193" s="72">
        <f t="shared" si="1361"/>
        <v>96</v>
      </c>
      <c r="CK193" s="72" t="str">
        <f t="shared" si="1362"/>
        <v>-</v>
      </c>
      <c r="CL193" s="72">
        <f t="shared" si="1363"/>
        <v>137</v>
      </c>
      <c r="CM193" s="72">
        <f t="shared" si="1364"/>
        <v>145</v>
      </c>
      <c r="CN193" s="72">
        <f t="shared" si="1365"/>
        <v>171</v>
      </c>
      <c r="CO193" s="72" t="str">
        <f t="shared" si="1366"/>
        <v>-</v>
      </c>
      <c r="CP193" s="72">
        <f t="shared" si="1367"/>
        <v>225</v>
      </c>
      <c r="CQ193" s="72">
        <f t="shared" si="1368"/>
        <v>271</v>
      </c>
      <c r="CR193" s="72">
        <f t="shared" si="1369"/>
        <v>302</v>
      </c>
      <c r="CS193" s="72">
        <f t="shared" si="1370"/>
        <v>319</v>
      </c>
      <c r="CT193" s="23">
        <f t="shared" si="1371"/>
        <v>2</v>
      </c>
    </row>
    <row r="194" spans="1:1029" x14ac:dyDescent="0.2">
      <c r="A194" s="3" t="str">
        <f t="shared" si="1344"/>
        <v>cnr2_human_5ZTY</v>
      </c>
      <c r="B194" s="3" t="s">
        <v>183</v>
      </c>
      <c r="C194" s="3" t="s">
        <v>1557</v>
      </c>
      <c r="D194" s="3" t="str">
        <f>IFERROR(MID(VLOOKUP($B194,Seqs!$A:$B,2,0),E194,1),"")</f>
        <v>S</v>
      </c>
      <c r="E194" s="3">
        <v>29</v>
      </c>
      <c r="F194" s="3" t="str">
        <f>IFERROR(MID(VLOOKUP($B194,Seqs!$A:$B,2,0),G194,1),"")</f>
        <v>S</v>
      </c>
      <c r="G194" s="3">
        <v>61</v>
      </c>
      <c r="H194" s="3" t="str">
        <f>IFERROR(MID(VLOOKUP($B194,Seqs!$A:$B,2,0),I194,1),"")</f>
        <v>H</v>
      </c>
      <c r="I194" s="23">
        <v>62</v>
      </c>
      <c r="J194" s="3" t="str">
        <f>IFERROR(MID(VLOOKUP($B194,Seqs!$A:$B,2,0),K194,1),"")</f>
        <v>R</v>
      </c>
      <c r="K194" s="23">
        <v>65</v>
      </c>
      <c r="L194" s="3" t="str">
        <f>IFERROR(MID(VLOOKUP($B194,Seqs!$A:$B,2,0),M194,1),"")</f>
        <v>K</v>
      </c>
      <c r="M194" s="3">
        <v>67</v>
      </c>
      <c r="N194" s="3" t="str">
        <f>IFERROR(MID(VLOOKUP($B194,Seqs!$A:$B,2,0),O194,1),"")</f>
        <v>V</v>
      </c>
      <c r="O194" s="3">
        <v>96</v>
      </c>
      <c r="P194" s="3" t="str">
        <f>IFERROR(MID(VLOOKUP($B194,Seqs!$A:$B,2,0),Q194,1),"")</f>
        <v/>
      </c>
      <c r="Q194" s="3" t="s">
        <v>23</v>
      </c>
      <c r="R194" s="3" t="str">
        <f>IFERROR(MID(VLOOKUP($B194,Seqs!$A:$B,2,0),S194,1),"")</f>
        <v/>
      </c>
      <c r="S194" s="3" t="s">
        <v>23</v>
      </c>
      <c r="T194" s="3" t="str">
        <f>IFERROR(MID(VLOOKUP($B194,Seqs!$A:$B,2,0),U194,1),"")</f>
        <v>S</v>
      </c>
      <c r="U194" s="3">
        <v>102</v>
      </c>
      <c r="V194" s="3" t="str">
        <f>IFERROR(MID(VLOOKUP($B194,Seqs!$A:$B,2,0),W194,1),"")</f>
        <v>Y</v>
      </c>
      <c r="W194" s="3">
        <v>137</v>
      </c>
      <c r="X194" s="3" t="str">
        <f>IFERROR(MID(VLOOKUP($B194,Seqs!$A:$B,2,0),Y194,1),"")</f>
        <v>P</v>
      </c>
      <c r="Y194" s="3">
        <v>138</v>
      </c>
      <c r="Z194" s="3" t="str">
        <f>IFERROR(MID(VLOOKUP($B194,Seqs!$A:$B,2,0),AA194,1),"")</f>
        <v>L</v>
      </c>
      <c r="AA194" s="3">
        <v>145</v>
      </c>
      <c r="AB194" s="3" t="str">
        <f>IFERROR(MID(VLOOKUP($B194,Seqs!$A:$B,2,0),AC194,1),"")</f>
        <v>T</v>
      </c>
      <c r="AC194" s="3">
        <v>146</v>
      </c>
      <c r="AD194" s="3" t="str">
        <f>IFERROR(MID(VLOOKUP($B194,Seqs!$A:$B,2,0),AE194,1),"")</f>
        <v>G</v>
      </c>
      <c r="AE194" s="3">
        <v>171</v>
      </c>
      <c r="AF194" s="3" t="str">
        <f>IFERROR(MID(VLOOKUP($B194,Seqs!$A:$B,2,0),AG194,1),"")</f>
        <v/>
      </c>
      <c r="AG194" s="3" t="s">
        <v>23</v>
      </c>
      <c r="AH194" s="3" t="str">
        <f>IFERROR(MID(VLOOKUP($B194,Seqs!$A:$B,2,0),AI194,1),"")</f>
        <v/>
      </c>
      <c r="AI194" s="3" t="s">
        <v>23</v>
      </c>
      <c r="AJ194" s="3" t="str">
        <f>IFERROR(MID(VLOOKUP($B194,Seqs!$A:$B,2,0),AK194,1),"")</f>
        <v>P</v>
      </c>
      <c r="AK194" s="3">
        <v>187</v>
      </c>
      <c r="AL194" s="3" t="str">
        <f>IFERROR(MID(VLOOKUP($B194,Seqs!$A:$B,2,0),AM194,1),"")</f>
        <v>V</v>
      </c>
      <c r="AM194" s="3">
        <v>220</v>
      </c>
      <c r="AN194" s="3" t="str">
        <f>IFERROR(MID(VLOOKUP($B194,Seqs!$A:$B,2,0),AO194,1),"")</f>
        <v>M</v>
      </c>
      <c r="AO194" s="3">
        <v>237</v>
      </c>
      <c r="AP194" s="3" t="str">
        <f>IFERROR(MID(VLOOKUP($B194,Seqs!$A:$B,2,0),AQ194,1),"")</f>
        <v>T</v>
      </c>
      <c r="AQ194" s="3">
        <v>271</v>
      </c>
      <c r="AR194" s="3" t="str">
        <f>IFERROR(MID(VLOOKUP($B194,Seqs!$A:$B,2,0),AS194,1),"")</f>
        <v>S</v>
      </c>
      <c r="AS194" s="3">
        <v>274</v>
      </c>
      <c r="AT194" s="3" t="str">
        <f>IFERROR(MID(VLOOKUP($B194,Seqs!$A:$B,2,0),AU194,1),"")</f>
        <v>R</v>
      </c>
      <c r="AU194" s="3">
        <v>302</v>
      </c>
      <c r="AV194" s="3" t="str">
        <f>IFERROR(MID(VLOOKUP($B194,Seqs!$A:$B,2,0),AW194,1),"")</f>
        <v>S</v>
      </c>
      <c r="AW194" s="3">
        <v>303</v>
      </c>
      <c r="AX194" s="3" t="str">
        <f>IFERROR(MID(VLOOKUP($B194,Seqs!$A:$B,2,0),AY194,1),"")</f>
        <v>K</v>
      </c>
      <c r="AY194" s="3">
        <v>319</v>
      </c>
      <c r="AZ194" s="77" t="str">
        <f>VLOOKUP(B194,Classification!A:D,2,0)</f>
        <v>A</v>
      </c>
      <c r="BA194" s="94" t="str">
        <f>VLOOKUP(B194,Classification!A:D,4,0)</f>
        <v>Cannabinoid</v>
      </c>
      <c r="BB194" s="27" t="b">
        <f t="shared" si="1345"/>
        <v>1</v>
      </c>
      <c r="BC194" s="23">
        <f t="shared" si="1346"/>
        <v>254</v>
      </c>
      <c r="BD194" s="2" t="s">
        <v>1376</v>
      </c>
      <c r="BE194" s="3" t="s">
        <v>1374</v>
      </c>
      <c r="BF194" s="118">
        <v>2.8</v>
      </c>
      <c r="BG194" s="49" t="s">
        <v>1</v>
      </c>
      <c r="BH194" s="49" t="s">
        <v>1</v>
      </c>
      <c r="BJ194" s="70" t="s">
        <v>1287</v>
      </c>
      <c r="BK194" s="57" t="s">
        <v>1287</v>
      </c>
      <c r="BL194" s="57" t="s">
        <v>1287</v>
      </c>
      <c r="BM194" s="57" t="s">
        <v>1287</v>
      </c>
      <c r="BN194" s="57" t="s">
        <v>1287</v>
      </c>
      <c r="BO194" s="57" t="s">
        <v>1287</v>
      </c>
      <c r="BP194" s="57" t="s">
        <v>1287</v>
      </c>
      <c r="BQ194" s="57" t="s">
        <v>1287</v>
      </c>
      <c r="BR194" s="57" t="s">
        <v>1287</v>
      </c>
      <c r="BS194" s="57" t="s">
        <v>1287</v>
      </c>
      <c r="BT194" s="57" t="s">
        <v>1287</v>
      </c>
      <c r="BU194" s="57" t="s">
        <v>1287</v>
      </c>
      <c r="BV194" s="70">
        <f t="shared" si="1347"/>
        <v>29</v>
      </c>
      <c r="BW194" s="71">
        <f t="shared" si="1348"/>
        <v>62</v>
      </c>
      <c r="BX194" s="72">
        <f t="shared" si="1349"/>
        <v>67</v>
      </c>
      <c r="BY194" s="71" t="str">
        <f t="shared" si="1350"/>
        <v>-</v>
      </c>
      <c r="BZ194" s="72">
        <f t="shared" si="1351"/>
        <v>102</v>
      </c>
      <c r="CA194" s="71">
        <f t="shared" si="1352"/>
        <v>138</v>
      </c>
      <c r="CB194" s="72">
        <f t="shared" si="1353"/>
        <v>146</v>
      </c>
      <c r="CC194" s="71" t="str">
        <f t="shared" si="1354"/>
        <v>-</v>
      </c>
      <c r="CD194" s="72">
        <f t="shared" si="1355"/>
        <v>187</v>
      </c>
      <c r="CE194" s="71">
        <f t="shared" si="1356"/>
        <v>237</v>
      </c>
      <c r="CF194" s="72">
        <f t="shared" si="1357"/>
        <v>274</v>
      </c>
      <c r="CG194" s="71">
        <f t="shared" si="1358"/>
        <v>303</v>
      </c>
      <c r="CH194" s="70">
        <f t="shared" si="1359"/>
        <v>61</v>
      </c>
      <c r="CI194" s="71">
        <f t="shared" si="1360"/>
        <v>65</v>
      </c>
      <c r="CJ194" s="72">
        <f t="shared" si="1361"/>
        <v>96</v>
      </c>
      <c r="CK194" s="72" t="str">
        <f t="shared" si="1362"/>
        <v>-</v>
      </c>
      <c r="CL194" s="72">
        <f t="shared" si="1363"/>
        <v>137</v>
      </c>
      <c r="CM194" s="72">
        <f t="shared" si="1364"/>
        <v>145</v>
      </c>
      <c r="CN194" s="72">
        <f t="shared" si="1365"/>
        <v>171</v>
      </c>
      <c r="CO194" s="72" t="str">
        <f t="shared" si="1366"/>
        <v>-</v>
      </c>
      <c r="CP194" s="72">
        <f t="shared" si="1367"/>
        <v>220</v>
      </c>
      <c r="CQ194" s="72">
        <f t="shared" si="1368"/>
        <v>271</v>
      </c>
      <c r="CR194" s="72">
        <f t="shared" si="1369"/>
        <v>302</v>
      </c>
      <c r="CS194" s="72">
        <f t="shared" si="1370"/>
        <v>319</v>
      </c>
      <c r="CT194" s="23">
        <f t="shared" si="1371"/>
        <v>2</v>
      </c>
    </row>
    <row r="195" spans="1:1029" x14ac:dyDescent="0.2">
      <c r="A195" s="3" t="str">
        <f t="shared" si="951"/>
        <v>cxcr4_human__wt</v>
      </c>
      <c r="B195" s="3" t="s">
        <v>1171</v>
      </c>
      <c r="C195" s="3" t="s">
        <v>100</v>
      </c>
      <c r="D195" s="3" t="str">
        <f>IFERROR(MID(VLOOKUP($B195,Seqs!$A:$B,2,0),E195,1),"")</f>
        <v>R</v>
      </c>
      <c r="E195" s="3">
        <v>30</v>
      </c>
      <c r="F195" s="3" t="str">
        <f>IFERROR(MID(VLOOKUP($B195,Seqs!$A:$B,2,0),G195,1),"")</f>
        <v>Q</v>
      </c>
      <c r="G195" s="3">
        <v>66</v>
      </c>
      <c r="H195" s="3" t="str">
        <f>IFERROR(MID(VLOOKUP($B195,Seqs!$A:$B,2,0),I195,1),"")</f>
        <v>K</v>
      </c>
      <c r="I195" s="23">
        <v>67</v>
      </c>
      <c r="J195" s="3" t="str">
        <f>IFERROR(MID(VLOOKUP($B195,Seqs!$A:$B,2,0),K195,1),"")</f>
        <v>R</v>
      </c>
      <c r="K195" s="23">
        <v>70</v>
      </c>
      <c r="L195" s="3" t="str">
        <f>IFERROR(MID(VLOOKUP($B195,Seqs!$A:$B,2,0),M195,1),"")</f>
        <v>S</v>
      </c>
      <c r="M195" s="3">
        <v>71</v>
      </c>
      <c r="N195" s="3" t="str">
        <f>IFERROR(MID(VLOOKUP($B195,Seqs!$A:$B,2,0),O195,1),"")</f>
        <v>A</v>
      </c>
      <c r="O195" s="3">
        <v>100</v>
      </c>
      <c r="P195" s="3" t="str">
        <f>IFERROR(MID(VLOOKUP($B195,Seqs!$A:$B,2,0),Q195,1),"")</f>
        <v>N</v>
      </c>
      <c r="Q195" s="3">
        <v>101</v>
      </c>
      <c r="R195" s="3" t="str">
        <f>IFERROR(MID(VLOOKUP($B195,Seqs!$A:$B,2,0),S195,1),"")</f>
        <v>F</v>
      </c>
      <c r="S195" s="3">
        <v>104</v>
      </c>
      <c r="T195" s="3" t="str">
        <f>IFERROR(MID(VLOOKUP($B195,Seqs!$A:$B,2,0),U195,1),"")</f>
        <v>G</v>
      </c>
      <c r="U195" s="3">
        <v>105</v>
      </c>
      <c r="V195" s="3" t="str">
        <f>IFERROR(MID(VLOOKUP($B195,Seqs!$A:$B,2,0),W195,1),"")</f>
        <v>H</v>
      </c>
      <c r="W195" s="3">
        <v>140</v>
      </c>
      <c r="X195" s="3" t="str">
        <f>IFERROR(MID(VLOOKUP($B195,Seqs!$A:$B,2,0),Y195,1),"")</f>
        <v>A</v>
      </c>
      <c r="Y195" s="3">
        <v>141</v>
      </c>
      <c r="Z195" s="3" t="str">
        <f>IFERROR(MID(VLOOKUP($B195,Seqs!$A:$B,2,0),AA195,1),"")</f>
        <v>R</v>
      </c>
      <c r="AA195" s="3">
        <v>148</v>
      </c>
      <c r="AB195" s="3" t="str">
        <f>IFERROR(MID(VLOOKUP($B195,Seqs!$A:$B,2,0),AC195,1),"")</f>
        <v>K</v>
      </c>
      <c r="AC195" s="9">
        <v>149</v>
      </c>
      <c r="AD195" s="3" t="str">
        <f>IFERROR(MID(VLOOKUP($B195,Seqs!$A:$B,2,0),AE195,1),"")</f>
        <v>A</v>
      </c>
      <c r="AE195" s="3">
        <v>175</v>
      </c>
      <c r="AF195" s="3" t="str">
        <f>IFERROR(MID(VLOOKUP($B195,Seqs!$A:$B,2,0),AG195,1),"")</f>
        <v>C</v>
      </c>
      <c r="AG195" s="3">
        <v>186</v>
      </c>
      <c r="AH195" s="3" t="str">
        <f>IFERROR(MID(VLOOKUP($B195,Seqs!$A:$B,2,0),AI195,1),"")</f>
        <v>R</v>
      </c>
      <c r="AI195" s="3">
        <v>188</v>
      </c>
      <c r="AJ195" s="3" t="str">
        <f>IFERROR(MID(VLOOKUP($B195,Seqs!$A:$B,2,0),AK195,1),"")</f>
        <v>D</v>
      </c>
      <c r="AK195" s="3">
        <v>193</v>
      </c>
      <c r="AL195" s="3" t="str">
        <f>IFERROR(MID(VLOOKUP($B195,Seqs!$A:$B,2,0),AM195,1),"")</f>
        <v>S</v>
      </c>
      <c r="AM195" s="3">
        <v>229</v>
      </c>
      <c r="AN195" s="3" t="str">
        <f>IFERROR(MID(VLOOKUP($B195,Seqs!$A:$B,2,0),AO195,1),"")</f>
        <v>K</v>
      </c>
      <c r="AO195" s="3">
        <v>234</v>
      </c>
      <c r="AP195" s="3" t="str">
        <f>IFERROR(MID(VLOOKUP($B195,Seqs!$A:$B,2,0),AQ195,1),"")</f>
        <v>E</v>
      </c>
      <c r="AQ195" s="3">
        <v>268</v>
      </c>
      <c r="AR195" s="3" t="str">
        <f>IFERROR(MID(VLOOKUP($B195,Seqs!$A:$B,2,0),AS195,1),"")</f>
        <v>G</v>
      </c>
      <c r="AS195" s="3">
        <v>273</v>
      </c>
      <c r="AT195" s="3" t="str">
        <f>IFERROR(MID(VLOOKUP($B195,Seqs!$A:$B,2,0),AU195,1),"")</f>
        <v>L</v>
      </c>
      <c r="AU195" s="3">
        <v>305</v>
      </c>
      <c r="AV195" s="3" t="str">
        <f>IFERROR(MID(VLOOKUP($B195,Seqs!$A:$B,2,0),AW195,1),"")</f>
        <v>G</v>
      </c>
      <c r="AW195" s="3">
        <v>306</v>
      </c>
      <c r="AX195" s="3" t="str">
        <f>IFERROR(MID(VLOOKUP($B195,Seqs!$A:$B,2,0),AY195,1),"")</f>
        <v>T</v>
      </c>
      <c r="AY195" s="3">
        <v>318</v>
      </c>
      <c r="AZ195" s="77" t="str">
        <f>VLOOKUP(B195,Classification!A:D,2,0)</f>
        <v>A</v>
      </c>
      <c r="BA195" s="94" t="str">
        <f>VLOOKUP(B195,Classification!A:D,4,0)</f>
        <v>Chemokine</v>
      </c>
      <c r="BB195" s="27" t="b">
        <f t="shared" si="952"/>
        <v>1</v>
      </c>
      <c r="BC195" s="23">
        <f t="shared" ref="BC195:BC202" si="1372">_xlfn.AGGREGATE(9,6,CH195:CS195)-_xlfn.AGGREGATE(9,6,BV195:CG195)+12</f>
        <v>267</v>
      </c>
      <c r="BD195" s="34" t="s">
        <v>23</v>
      </c>
      <c r="BE195" s="3" t="s">
        <v>23</v>
      </c>
      <c r="BF195" s="118" t="s">
        <v>23</v>
      </c>
      <c r="BG195" s="49" t="s">
        <v>1372</v>
      </c>
      <c r="BH195" s="49" t="s">
        <v>1377</v>
      </c>
      <c r="BI195" s="1"/>
      <c r="BJ195" s="70" t="s">
        <v>1287</v>
      </c>
      <c r="BK195" s="57" t="s">
        <v>1287</v>
      </c>
      <c r="BL195" s="57" t="s">
        <v>1287</v>
      </c>
      <c r="BM195" s="57" t="s">
        <v>1287</v>
      </c>
      <c r="BN195" s="57" t="s">
        <v>1287</v>
      </c>
      <c r="BO195" s="57" t="s">
        <v>1287</v>
      </c>
      <c r="BP195" s="57" t="s">
        <v>1287</v>
      </c>
      <c r="BQ195" s="57" t="s">
        <v>1287</v>
      </c>
      <c r="BR195" s="57" t="s">
        <v>1287</v>
      </c>
      <c r="BS195" s="57" t="s">
        <v>1287</v>
      </c>
      <c r="BT195" s="57" t="s">
        <v>1287</v>
      </c>
      <c r="BU195" s="57" t="s">
        <v>1287</v>
      </c>
      <c r="BV195" s="70">
        <f t="shared" ref="BV195:BV202" si="1373">E195</f>
        <v>30</v>
      </c>
      <c r="BW195" s="71">
        <f t="shared" ref="BW195:BW202" si="1374">I195</f>
        <v>67</v>
      </c>
      <c r="BX195" s="72">
        <f t="shared" ref="BX195:BX202" si="1375">M195</f>
        <v>71</v>
      </c>
      <c r="BY195" s="71">
        <f t="shared" ref="BY195:BY202" si="1376">Q195</f>
        <v>101</v>
      </c>
      <c r="BZ195" s="72">
        <f t="shared" ref="BZ195:BZ202" si="1377">U195</f>
        <v>105</v>
      </c>
      <c r="CA195" s="71">
        <f t="shared" ref="CA195:CA202" si="1378">Y195</f>
        <v>141</v>
      </c>
      <c r="CB195" s="72">
        <f t="shared" ref="CB195:CB202" si="1379">AC195</f>
        <v>149</v>
      </c>
      <c r="CC195" s="71">
        <f t="shared" ref="CC195:CC202" si="1380">AG195</f>
        <v>186</v>
      </c>
      <c r="CD195" s="72">
        <f t="shared" ref="CD195:CD202" si="1381">AK195</f>
        <v>193</v>
      </c>
      <c r="CE195" s="71">
        <f t="shared" ref="CE195:CE202" si="1382">AO195</f>
        <v>234</v>
      </c>
      <c r="CF195" s="72">
        <f t="shared" ref="CF195:CF202" si="1383">AS195</f>
        <v>273</v>
      </c>
      <c r="CG195" s="71">
        <f t="shared" ref="CG195:CG202" si="1384">AW195</f>
        <v>306</v>
      </c>
      <c r="CH195" s="70">
        <f t="shared" ref="CH195:CH202" si="1385">G195</f>
        <v>66</v>
      </c>
      <c r="CI195" s="71">
        <f t="shared" ref="CI195:CI202" si="1386">K195</f>
        <v>70</v>
      </c>
      <c r="CJ195" s="72">
        <f t="shared" ref="CJ195:CJ202" si="1387">O195</f>
        <v>100</v>
      </c>
      <c r="CK195" s="72">
        <f t="shared" ref="CK195:CK202" si="1388">S195</f>
        <v>104</v>
      </c>
      <c r="CL195" s="72">
        <f t="shared" ref="CL195:CL202" si="1389">W195</f>
        <v>140</v>
      </c>
      <c r="CM195" s="72">
        <f t="shared" ref="CM195:CM202" si="1390">AA195</f>
        <v>148</v>
      </c>
      <c r="CN195" s="72">
        <f t="shared" ref="CN195:CN202" si="1391">AE195</f>
        <v>175</v>
      </c>
      <c r="CO195" s="72">
        <f t="shared" ref="CO195:CO202" si="1392">AI195</f>
        <v>188</v>
      </c>
      <c r="CP195" s="72">
        <f t="shared" ref="CP195:CP202" si="1393">AM195</f>
        <v>229</v>
      </c>
      <c r="CQ195" s="72">
        <f t="shared" ref="CQ195:CQ202" si="1394">AQ195</f>
        <v>268</v>
      </c>
      <c r="CR195" s="72">
        <f t="shared" ref="CR195:CR202" si="1395">AU195</f>
        <v>305</v>
      </c>
      <c r="CS195" s="72">
        <f t="shared" ref="CS195:CS202" si="1396">AY195</f>
        <v>318</v>
      </c>
      <c r="CT195" s="23">
        <f t="shared" ref="CT195:CT202" si="1397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3" t="str">
        <f t="shared" si="951"/>
        <v>cxcr4_human_3ODU</v>
      </c>
      <c r="B196" s="3" t="s">
        <v>1171</v>
      </c>
      <c r="C196" s="3" t="s">
        <v>63</v>
      </c>
      <c r="D196" s="3" t="str">
        <f>IFERROR(MID(VLOOKUP($B196,Seqs!$A:$B,2,0),E196,1),"")</f>
        <v>A</v>
      </c>
      <c r="E196" s="3">
        <v>34</v>
      </c>
      <c r="F196" s="3" t="str">
        <f>IFERROR(MID(VLOOKUP($B196,Seqs!$A:$B,2,0),G196,1),"")</f>
        <v>Q</v>
      </c>
      <c r="G196" s="3">
        <v>66</v>
      </c>
      <c r="H196" s="3" t="str">
        <f>IFERROR(MID(VLOOKUP($B196,Seqs!$A:$B,2,0),I196,1),"")</f>
        <v/>
      </c>
      <c r="I196" s="23" t="s">
        <v>23</v>
      </c>
      <c r="J196" s="3" t="str">
        <f>IFERROR(MID(VLOOKUP($B196,Seqs!$A:$B,2,0),K196,1),"")</f>
        <v/>
      </c>
      <c r="K196" s="23" t="s">
        <v>23</v>
      </c>
      <c r="L196" s="3" t="str">
        <f>IFERROR(MID(VLOOKUP($B196,Seqs!$A:$B,2,0),M196,1),"")</f>
        <v>S</v>
      </c>
      <c r="M196" s="3">
        <v>71</v>
      </c>
      <c r="N196" s="3" t="str">
        <f>IFERROR(MID(VLOOKUP($B196,Seqs!$A:$B,2,0),O196,1),"")</f>
        <v>A</v>
      </c>
      <c r="O196" s="3">
        <v>100</v>
      </c>
      <c r="P196" s="3" t="str">
        <f>IFERROR(MID(VLOOKUP($B196,Seqs!$A:$B,2,0),Q196,1),"")</f>
        <v>N</v>
      </c>
      <c r="Q196" s="3">
        <v>101</v>
      </c>
      <c r="R196" s="3" t="str">
        <f>IFERROR(MID(VLOOKUP($B196,Seqs!$A:$B,2,0),S196,1),"")</f>
        <v>F</v>
      </c>
      <c r="S196" s="3">
        <v>104</v>
      </c>
      <c r="T196" s="3" t="str">
        <f>IFERROR(MID(VLOOKUP($B196,Seqs!$A:$B,2,0),U196,1),"")</f>
        <v>G</v>
      </c>
      <c r="U196" s="3">
        <v>105</v>
      </c>
      <c r="V196" s="3" t="str">
        <f>IFERROR(MID(VLOOKUP($B196,Seqs!$A:$B,2,0),W196,1),"")</f>
        <v>H</v>
      </c>
      <c r="W196" s="3">
        <v>140</v>
      </c>
      <c r="X196" s="3" t="str">
        <f>IFERROR(MID(VLOOKUP($B196,Seqs!$A:$B,2,0),Y196,1),"")</f>
        <v/>
      </c>
      <c r="Y196" s="3" t="s">
        <v>23</v>
      </c>
      <c r="Z196" s="3" t="str">
        <f>IFERROR(MID(VLOOKUP($B196,Seqs!$A:$B,2,0),AA196,1),"")</f>
        <v/>
      </c>
      <c r="AA196" s="3" t="s">
        <v>23</v>
      </c>
      <c r="AB196" s="3" t="str">
        <f>IFERROR(MID(VLOOKUP($B196,Seqs!$A:$B,2,0),AC196,1),"")</f>
        <v>S</v>
      </c>
      <c r="AC196" s="9">
        <v>144</v>
      </c>
      <c r="AD196" s="3" t="str">
        <f>IFERROR(MID(VLOOKUP($B196,Seqs!$A:$B,2,0),AE196,1),"")</f>
        <v>A</v>
      </c>
      <c r="AE196" s="3">
        <v>175</v>
      </c>
      <c r="AF196" s="3" t="str">
        <f>IFERROR(MID(VLOOKUP($B196,Seqs!$A:$B,2,0),AG196,1),"")</f>
        <v>C</v>
      </c>
      <c r="AG196" s="3">
        <v>186</v>
      </c>
      <c r="AH196" s="3" t="str">
        <f>IFERROR(MID(VLOOKUP($B196,Seqs!$A:$B,2,0),AI196,1),"")</f>
        <v>R</v>
      </c>
      <c r="AI196" s="3">
        <v>188</v>
      </c>
      <c r="AJ196" s="3" t="str">
        <f>IFERROR(MID(VLOOKUP($B196,Seqs!$A:$B,2,0),AK196,1),"")</f>
        <v>D</v>
      </c>
      <c r="AK196" s="3">
        <v>193</v>
      </c>
      <c r="AL196" s="3" t="str">
        <f>IFERROR(MID(VLOOKUP($B196,Seqs!$A:$B,2,0),AM196,1),"")</f>
        <v>K</v>
      </c>
      <c r="AM196" s="3">
        <v>225</v>
      </c>
      <c r="AN196" s="3" t="str">
        <f>IFERROR(MID(VLOOKUP($B196,Seqs!$A:$B,2,0),AO196,1),"")</f>
        <v>G</v>
      </c>
      <c r="AO196" s="3">
        <v>231</v>
      </c>
      <c r="AP196" s="3" t="str">
        <f>IFERROR(MID(VLOOKUP($B196,Seqs!$A:$B,2,0),AQ196,1),"")</f>
        <v>E</v>
      </c>
      <c r="AQ196" s="3">
        <v>268</v>
      </c>
      <c r="AR196" s="3" t="str">
        <f>IFERROR(MID(VLOOKUP($B196,Seqs!$A:$B,2,0),AS196,1),"")</f>
        <v>G</v>
      </c>
      <c r="AS196" s="3">
        <v>273</v>
      </c>
      <c r="AT196" s="3" t="str">
        <f>IFERROR(MID(VLOOKUP($B196,Seqs!$A:$B,2,0),AU196,1),"")</f>
        <v>I</v>
      </c>
      <c r="AU196" s="3">
        <v>300</v>
      </c>
      <c r="AV196" s="3" t="str">
        <f>IFERROR(MID(VLOOKUP($B196,Seqs!$A:$B,2,0),AW196,1),"")</f>
        <v/>
      </c>
      <c r="AW196" s="3" t="s">
        <v>23</v>
      </c>
      <c r="AX196" s="3" t="str">
        <f>IFERROR(MID(VLOOKUP($B196,Seqs!$A:$B,2,0),AY196,1),"")</f>
        <v/>
      </c>
      <c r="AY196" s="3" t="s">
        <v>23</v>
      </c>
      <c r="AZ196" s="77" t="str">
        <f>VLOOKUP(B196,Classification!A:D,2,0)</f>
        <v>A</v>
      </c>
      <c r="BA196" s="94" t="str">
        <f>VLOOKUP(B196,Classification!A:D,4,0)</f>
        <v>Chemokine</v>
      </c>
      <c r="BB196" s="27" t="b">
        <f t="shared" si="952"/>
        <v>1</v>
      </c>
      <c r="BC196" s="23">
        <f t="shared" si="1372"/>
        <v>240</v>
      </c>
      <c r="BD196" s="2" t="s">
        <v>1376</v>
      </c>
      <c r="BE196" s="3" t="s">
        <v>1374</v>
      </c>
      <c r="BF196" s="118">
        <v>2.5</v>
      </c>
      <c r="BG196" s="49" t="s">
        <v>1377</v>
      </c>
      <c r="BH196" s="49" t="s">
        <v>1377</v>
      </c>
      <c r="BI196" s="1"/>
      <c r="BJ196" s="70" t="s">
        <v>1287</v>
      </c>
      <c r="BK196" s="57" t="s">
        <v>1287</v>
      </c>
      <c r="BL196" s="57" t="s">
        <v>1287</v>
      </c>
      <c r="BM196" s="57" t="s">
        <v>1287</v>
      </c>
      <c r="BN196" s="57" t="s">
        <v>1287</v>
      </c>
      <c r="BO196" s="57" t="s">
        <v>1287</v>
      </c>
      <c r="BP196" s="57" t="s">
        <v>1287</v>
      </c>
      <c r="BQ196" s="57" t="s">
        <v>1287</v>
      </c>
      <c r="BR196" s="57" t="s">
        <v>1287</v>
      </c>
      <c r="BS196" s="57" t="s">
        <v>1287</v>
      </c>
      <c r="BT196" s="57" t="s">
        <v>1287</v>
      </c>
      <c r="BU196" s="57" t="s">
        <v>1287</v>
      </c>
      <c r="BV196" s="70">
        <f t="shared" si="1373"/>
        <v>34</v>
      </c>
      <c r="BW196" s="71" t="str">
        <f t="shared" si="1374"/>
        <v>-</v>
      </c>
      <c r="BX196" s="72">
        <f t="shared" si="1375"/>
        <v>71</v>
      </c>
      <c r="BY196" s="71">
        <f t="shared" si="1376"/>
        <v>101</v>
      </c>
      <c r="BZ196" s="72">
        <f t="shared" si="1377"/>
        <v>105</v>
      </c>
      <c r="CA196" s="71" t="str">
        <f t="shared" si="1378"/>
        <v>-</v>
      </c>
      <c r="CB196" s="72">
        <f t="shared" si="1379"/>
        <v>144</v>
      </c>
      <c r="CC196" s="71">
        <f t="shared" si="1380"/>
        <v>186</v>
      </c>
      <c r="CD196" s="72">
        <f t="shared" si="1381"/>
        <v>193</v>
      </c>
      <c r="CE196" s="71">
        <f t="shared" si="1382"/>
        <v>231</v>
      </c>
      <c r="CF196" s="72">
        <f t="shared" si="1383"/>
        <v>273</v>
      </c>
      <c r="CG196" s="71" t="str">
        <f t="shared" si="1384"/>
        <v>-</v>
      </c>
      <c r="CH196" s="70">
        <f t="shared" si="1385"/>
        <v>66</v>
      </c>
      <c r="CI196" s="71" t="str">
        <f t="shared" si="1386"/>
        <v>-</v>
      </c>
      <c r="CJ196" s="72">
        <f t="shared" si="1387"/>
        <v>100</v>
      </c>
      <c r="CK196" s="72">
        <f t="shared" si="1388"/>
        <v>104</v>
      </c>
      <c r="CL196" s="72">
        <f t="shared" si="1389"/>
        <v>140</v>
      </c>
      <c r="CM196" s="72" t="str">
        <f t="shared" si="1390"/>
        <v>-</v>
      </c>
      <c r="CN196" s="72">
        <f t="shared" si="1391"/>
        <v>175</v>
      </c>
      <c r="CO196" s="72">
        <f t="shared" si="1392"/>
        <v>188</v>
      </c>
      <c r="CP196" s="72">
        <f t="shared" si="1393"/>
        <v>225</v>
      </c>
      <c r="CQ196" s="72">
        <f t="shared" si="1394"/>
        <v>268</v>
      </c>
      <c r="CR196" s="72">
        <f t="shared" si="1395"/>
        <v>300</v>
      </c>
      <c r="CS196" s="72" t="str">
        <f t="shared" si="1396"/>
        <v>-</v>
      </c>
      <c r="CT196" s="23" t="e">
        <f t="shared" si="1397"/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3" t="str">
        <f t="shared" si="951"/>
        <v>cxcr4_human_3OE0</v>
      </c>
      <c r="B197" s="3" t="s">
        <v>1171</v>
      </c>
      <c r="C197" s="3" t="s">
        <v>1031</v>
      </c>
      <c r="D197" s="3" t="str">
        <f>IFERROR(MID(VLOOKUP($B197,Seqs!$A:$B,2,0),E197,1),"")</f>
        <v>A</v>
      </c>
      <c r="E197" s="3">
        <v>34</v>
      </c>
      <c r="F197" s="3" t="str">
        <f>IFERROR(MID(VLOOKUP($B197,Seqs!$A:$B,2,0),G197,1),"")</f>
        <v>Q</v>
      </c>
      <c r="G197" s="3">
        <v>66</v>
      </c>
      <c r="H197" s="3" t="str">
        <f>IFERROR(MID(VLOOKUP($B197,Seqs!$A:$B,2,0),I197,1),"")</f>
        <v/>
      </c>
      <c r="I197" s="23" t="s">
        <v>23</v>
      </c>
      <c r="J197" s="3" t="str">
        <f>IFERROR(MID(VLOOKUP($B197,Seqs!$A:$B,2,0),K197,1),"")</f>
        <v/>
      </c>
      <c r="K197" s="23" t="s">
        <v>23</v>
      </c>
      <c r="L197" s="3" t="str">
        <f>IFERROR(MID(VLOOKUP($B197,Seqs!$A:$B,2,0),M197,1),"")</f>
        <v>S</v>
      </c>
      <c r="M197" s="3">
        <v>71</v>
      </c>
      <c r="N197" s="3" t="str">
        <f>IFERROR(MID(VLOOKUP($B197,Seqs!$A:$B,2,0),O197,1),"")</f>
        <v>A</v>
      </c>
      <c r="O197" s="3">
        <v>100</v>
      </c>
      <c r="P197" s="3" t="str">
        <f>IFERROR(MID(VLOOKUP($B197,Seqs!$A:$B,2,0),Q197,1),"")</f>
        <v>N</v>
      </c>
      <c r="Q197" s="3">
        <v>101</v>
      </c>
      <c r="R197" s="3" t="str">
        <f>IFERROR(MID(VLOOKUP($B197,Seqs!$A:$B,2,0),S197,1),"")</f>
        <v>F</v>
      </c>
      <c r="S197" s="3">
        <v>104</v>
      </c>
      <c r="T197" s="3" t="str">
        <f>IFERROR(MID(VLOOKUP($B197,Seqs!$A:$B,2,0),U197,1),"")</f>
        <v>G</v>
      </c>
      <c r="U197" s="3">
        <v>105</v>
      </c>
      <c r="V197" s="3" t="str">
        <f>IFERROR(MID(VLOOKUP($B197,Seqs!$A:$B,2,0),W197,1),"")</f>
        <v>H</v>
      </c>
      <c r="W197" s="3">
        <v>140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144</v>
      </c>
      <c r="AD197" s="3" t="str">
        <f>IFERROR(MID(VLOOKUP($B197,Seqs!$A:$B,2,0),AE197,1),"")</f>
        <v>A</v>
      </c>
      <c r="AE197" s="3">
        <v>175</v>
      </c>
      <c r="AF197" s="3" t="str">
        <f>IFERROR(MID(VLOOKUP($B197,Seqs!$A:$B,2,0),AG197,1),"")</f>
        <v>C</v>
      </c>
      <c r="AG197" s="3">
        <v>186</v>
      </c>
      <c r="AH197" s="3" t="str">
        <f>IFERROR(MID(VLOOKUP($B197,Seqs!$A:$B,2,0),AI197,1),"")</f>
        <v>R</v>
      </c>
      <c r="AI197" s="3">
        <v>188</v>
      </c>
      <c r="AJ197" s="3" t="str">
        <f>IFERROR(MID(VLOOKUP($B197,Seqs!$A:$B,2,0),AK197,1),"")</f>
        <v>D</v>
      </c>
      <c r="AK197" s="3">
        <v>193</v>
      </c>
      <c r="AL197" s="3" t="str">
        <f>IFERROR(MID(VLOOKUP($B197,Seqs!$A:$B,2,0),AM197,1),"")</f>
        <v>H</v>
      </c>
      <c r="AM197" s="3">
        <v>228</v>
      </c>
      <c r="AN197" s="3" t="str">
        <f>IFERROR(MID(VLOOKUP($B197,Seqs!$A:$B,2,0),AO197,1),"")</f>
        <v>K</v>
      </c>
      <c r="AO197" s="3">
        <v>239</v>
      </c>
      <c r="AP197" s="3" t="str">
        <f>IFERROR(MID(VLOOKUP($B197,Seqs!$A:$B,2,0),AQ197,1),"")</f>
        <v>E</v>
      </c>
      <c r="AQ197" s="3">
        <v>268</v>
      </c>
      <c r="AR197" s="3" t="str">
        <f>IFERROR(MID(VLOOKUP($B197,Seqs!$A:$B,2,0),AS197,1),"")</f>
        <v>G</v>
      </c>
      <c r="AS197" s="3">
        <v>273</v>
      </c>
      <c r="AT197" s="3" t="str">
        <f>IFERROR(MID(VLOOKUP($B197,Seqs!$A:$B,2,0),AU197,1),"")</f>
        <v>I</v>
      </c>
      <c r="AU197" s="3">
        <v>300</v>
      </c>
      <c r="AV197" s="3" t="str">
        <f>IFERROR(MID(VLOOKUP($B197,Seqs!$A:$B,2,0),AW197,1),"")</f>
        <v/>
      </c>
      <c r="AW197" s="3" t="s">
        <v>23</v>
      </c>
      <c r="AX197" s="3" t="str">
        <f>IFERROR(MID(VLOOKUP($B197,Seqs!$A:$B,2,0),AY197,1),"")</f>
        <v/>
      </c>
      <c r="AY197" s="3" t="s">
        <v>23</v>
      </c>
      <c r="AZ197" s="77" t="str">
        <f>VLOOKUP(B197,Classification!A:D,2,0)</f>
        <v>A</v>
      </c>
      <c r="BA197" s="94" t="str">
        <f>VLOOKUP(B197,Classification!A:D,4,0)</f>
        <v>Chemokine</v>
      </c>
      <c r="BB197" s="27" t="b">
        <f t="shared" si="952"/>
        <v>1</v>
      </c>
      <c r="BC197" s="23">
        <f t="shared" si="1372"/>
        <v>235</v>
      </c>
      <c r="BD197" s="4" t="s">
        <v>23</v>
      </c>
      <c r="BE197" s="3" t="s">
        <v>1374</v>
      </c>
      <c r="BF197" s="118">
        <v>2.9</v>
      </c>
      <c r="BG197" s="49" t="s">
        <v>1377</v>
      </c>
      <c r="BH197" s="49" t="s">
        <v>1377</v>
      </c>
      <c r="BI197" s="1"/>
      <c r="BJ197" s="70" t="s">
        <v>1287</v>
      </c>
      <c r="BK197" s="57" t="s">
        <v>1287</v>
      </c>
      <c r="BL197" s="57" t="s">
        <v>1287</v>
      </c>
      <c r="BM197" s="57" t="s">
        <v>1287</v>
      </c>
      <c r="BN197" s="57" t="s">
        <v>1287</v>
      </c>
      <c r="BO197" s="57" t="s">
        <v>1287</v>
      </c>
      <c r="BP197" s="57" t="s">
        <v>1287</v>
      </c>
      <c r="BQ197" s="57" t="s">
        <v>1287</v>
      </c>
      <c r="BR197" s="57" t="s">
        <v>1287</v>
      </c>
      <c r="BS197" s="57" t="s">
        <v>1287</v>
      </c>
      <c r="BT197" s="57" t="s">
        <v>1287</v>
      </c>
      <c r="BU197" s="57" t="s">
        <v>1287</v>
      </c>
      <c r="BV197" s="70">
        <f t="shared" si="1373"/>
        <v>34</v>
      </c>
      <c r="BW197" s="71" t="str">
        <f t="shared" si="1374"/>
        <v>-</v>
      </c>
      <c r="BX197" s="72">
        <f t="shared" si="1375"/>
        <v>71</v>
      </c>
      <c r="BY197" s="71">
        <f t="shared" si="1376"/>
        <v>101</v>
      </c>
      <c r="BZ197" s="72">
        <f t="shared" si="1377"/>
        <v>105</v>
      </c>
      <c r="CA197" s="71" t="str">
        <f t="shared" si="1378"/>
        <v>-</v>
      </c>
      <c r="CB197" s="72">
        <f t="shared" si="1379"/>
        <v>144</v>
      </c>
      <c r="CC197" s="71">
        <f t="shared" si="1380"/>
        <v>186</v>
      </c>
      <c r="CD197" s="72">
        <f t="shared" si="1381"/>
        <v>193</v>
      </c>
      <c r="CE197" s="71">
        <f t="shared" si="1382"/>
        <v>239</v>
      </c>
      <c r="CF197" s="72">
        <f t="shared" si="1383"/>
        <v>273</v>
      </c>
      <c r="CG197" s="71" t="str">
        <f t="shared" si="1384"/>
        <v>-</v>
      </c>
      <c r="CH197" s="70">
        <f t="shared" si="1385"/>
        <v>66</v>
      </c>
      <c r="CI197" s="71" t="str">
        <f t="shared" si="1386"/>
        <v>-</v>
      </c>
      <c r="CJ197" s="72">
        <f t="shared" si="1387"/>
        <v>100</v>
      </c>
      <c r="CK197" s="72">
        <f t="shared" si="1388"/>
        <v>104</v>
      </c>
      <c r="CL197" s="72">
        <f t="shared" si="1389"/>
        <v>140</v>
      </c>
      <c r="CM197" s="72" t="str">
        <f t="shared" si="1390"/>
        <v>-</v>
      </c>
      <c r="CN197" s="72">
        <f t="shared" si="1391"/>
        <v>175</v>
      </c>
      <c r="CO197" s="72">
        <f t="shared" si="1392"/>
        <v>188</v>
      </c>
      <c r="CP197" s="72">
        <f t="shared" si="1393"/>
        <v>228</v>
      </c>
      <c r="CQ197" s="72">
        <f t="shared" si="1394"/>
        <v>268</v>
      </c>
      <c r="CR197" s="72">
        <f t="shared" si="1395"/>
        <v>300</v>
      </c>
      <c r="CS197" s="72" t="str">
        <f t="shared" si="1396"/>
        <v>-</v>
      </c>
      <c r="CT197" s="23" t="e">
        <f t="shared" si="1397"/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x14ac:dyDescent="0.2">
      <c r="A198" s="3" t="str">
        <f t="shared" si="951"/>
        <v>cxcr4_human_4RWS</v>
      </c>
      <c r="B198" s="3" t="s">
        <v>1171</v>
      </c>
      <c r="C198" s="3" t="s">
        <v>1052</v>
      </c>
      <c r="D198" s="3" t="str">
        <f>IFERROR(MID(VLOOKUP($B198,Seqs!$A:$B,2,0),E198,1),"")</f>
        <v>R</v>
      </c>
      <c r="E198" s="3">
        <v>30</v>
      </c>
      <c r="F198" s="3" t="str">
        <f>IFERROR(MID(VLOOKUP($B198,Seqs!$A:$B,2,0),G198,1),"")</f>
        <v>Q</v>
      </c>
      <c r="G198" s="3">
        <v>66</v>
      </c>
      <c r="H198" s="3" t="str">
        <f>IFERROR(MID(VLOOKUP($B198,Seqs!$A:$B,2,0),I198,1),"")</f>
        <v/>
      </c>
      <c r="I198" s="23" t="s">
        <v>23</v>
      </c>
      <c r="J198" s="3" t="str">
        <f>IFERROR(MID(VLOOKUP($B198,Seqs!$A:$B,2,0),K198,1),"")</f>
        <v/>
      </c>
      <c r="K198" s="23" t="s">
        <v>23</v>
      </c>
      <c r="L198" s="3" t="str">
        <f>IFERROR(MID(VLOOKUP($B198,Seqs!$A:$B,2,0),M198,1),"")</f>
        <v>S</v>
      </c>
      <c r="M198" s="3">
        <v>71</v>
      </c>
      <c r="N198" s="3" t="str">
        <f>IFERROR(MID(VLOOKUP($B198,Seqs!$A:$B,2,0),O198,1),"")</f>
        <v>A</v>
      </c>
      <c r="O198" s="3">
        <v>100</v>
      </c>
      <c r="P198" s="3" t="str">
        <f>IFERROR(MID(VLOOKUP($B198,Seqs!$A:$B,2,0),Q198,1),"")</f>
        <v>N</v>
      </c>
      <c r="Q198" s="3">
        <v>101</v>
      </c>
      <c r="R198" s="3" t="str">
        <f>IFERROR(MID(VLOOKUP($B198,Seqs!$A:$B,2,0),S198,1),"")</f>
        <v>F</v>
      </c>
      <c r="S198" s="3">
        <v>104</v>
      </c>
      <c r="T198" s="3" t="str">
        <f>IFERROR(MID(VLOOKUP($B198,Seqs!$A:$B,2,0),U198,1),"")</f>
        <v>G</v>
      </c>
      <c r="U198" s="3">
        <v>105</v>
      </c>
      <c r="V198" s="3" t="str">
        <f>IFERROR(MID(VLOOKUP($B198,Seqs!$A:$B,2,0),W198,1),"")</f>
        <v>H</v>
      </c>
      <c r="W198" s="3">
        <v>140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144</v>
      </c>
      <c r="AD198" s="3" t="str">
        <f>IFERROR(MID(VLOOKUP($B198,Seqs!$A:$B,2,0),AE198,1),"")</f>
        <v>A</v>
      </c>
      <c r="AE198" s="3">
        <v>175</v>
      </c>
      <c r="AF198" s="3" t="str">
        <f>IFERROR(MID(VLOOKUP($B198,Seqs!$A:$B,2,0),AG198,1),"")</f>
        <v>C</v>
      </c>
      <c r="AG198" s="3">
        <v>186</v>
      </c>
      <c r="AH198" s="3" t="str">
        <f>IFERROR(MID(VLOOKUP($B198,Seqs!$A:$B,2,0),AI198,1),"")</f>
        <v>R</v>
      </c>
      <c r="AI198" s="3">
        <v>188</v>
      </c>
      <c r="AJ198" s="3" t="str">
        <f>IFERROR(MID(VLOOKUP($B198,Seqs!$A:$B,2,0),AK198,1),"")</f>
        <v>D</v>
      </c>
      <c r="AK198" s="3">
        <v>193</v>
      </c>
      <c r="AL198" s="3" t="str">
        <f>IFERROR(MID(VLOOKUP($B198,Seqs!$A:$B,2,0),AM198,1),"")</f>
        <v>S</v>
      </c>
      <c r="AM198" s="3">
        <v>227</v>
      </c>
      <c r="AN198" s="3" t="str">
        <f>IFERROR(MID(VLOOKUP($B198,Seqs!$A:$B,2,0),AO198,1),"")</f>
        <v>K</v>
      </c>
      <c r="AO198" s="3">
        <v>239</v>
      </c>
      <c r="AP198" s="3" t="str">
        <f>IFERROR(MID(VLOOKUP($B198,Seqs!$A:$B,2,0),AQ198,1),"")</f>
        <v>E</v>
      </c>
      <c r="AQ198" s="3">
        <v>268</v>
      </c>
      <c r="AR198" s="3" t="str">
        <f>IFERROR(MID(VLOOKUP($B198,Seqs!$A:$B,2,0),AS198,1),"")</f>
        <v>G</v>
      </c>
      <c r="AS198" s="3">
        <v>273</v>
      </c>
      <c r="AT198" s="3" t="str">
        <f>IFERROR(MID(VLOOKUP($B198,Seqs!$A:$B,2,0),AU198,1),"")</f>
        <v>I</v>
      </c>
      <c r="AU198" s="3">
        <v>300</v>
      </c>
      <c r="AV198" s="3" t="str">
        <f>IFERROR(MID(VLOOKUP($B198,Seqs!$A:$B,2,0),AW198,1),"")</f>
        <v/>
      </c>
      <c r="AW198" s="3" t="s">
        <v>23</v>
      </c>
      <c r="AX198" s="3" t="str">
        <f>IFERROR(MID(VLOOKUP($B198,Seqs!$A:$B,2,0),AY198,1),"")</f>
        <v/>
      </c>
      <c r="AY198" s="3" t="s">
        <v>23</v>
      </c>
      <c r="AZ198" s="77" t="str">
        <f>VLOOKUP(B198,Classification!A:D,2,0)</f>
        <v>A</v>
      </c>
      <c r="BA198" s="94" t="str">
        <f>VLOOKUP(B198,Classification!A:D,4,0)</f>
        <v>Chemokine</v>
      </c>
      <c r="BB198" s="27" t="b">
        <f t="shared" si="952"/>
        <v>1</v>
      </c>
      <c r="BC198" s="23">
        <f t="shared" si="1372"/>
        <v>238</v>
      </c>
      <c r="BD198" s="5" t="s">
        <v>23</v>
      </c>
      <c r="BE198" s="3" t="s">
        <v>1374</v>
      </c>
      <c r="BF198" s="118">
        <v>3.1</v>
      </c>
      <c r="BG198" s="49" t="s">
        <v>1377</v>
      </c>
      <c r="BH198" s="49" t="s">
        <v>1377</v>
      </c>
      <c r="BI198" s="1"/>
      <c r="BJ198" s="70" t="s">
        <v>1287</v>
      </c>
      <c r="BK198" s="57" t="s">
        <v>1287</v>
      </c>
      <c r="BL198" s="57" t="s">
        <v>1287</v>
      </c>
      <c r="BM198" s="57" t="s">
        <v>1287</v>
      </c>
      <c r="BN198" s="57" t="s">
        <v>1287</v>
      </c>
      <c r="BO198" s="57" t="s">
        <v>1287</v>
      </c>
      <c r="BP198" s="57" t="s">
        <v>1287</v>
      </c>
      <c r="BQ198" s="57" t="s">
        <v>1287</v>
      </c>
      <c r="BR198" s="57" t="s">
        <v>1287</v>
      </c>
      <c r="BS198" s="57" t="s">
        <v>1287</v>
      </c>
      <c r="BT198" s="57" t="s">
        <v>1287</v>
      </c>
      <c r="BU198" s="57" t="s">
        <v>1287</v>
      </c>
      <c r="BV198" s="70">
        <f t="shared" si="1373"/>
        <v>30</v>
      </c>
      <c r="BW198" s="71" t="str">
        <f t="shared" si="1374"/>
        <v>-</v>
      </c>
      <c r="BX198" s="72">
        <f t="shared" si="1375"/>
        <v>71</v>
      </c>
      <c r="BY198" s="71">
        <f t="shared" si="1376"/>
        <v>101</v>
      </c>
      <c r="BZ198" s="72">
        <f t="shared" si="1377"/>
        <v>105</v>
      </c>
      <c r="CA198" s="71" t="str">
        <f t="shared" si="1378"/>
        <v>-</v>
      </c>
      <c r="CB198" s="72">
        <f t="shared" si="1379"/>
        <v>144</v>
      </c>
      <c r="CC198" s="71">
        <f t="shared" si="1380"/>
        <v>186</v>
      </c>
      <c r="CD198" s="72">
        <f t="shared" si="1381"/>
        <v>193</v>
      </c>
      <c r="CE198" s="71">
        <f t="shared" si="1382"/>
        <v>239</v>
      </c>
      <c r="CF198" s="72">
        <f t="shared" si="1383"/>
        <v>273</v>
      </c>
      <c r="CG198" s="71" t="str">
        <f t="shared" si="1384"/>
        <v>-</v>
      </c>
      <c r="CH198" s="70">
        <f t="shared" si="1385"/>
        <v>66</v>
      </c>
      <c r="CI198" s="71" t="str">
        <f t="shared" si="1386"/>
        <v>-</v>
      </c>
      <c r="CJ198" s="72">
        <f t="shared" si="1387"/>
        <v>100</v>
      </c>
      <c r="CK198" s="72">
        <f t="shared" si="1388"/>
        <v>104</v>
      </c>
      <c r="CL198" s="72">
        <f t="shared" si="1389"/>
        <v>140</v>
      </c>
      <c r="CM198" s="72" t="str">
        <f t="shared" si="1390"/>
        <v>-</v>
      </c>
      <c r="CN198" s="72">
        <f t="shared" si="1391"/>
        <v>175</v>
      </c>
      <c r="CO198" s="72">
        <f t="shared" si="1392"/>
        <v>188</v>
      </c>
      <c r="CP198" s="72">
        <f t="shared" si="1393"/>
        <v>227</v>
      </c>
      <c r="CQ198" s="72">
        <f t="shared" si="1394"/>
        <v>268</v>
      </c>
      <c r="CR198" s="72">
        <f t="shared" si="1395"/>
        <v>300</v>
      </c>
      <c r="CS198" s="72" t="str">
        <f t="shared" si="1396"/>
        <v>-</v>
      </c>
      <c r="CT198" s="23" t="e">
        <f t="shared" si="1397"/>
        <v>#VALUE!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</row>
    <row r="199" spans="1:1029" x14ac:dyDescent="0.2">
      <c r="A199" s="3" t="str">
        <f>CONCATENATE(B199,"_",C199)</f>
        <v>drd2_human__wt</v>
      </c>
      <c r="B199" s="3" t="s">
        <v>191</v>
      </c>
      <c r="C199" s="3" t="s">
        <v>100</v>
      </c>
      <c r="D199" s="3" t="str">
        <f>IFERROR(MID(VLOOKUP($B199,Seqs!$A:$B,2,0),E199,1),"")</f>
        <v>R</v>
      </c>
      <c r="E199" s="3">
        <v>31</v>
      </c>
      <c r="F199" s="3" t="str">
        <f>IFERROR(MID(VLOOKUP($B199,Seqs!$A:$B,2,0),G199,1),"")</f>
        <v>E</v>
      </c>
      <c r="G199" s="3">
        <v>62</v>
      </c>
      <c r="H199" s="3" t="str">
        <f>IFERROR(MID(VLOOKUP($B199,Seqs!$A:$B,2,0),I199,1),"")</f>
        <v>K</v>
      </c>
      <c r="I199" s="23">
        <v>63</v>
      </c>
      <c r="J199" s="3" t="str">
        <f>IFERROR(MID(VLOOKUP($B199,Seqs!$A:$B,2,0),K199,1),"")</f>
        <v>Q</v>
      </c>
      <c r="K199" s="23">
        <v>66</v>
      </c>
      <c r="L199" s="3" t="str">
        <f>IFERROR(MID(VLOOKUP($B199,Seqs!$A:$B,2,0),M199,1),"")</f>
        <v>T</v>
      </c>
      <c r="M199" s="3">
        <v>67</v>
      </c>
      <c r="N199" s="3" t="str">
        <f>IFERROR(MID(VLOOKUP($B199,Seqs!$A:$B,2,0),O199,1),"")</f>
        <v>G</v>
      </c>
      <c r="O199" s="3">
        <v>98</v>
      </c>
      <c r="P199" s="3" t="str">
        <f>IFERROR(MID(VLOOKUP($B199,Seqs!$A:$B,2,0),Q199,1),"")</f>
        <v>E</v>
      </c>
      <c r="Q199" s="3">
        <v>99</v>
      </c>
      <c r="R199" s="3" t="str">
        <f>IFERROR(MID(VLOOKUP($B199,Seqs!$A:$B,2,0),S199,1),"")</f>
        <v>F</v>
      </c>
      <c r="S199" s="3">
        <v>102</v>
      </c>
      <c r="T199" s="3" t="str">
        <f>IFERROR(MID(VLOOKUP($B199,Seqs!$A:$B,2,0),U199,1),"")</f>
        <v>S</v>
      </c>
      <c r="U199" s="3">
        <v>103</v>
      </c>
      <c r="V199" s="3" t="str">
        <f>IFERROR(MID(VLOOKUP($B199,Seqs!$A:$B,2,0),W199,1),"")</f>
        <v>M</v>
      </c>
      <c r="W199" s="3">
        <v>138</v>
      </c>
      <c r="X199" s="3" t="str">
        <f>IFERROR(MID(VLOOKUP($B199,Seqs!$A:$B,2,0),Y199,1),"")</f>
        <v>P</v>
      </c>
      <c r="Y199" s="3">
        <v>139</v>
      </c>
      <c r="Z199" s="3" t="str">
        <f>IFERROR(MID(VLOOKUP($B199,Seqs!$A:$B,2,0),AA199,1),"")</f>
        <v>S</v>
      </c>
      <c r="AA199" s="3">
        <v>147</v>
      </c>
      <c r="AB199" s="3" t="str">
        <f>IFERROR(MID(VLOOKUP($B199,Seqs!$A:$B,2,0),AC199,1),"")</f>
        <v>S</v>
      </c>
      <c r="AC199" s="3">
        <v>148</v>
      </c>
      <c r="AD199" s="3" t="str">
        <f>IFERROR(MID(VLOOKUP($B199,Seqs!$A:$B,2,0),AE199,1),"")</f>
        <v>F</v>
      </c>
      <c r="AE199" s="3">
        <v>172</v>
      </c>
      <c r="AF199" s="3" t="str">
        <f>IFERROR(MID(VLOOKUP($B199,Seqs!$A:$B,2,0),AG199,1),"")</f>
        <v>C</v>
      </c>
      <c r="AG199" s="3">
        <v>182</v>
      </c>
      <c r="AH199" s="3" t="str">
        <f>IFERROR(MID(VLOOKUP($B199,Seqs!$A:$B,2,0),AI199,1),"")</f>
        <v>I</v>
      </c>
      <c r="AI199" s="3">
        <v>184</v>
      </c>
      <c r="AJ199" s="3" t="str">
        <f>IFERROR(MID(VLOOKUP($B199,Seqs!$A:$B,2,0),AK199,1),"")</f>
        <v>N</v>
      </c>
      <c r="AK199" s="3">
        <v>186</v>
      </c>
      <c r="AL199" s="3" t="str">
        <f>IFERROR(MID(VLOOKUP($B199,Seqs!$A:$B,2,0),AM199,1),"")</f>
        <v>K</v>
      </c>
      <c r="AM199" s="3">
        <v>226</v>
      </c>
      <c r="AN199" s="3" t="str">
        <f>IFERROR(MID(VLOOKUP($B199,Seqs!$A:$B,2,0),AO199,1),"")</f>
        <v>K</v>
      </c>
      <c r="AO199" s="3">
        <v>362</v>
      </c>
      <c r="AP199" s="3" t="str">
        <f>IFERROR(MID(VLOOKUP($B199,Seqs!$A:$B,2,0),AQ199,1),"")</f>
        <v>C</v>
      </c>
      <c r="AQ199" s="3">
        <v>399</v>
      </c>
      <c r="AR199" s="3" t="str">
        <f>IFERROR(MID(VLOOKUP($B199,Seqs!$A:$B,2,0),AS199,1),"")</f>
        <v>P</v>
      </c>
      <c r="AS199" s="3">
        <v>404</v>
      </c>
      <c r="AT199" s="3" t="str">
        <f>IFERROR(MID(VLOOKUP($B199,Seqs!$A:$B,2,0),AU199,1),"")</f>
        <v>F</v>
      </c>
      <c r="AU199" s="3">
        <v>429</v>
      </c>
      <c r="AV199" s="3" t="str">
        <f>IFERROR(MID(VLOOKUP($B199,Seqs!$A:$B,2,0),AW199,1),"")</f>
        <v>N</v>
      </c>
      <c r="AW199" s="3">
        <v>430</v>
      </c>
      <c r="AX199" s="3" t="str">
        <f>IFERROR(MID(VLOOKUP($B199,Seqs!$A:$B,2,0),AY199,1),"")</f>
        <v>H</v>
      </c>
      <c r="AY199" s="3">
        <v>442</v>
      </c>
      <c r="AZ199" s="77" t="str">
        <f>VLOOKUP(B199,Classification!A:D,2,0)</f>
        <v>A</v>
      </c>
      <c r="BA199" s="94" t="str">
        <f>VLOOKUP(B199,Classification!A:D,4,0)</f>
        <v>Dopamine</v>
      </c>
      <c r="BB199" s="27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23">
        <f>_xlfn.AGGREGATE(9,6,CH199:CS199)-_xlfn.AGGREGATE(9,6,BV199:CG199)+12</f>
        <v>263</v>
      </c>
      <c r="BD199" s="56" t="s">
        <v>23</v>
      </c>
      <c r="BE199" s="3" t="s">
        <v>23</v>
      </c>
      <c r="BF199" s="118" t="s">
        <v>23</v>
      </c>
      <c r="BG199" s="49" t="s">
        <v>1372</v>
      </c>
      <c r="BH199" s="49" t="s">
        <v>1377</v>
      </c>
      <c r="BI199" s="1"/>
      <c r="BJ199" s="70" t="s">
        <v>1287</v>
      </c>
      <c r="BK199" s="57" t="s">
        <v>1287</v>
      </c>
      <c r="BL199" s="57" t="s">
        <v>1287</v>
      </c>
      <c r="BM199" s="57" t="s">
        <v>1287</v>
      </c>
      <c r="BN199" s="57" t="s">
        <v>1287</v>
      </c>
      <c r="BO199" s="57" t="s">
        <v>1287</v>
      </c>
      <c r="BP199" s="57" t="s">
        <v>1287</v>
      </c>
      <c r="BQ199" s="57" t="s">
        <v>1287</v>
      </c>
      <c r="BR199" s="57" t="s">
        <v>1287</v>
      </c>
      <c r="BS199" s="57" t="s">
        <v>1287</v>
      </c>
      <c r="BT199" s="57" t="s">
        <v>1287</v>
      </c>
      <c r="BU199" s="57" t="s">
        <v>1287</v>
      </c>
      <c r="BV199" s="70">
        <f>E199</f>
        <v>31</v>
      </c>
      <c r="BW199" s="71">
        <f>I199</f>
        <v>63</v>
      </c>
      <c r="BX199" s="72">
        <f>M199</f>
        <v>67</v>
      </c>
      <c r="BY199" s="71">
        <f>Q199</f>
        <v>99</v>
      </c>
      <c r="BZ199" s="72">
        <f>U199</f>
        <v>103</v>
      </c>
      <c r="CA199" s="71">
        <f>Y199</f>
        <v>139</v>
      </c>
      <c r="CB199" s="72">
        <f>AC199</f>
        <v>148</v>
      </c>
      <c r="CC199" s="71">
        <f>AG199</f>
        <v>182</v>
      </c>
      <c r="CD199" s="72">
        <f>AK199</f>
        <v>186</v>
      </c>
      <c r="CE199" s="71">
        <f>AO199</f>
        <v>362</v>
      </c>
      <c r="CF199" s="72">
        <f>AS199</f>
        <v>404</v>
      </c>
      <c r="CG199" s="71">
        <f>AW199</f>
        <v>430</v>
      </c>
      <c r="CH199" s="70">
        <f>G199</f>
        <v>62</v>
      </c>
      <c r="CI199" s="71">
        <f>K199</f>
        <v>66</v>
      </c>
      <c r="CJ199" s="72">
        <f>O199</f>
        <v>98</v>
      </c>
      <c r="CK199" s="72">
        <f>S199</f>
        <v>102</v>
      </c>
      <c r="CL199" s="72">
        <f>W199</f>
        <v>138</v>
      </c>
      <c r="CM199" s="72">
        <f>AA199</f>
        <v>147</v>
      </c>
      <c r="CN199" s="72">
        <f>AE199</f>
        <v>172</v>
      </c>
      <c r="CO199" s="72">
        <f>AI199</f>
        <v>184</v>
      </c>
      <c r="CP199" s="72">
        <f>AM199</f>
        <v>226</v>
      </c>
      <c r="CQ199" s="72">
        <f>AQ199</f>
        <v>399</v>
      </c>
      <c r="CR199" s="72">
        <f>AU199</f>
        <v>429</v>
      </c>
      <c r="CS199" s="72">
        <f>AY199</f>
        <v>442</v>
      </c>
      <c r="CT199" s="23">
        <f>M199-K199</f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</row>
    <row r="200" spans="1:1029" x14ac:dyDescent="0.2">
      <c r="A200" s="3" t="str">
        <f>CONCATENATE(B200,"_",C200)</f>
        <v>drd2_human_6CM4</v>
      </c>
      <c r="B200" s="3" t="s">
        <v>191</v>
      </c>
      <c r="C200" s="3" t="s">
        <v>1476</v>
      </c>
      <c r="D200" s="3" t="str">
        <f>IFERROR(MID(VLOOKUP($B200,Seqs!$A:$B,2,0),E200,1),"")</f>
        <v>N</v>
      </c>
      <c r="E200" s="3">
        <v>35</v>
      </c>
      <c r="F200" s="3" t="str">
        <f>IFERROR(MID(VLOOKUP($B200,Seqs!$A:$B,2,0),G200,1),"")</f>
        <v>E</v>
      </c>
      <c r="G200" s="3">
        <v>62</v>
      </c>
      <c r="H200" s="3" t="str">
        <f>IFERROR(MID(VLOOKUP($B200,Seqs!$A:$B,2,0),I200,1),"")</f>
        <v>K</v>
      </c>
      <c r="I200" s="23">
        <v>63</v>
      </c>
      <c r="J200" s="3" t="str">
        <f>IFERROR(MID(VLOOKUP($B200,Seqs!$A:$B,2,0),K200,1),"")</f>
        <v>Q</v>
      </c>
      <c r="K200" s="23">
        <v>66</v>
      </c>
      <c r="L200" s="3" t="str">
        <f>IFERROR(MID(VLOOKUP($B200,Seqs!$A:$B,2,0),M200,1),"")</f>
        <v>T</v>
      </c>
      <c r="M200" s="3">
        <v>67</v>
      </c>
      <c r="N200" s="3" t="str">
        <f>IFERROR(MID(VLOOKUP($B200,Seqs!$A:$B,2,0),O200,1),"")</f>
        <v>G</v>
      </c>
      <c r="O200" s="3">
        <v>98</v>
      </c>
      <c r="P200" s="3" t="str">
        <f>IFERROR(MID(VLOOKUP($B200,Seqs!$A:$B,2,0),Q200,1),"")</f>
        <v>E</v>
      </c>
      <c r="Q200" s="3">
        <v>99</v>
      </c>
      <c r="R200" s="3" t="str">
        <f>IFERROR(MID(VLOOKUP($B200,Seqs!$A:$B,2,0),S200,1),"")</f>
        <v>F</v>
      </c>
      <c r="S200" s="3">
        <v>102</v>
      </c>
      <c r="T200" s="3" t="str">
        <f>IFERROR(MID(VLOOKUP($B200,Seqs!$A:$B,2,0),U200,1),"")</f>
        <v>S</v>
      </c>
      <c r="U200" s="3">
        <v>103</v>
      </c>
      <c r="V200" s="3" t="str">
        <f>IFERROR(MID(VLOOKUP($B200,Seqs!$A:$B,2,0),W200,1),"")</f>
        <v>M</v>
      </c>
      <c r="W200" s="3">
        <v>138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Y</v>
      </c>
      <c r="AC200" s="3">
        <v>146</v>
      </c>
      <c r="AD200" s="3" t="str">
        <f>IFERROR(MID(VLOOKUP($B200,Seqs!$A:$B,2,0),AE200,1),"")</f>
        <v>F</v>
      </c>
      <c r="AE200" s="3">
        <v>172</v>
      </c>
      <c r="AF200" s="3" t="str">
        <f>IFERROR(MID(VLOOKUP($B200,Seqs!$A:$B,2,0),AG200,1),"")</f>
        <v>C</v>
      </c>
      <c r="AG200" s="3">
        <v>182</v>
      </c>
      <c r="AH200" s="3" t="str">
        <f>IFERROR(MID(VLOOKUP($B200,Seqs!$A:$B,2,0),AI200,1),"")</f>
        <v>I</v>
      </c>
      <c r="AI200" s="3">
        <v>184</v>
      </c>
      <c r="AJ200" s="3" t="str">
        <f>IFERROR(MID(VLOOKUP($B200,Seqs!$A:$B,2,0),AK200,1),"")</f>
        <v>A</v>
      </c>
      <c r="AK200" s="3">
        <v>188</v>
      </c>
      <c r="AL200" s="3" t="str">
        <f>IFERROR(MID(VLOOKUP($B200,Seqs!$A:$B,2,0),AM200,1),"")</f>
        <v>R</v>
      </c>
      <c r="AM200" s="3">
        <v>222</v>
      </c>
      <c r="AN200" s="3" t="str">
        <f>IFERROR(MID(VLOOKUP($B200,Seqs!$A:$B,2,0),AO200,1),"")</f>
        <v>E</v>
      </c>
      <c r="AO200" s="3">
        <v>368</v>
      </c>
      <c r="AP200" s="3" t="str">
        <f>IFERROR(MID(VLOOKUP($B200,Seqs!$A:$B,2,0),AQ200,1),"")</f>
        <v>C</v>
      </c>
      <c r="AQ200" s="3">
        <v>399</v>
      </c>
      <c r="AR200" s="3" t="str">
        <f>IFERROR(MID(VLOOKUP($B200,Seqs!$A:$B,2,0),AS200,1),"")</f>
        <v>P</v>
      </c>
      <c r="AS200" s="3">
        <v>404</v>
      </c>
      <c r="AT200" s="3" t="str">
        <f>IFERROR(MID(VLOOKUP($B200,Seqs!$A:$B,2,0),AU200,1),"")</f>
        <v>F</v>
      </c>
      <c r="AU200" s="3">
        <v>429</v>
      </c>
      <c r="AV200" s="3" t="str">
        <f>IFERROR(MID(VLOOKUP($B200,Seqs!$A:$B,2,0),AW200,1),"")</f>
        <v>N</v>
      </c>
      <c r="AW200" s="3">
        <v>430</v>
      </c>
      <c r="AX200" s="3" t="str">
        <f>IFERROR(MID(VLOOKUP($B200,Seqs!$A:$B,2,0),AY200,1),"")</f>
        <v>H</v>
      </c>
      <c r="AY200" s="3">
        <v>442</v>
      </c>
      <c r="AZ200" s="77" t="str">
        <f>VLOOKUP(B200,Classification!A:D,2,0)</f>
        <v>A</v>
      </c>
      <c r="BA200" s="94" t="str">
        <f>VLOOKUP(B200,Classification!A:D,4,0)</f>
        <v>Dopamine</v>
      </c>
      <c r="BB200" s="27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23">
        <f>_xlfn.AGGREGATE(9,6,CH200:CS200)-_xlfn.AGGREGATE(9,6,BV200:CG200)+12</f>
        <v>241</v>
      </c>
      <c r="BD200" s="56" t="s">
        <v>1376</v>
      </c>
      <c r="BE200" s="3" t="s">
        <v>1374</v>
      </c>
      <c r="BF200" s="118">
        <v>2.87</v>
      </c>
      <c r="BG200" s="49" t="s">
        <v>1</v>
      </c>
      <c r="BH200" s="49" t="s">
        <v>1</v>
      </c>
      <c r="BI200" s="1"/>
      <c r="BJ200" s="70" t="s">
        <v>1287</v>
      </c>
      <c r="BK200" s="57" t="s">
        <v>1287</v>
      </c>
      <c r="BL200" s="57" t="s">
        <v>1287</v>
      </c>
      <c r="BM200" s="57" t="s">
        <v>1287</v>
      </c>
      <c r="BN200" s="57" t="s">
        <v>1287</v>
      </c>
      <c r="BO200" s="57" t="s">
        <v>1287</v>
      </c>
      <c r="BP200" s="57" t="s">
        <v>1287</v>
      </c>
      <c r="BQ200" s="57" t="s">
        <v>1287</v>
      </c>
      <c r="BR200" s="57" t="s">
        <v>1287</v>
      </c>
      <c r="BS200" s="57" t="s">
        <v>1287</v>
      </c>
      <c r="BT200" s="57" t="s">
        <v>1287</v>
      </c>
      <c r="BU200" s="57" t="s">
        <v>1287</v>
      </c>
      <c r="BV200" s="70">
        <f>E200</f>
        <v>35</v>
      </c>
      <c r="BW200" s="71">
        <f>I200</f>
        <v>63</v>
      </c>
      <c r="BX200" s="72">
        <f>M200</f>
        <v>67</v>
      </c>
      <c r="BY200" s="71">
        <f>Q200</f>
        <v>99</v>
      </c>
      <c r="BZ200" s="72">
        <f>U200</f>
        <v>103</v>
      </c>
      <c r="CA200" s="71" t="str">
        <f>Y200</f>
        <v>-</v>
      </c>
      <c r="CB200" s="72">
        <f>AC200</f>
        <v>146</v>
      </c>
      <c r="CC200" s="71">
        <f>AG200</f>
        <v>182</v>
      </c>
      <c r="CD200" s="72">
        <f>AK200</f>
        <v>188</v>
      </c>
      <c r="CE200" s="71">
        <f>AO200</f>
        <v>368</v>
      </c>
      <c r="CF200" s="72">
        <f>AS200</f>
        <v>404</v>
      </c>
      <c r="CG200" s="71">
        <f>AW200</f>
        <v>430</v>
      </c>
      <c r="CH200" s="70">
        <f>G200</f>
        <v>62</v>
      </c>
      <c r="CI200" s="71">
        <f>K200</f>
        <v>66</v>
      </c>
      <c r="CJ200" s="72">
        <f>O200</f>
        <v>98</v>
      </c>
      <c r="CK200" s="72">
        <f>S200</f>
        <v>102</v>
      </c>
      <c r="CL200" s="72">
        <f>W200</f>
        <v>138</v>
      </c>
      <c r="CM200" s="72" t="str">
        <f>AA200</f>
        <v>-</v>
      </c>
      <c r="CN200" s="72">
        <f>AE200</f>
        <v>172</v>
      </c>
      <c r="CO200" s="72">
        <f>AI200</f>
        <v>184</v>
      </c>
      <c r="CP200" s="72">
        <f>AM200</f>
        <v>222</v>
      </c>
      <c r="CQ200" s="72">
        <f>AQ200</f>
        <v>399</v>
      </c>
      <c r="CR200" s="72">
        <f>AU200</f>
        <v>429</v>
      </c>
      <c r="CS200" s="72">
        <f>AY200</f>
        <v>442</v>
      </c>
      <c r="CT200" s="23">
        <f>M200-K200</f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</row>
    <row r="201" spans="1:1029" x14ac:dyDescent="0.2">
      <c r="A201" s="3" t="str">
        <f t="shared" si="951"/>
        <v>drd3_human__wt</v>
      </c>
      <c r="B201" s="3" t="s">
        <v>192</v>
      </c>
      <c r="C201" s="3" t="s">
        <v>100</v>
      </c>
      <c r="D201" s="3" t="str">
        <f>IFERROR(MID(VLOOKUP($B201,Seqs!$A:$B,2,0),E201,1),"")</f>
        <v>A</v>
      </c>
      <c r="E201" s="3">
        <v>26</v>
      </c>
      <c r="F201" s="3" t="str">
        <f>IFERROR(MID(VLOOKUP($B201,Seqs!$A:$B,2,0),G201,1),"")</f>
        <v>E</v>
      </c>
      <c r="G201" s="3">
        <v>57</v>
      </c>
      <c r="H201" s="3" t="str">
        <f>IFERROR(MID(VLOOKUP($B201,Seqs!$A:$B,2,0),I201,1),"")</f>
        <v>R</v>
      </c>
      <c r="I201" s="23">
        <v>58</v>
      </c>
      <c r="J201" s="3" t="str">
        <f>IFERROR(MID(VLOOKUP($B201,Seqs!$A:$B,2,0),K201,1),"")</f>
        <v>Q</v>
      </c>
      <c r="K201" s="23">
        <v>61</v>
      </c>
      <c r="L201" s="3" t="str">
        <f>IFERROR(MID(VLOOKUP($B201,Seqs!$A:$B,2,0),M201,1),"")</f>
        <v>T</v>
      </c>
      <c r="M201" s="3">
        <v>62</v>
      </c>
      <c r="N201" s="3" t="str">
        <f>IFERROR(MID(VLOOKUP($B201,Seqs!$A:$B,2,0),O201,1),"")</f>
        <v>T</v>
      </c>
      <c r="O201" s="3">
        <v>92</v>
      </c>
      <c r="P201" s="3" t="str">
        <f>IFERROR(MID(VLOOKUP($B201,Seqs!$A:$B,2,0),Q201,1),"")</f>
        <v>V</v>
      </c>
      <c r="Q201" s="3">
        <v>95</v>
      </c>
      <c r="R201" s="3" t="str">
        <f>IFERROR(MID(VLOOKUP($B201,Seqs!$A:$B,2,0),S201,1),"")</f>
        <v>F</v>
      </c>
      <c r="S201" s="3">
        <v>98</v>
      </c>
      <c r="T201" s="3" t="str">
        <f>IFERROR(MID(VLOOKUP($B201,Seqs!$A:$B,2,0),U201,1),"")</f>
        <v>S</v>
      </c>
      <c r="U201" s="3">
        <v>99</v>
      </c>
      <c r="V201" s="3" t="str">
        <f>IFERROR(MID(VLOOKUP($B201,Seqs!$A:$B,2,0),W201,1),"")</f>
        <v>M</v>
      </c>
      <c r="W201" s="3">
        <v>134</v>
      </c>
      <c r="X201" s="3" t="str">
        <f>IFERROR(MID(VLOOKUP($B201,Seqs!$A:$B,2,0),Y201,1),"")</f>
        <v>P</v>
      </c>
      <c r="Y201" s="3">
        <v>135</v>
      </c>
      <c r="Z201" s="3" t="str">
        <f>IFERROR(MID(VLOOKUP($B201,Seqs!$A:$B,2,0),AA201,1),"")</f>
        <v>G</v>
      </c>
      <c r="AA201" s="3">
        <v>143</v>
      </c>
      <c r="AB201" s="3" t="str">
        <f>IFERROR(MID(VLOOKUP($B201,Seqs!$A:$B,2,0),AC201,1),"")</f>
        <v>S</v>
      </c>
      <c r="AC201" s="3">
        <v>146</v>
      </c>
      <c r="AD201" s="3" t="str">
        <f>IFERROR(MID(VLOOKUP($B201,Seqs!$A:$B,2,0),AE201,1),"")</f>
        <v>G</v>
      </c>
      <c r="AE201" s="3">
        <v>171</v>
      </c>
      <c r="AF201" s="3" t="str">
        <f>IFERROR(MID(VLOOKUP($B201,Seqs!$A:$B,2,0),AG201,1),"")</f>
        <v>C</v>
      </c>
      <c r="AG201" s="3">
        <v>181</v>
      </c>
      <c r="AH201" s="3" t="str">
        <f>IFERROR(MID(VLOOKUP($B201,Seqs!$A:$B,2,0),AI201,1),"")</f>
        <v>I</v>
      </c>
      <c r="AI201" s="3">
        <v>183</v>
      </c>
      <c r="AJ201" s="3" t="str">
        <f>IFERROR(MID(VLOOKUP($B201,Seqs!$A:$B,2,0),AK201,1),"")</f>
        <v>N</v>
      </c>
      <c r="AK201" s="3">
        <v>185</v>
      </c>
      <c r="AL201" s="3" t="str">
        <f>IFERROR(MID(VLOOKUP($B201,Seqs!$A:$B,2,0),AM201,1),"")</f>
        <v>R</v>
      </c>
      <c r="AM201" s="3">
        <v>226</v>
      </c>
      <c r="AN201" s="3" t="str">
        <f>IFERROR(MID(VLOOKUP($B201,Seqs!$A:$B,2,0),AO201,1),"")</f>
        <v>R</v>
      </c>
      <c r="AO201" s="3">
        <v>318</v>
      </c>
      <c r="AP201" s="3" t="str">
        <f>IFERROR(MID(VLOOKUP($B201,Seqs!$A:$B,2,0),AQ201,1),"")</f>
        <v>H</v>
      </c>
      <c r="AQ201" s="3">
        <v>354</v>
      </c>
      <c r="AR201" s="3" t="str">
        <f>IFERROR(MID(VLOOKUP($B201,Seqs!$A:$B,2,0),AS201,1),"")</f>
        <v>S</v>
      </c>
      <c r="AS201" s="3">
        <v>361</v>
      </c>
      <c r="AT201" s="3" t="str">
        <f>IFERROR(MID(VLOOKUP($B201,Seqs!$A:$B,2,0),AU201,1),"")</f>
        <v>F</v>
      </c>
      <c r="AU201" s="3">
        <v>386</v>
      </c>
      <c r="AV201" s="3" t="str">
        <f>IFERROR(MID(VLOOKUP($B201,Seqs!$A:$B,2,0),AW201,1),"")</f>
        <v>N</v>
      </c>
      <c r="AW201" s="3">
        <v>387</v>
      </c>
      <c r="AX201" s="3" t="str">
        <f>IFERROR(MID(VLOOKUP($B201,Seqs!$A:$B,2,0),AY201,1),"")</f>
        <v>S</v>
      </c>
      <c r="AY201" s="3">
        <v>399</v>
      </c>
      <c r="AZ201" s="77" t="str">
        <f>VLOOKUP(B201,Classification!A:D,2,0)</f>
        <v>A</v>
      </c>
      <c r="BA201" s="94" t="str">
        <f>VLOOKUP(B201,Classification!A:D,4,0)</f>
        <v>Dopamine</v>
      </c>
      <c r="BB201" s="27" t="b">
        <f t="shared" si="952"/>
        <v>1</v>
      </c>
      <c r="BC201" s="23">
        <f t="shared" si="1372"/>
        <v>263</v>
      </c>
      <c r="BD201" s="56" t="s">
        <v>23</v>
      </c>
      <c r="BE201" s="3" t="s">
        <v>23</v>
      </c>
      <c r="BF201" s="118" t="s">
        <v>23</v>
      </c>
      <c r="BG201" s="49" t="s">
        <v>1372</v>
      </c>
      <c r="BH201" s="49" t="s">
        <v>1377</v>
      </c>
      <c r="BI201" s="1"/>
      <c r="BJ201" s="70" t="s">
        <v>1287</v>
      </c>
      <c r="BK201" s="57" t="s">
        <v>1287</v>
      </c>
      <c r="BL201" s="57" t="s">
        <v>1287</v>
      </c>
      <c r="BM201" s="57" t="s">
        <v>1287</v>
      </c>
      <c r="BN201" s="57" t="s">
        <v>1287</v>
      </c>
      <c r="BO201" s="57" t="s">
        <v>1287</v>
      </c>
      <c r="BP201" s="57" t="s">
        <v>1287</v>
      </c>
      <c r="BQ201" s="57" t="s">
        <v>1287</v>
      </c>
      <c r="BR201" s="57" t="s">
        <v>1287</v>
      </c>
      <c r="BS201" s="57" t="s">
        <v>1287</v>
      </c>
      <c r="BT201" s="57" t="s">
        <v>1287</v>
      </c>
      <c r="BU201" s="57" t="s">
        <v>1287</v>
      </c>
      <c r="BV201" s="70">
        <f t="shared" si="1373"/>
        <v>26</v>
      </c>
      <c r="BW201" s="71">
        <f t="shared" si="1374"/>
        <v>58</v>
      </c>
      <c r="BX201" s="72">
        <f t="shared" si="1375"/>
        <v>62</v>
      </c>
      <c r="BY201" s="71">
        <f t="shared" si="1376"/>
        <v>95</v>
      </c>
      <c r="BZ201" s="72">
        <f t="shared" si="1377"/>
        <v>99</v>
      </c>
      <c r="CA201" s="71">
        <f t="shared" si="1378"/>
        <v>135</v>
      </c>
      <c r="CB201" s="72">
        <f t="shared" si="1379"/>
        <v>146</v>
      </c>
      <c r="CC201" s="71">
        <f t="shared" si="1380"/>
        <v>181</v>
      </c>
      <c r="CD201" s="72">
        <f t="shared" si="1381"/>
        <v>185</v>
      </c>
      <c r="CE201" s="71">
        <f t="shared" si="1382"/>
        <v>318</v>
      </c>
      <c r="CF201" s="72">
        <f t="shared" si="1383"/>
        <v>361</v>
      </c>
      <c r="CG201" s="71">
        <f t="shared" si="1384"/>
        <v>387</v>
      </c>
      <c r="CH201" s="70">
        <f t="shared" si="1385"/>
        <v>57</v>
      </c>
      <c r="CI201" s="71">
        <f t="shared" si="1386"/>
        <v>61</v>
      </c>
      <c r="CJ201" s="72">
        <f t="shared" si="1387"/>
        <v>92</v>
      </c>
      <c r="CK201" s="72">
        <f t="shared" si="1388"/>
        <v>98</v>
      </c>
      <c r="CL201" s="72">
        <f t="shared" si="1389"/>
        <v>134</v>
      </c>
      <c r="CM201" s="72">
        <f t="shared" si="1390"/>
        <v>143</v>
      </c>
      <c r="CN201" s="72">
        <f t="shared" si="1391"/>
        <v>171</v>
      </c>
      <c r="CO201" s="72">
        <f t="shared" si="1392"/>
        <v>183</v>
      </c>
      <c r="CP201" s="72">
        <f t="shared" si="1393"/>
        <v>226</v>
      </c>
      <c r="CQ201" s="72">
        <f t="shared" si="1394"/>
        <v>354</v>
      </c>
      <c r="CR201" s="72">
        <f t="shared" si="1395"/>
        <v>386</v>
      </c>
      <c r="CS201" s="72">
        <f t="shared" si="1396"/>
        <v>399</v>
      </c>
      <c r="CT201" s="23">
        <f t="shared" si="1397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951"/>
        <v>drd3_human_3PBL</v>
      </c>
      <c r="B202" s="3" t="s">
        <v>192</v>
      </c>
      <c r="C202" s="3" t="s">
        <v>72</v>
      </c>
      <c r="D202" s="3" t="str">
        <f>IFERROR(MID(VLOOKUP($B202,Seqs!$A:$B,2,0),E202,1),"")</f>
        <v>Y</v>
      </c>
      <c r="E202" s="3">
        <v>32</v>
      </c>
      <c r="F202" s="3" t="str">
        <f>IFERROR(MID(VLOOKUP($B202,Seqs!$A:$B,2,0),G202,1),"")</f>
        <v>E</v>
      </c>
      <c r="G202" s="3">
        <v>57</v>
      </c>
      <c r="H202" s="3" t="str">
        <f>IFERROR(MID(VLOOKUP($B202,Seqs!$A:$B,2,0),I202,1),"")</f>
        <v>R</v>
      </c>
      <c r="I202" s="23">
        <v>58</v>
      </c>
      <c r="J202" s="3" t="str">
        <f>IFERROR(MID(VLOOKUP($B202,Seqs!$A:$B,2,0),K202,1),"")</f>
        <v>Q</v>
      </c>
      <c r="K202" s="23">
        <v>61</v>
      </c>
      <c r="L202" s="3" t="str">
        <f>IFERROR(MID(VLOOKUP($B202,Seqs!$A:$B,2,0),M202,1),"")</f>
        <v>T</v>
      </c>
      <c r="M202" s="3">
        <v>62</v>
      </c>
      <c r="N202" s="3" t="str">
        <f>IFERROR(MID(VLOOKUP($B202,Seqs!$A:$B,2,0),O202,1),"")</f>
        <v>T</v>
      </c>
      <c r="O202" s="3">
        <v>92</v>
      </c>
      <c r="P202" s="3" t="str">
        <f>IFERROR(MID(VLOOKUP($B202,Seqs!$A:$B,2,0),Q202,1),"")</f>
        <v>V</v>
      </c>
      <c r="Q202" s="3">
        <v>95</v>
      </c>
      <c r="R202" s="3" t="str">
        <f>IFERROR(MID(VLOOKUP($B202,Seqs!$A:$B,2,0),S202,1),"")</f>
        <v>F</v>
      </c>
      <c r="S202" s="3">
        <v>98</v>
      </c>
      <c r="T202" s="3" t="str">
        <f>IFERROR(MID(VLOOKUP($B202,Seqs!$A:$B,2,0),U202,1),"")</f>
        <v>S</v>
      </c>
      <c r="U202" s="3">
        <v>99</v>
      </c>
      <c r="V202" s="3" t="str">
        <f>IFERROR(MID(VLOOKUP($B202,Seqs!$A:$B,2,0),W202,1),"")</f>
        <v>M</v>
      </c>
      <c r="W202" s="3">
        <v>134</v>
      </c>
      <c r="X202" s="3" t="str">
        <f>IFERROR(MID(VLOOKUP($B202,Seqs!$A:$B,2,0),Y202,1),"")</f>
        <v>P</v>
      </c>
      <c r="Y202" s="3">
        <v>135</v>
      </c>
      <c r="Z202" s="3" t="str">
        <f>IFERROR(MID(VLOOKUP($B202,Seqs!$A:$B,2,0),AA202,1),"")</f>
        <v>G</v>
      </c>
      <c r="AA202" s="3">
        <v>143</v>
      </c>
      <c r="AB202" s="3" t="str">
        <f>IFERROR(MID(VLOOKUP($B202,Seqs!$A:$B,2,0),AC202,1),"")</f>
        <v>S</v>
      </c>
      <c r="AC202" s="3">
        <v>146</v>
      </c>
      <c r="AD202" s="3" t="str">
        <f>IFERROR(MID(VLOOKUP($B202,Seqs!$A:$B,2,0),AE202,1),"")</f>
        <v>G</v>
      </c>
      <c r="AE202" s="3">
        <v>171</v>
      </c>
      <c r="AF202" s="3" t="str">
        <f>IFERROR(MID(VLOOKUP($B202,Seqs!$A:$B,2,0),AG202,1),"")</f>
        <v>C</v>
      </c>
      <c r="AG202" s="3">
        <v>181</v>
      </c>
      <c r="AH202" s="3" t="str">
        <f>IFERROR(MID(VLOOKUP($B202,Seqs!$A:$B,2,0),AI202,1),"")</f>
        <v>I</v>
      </c>
      <c r="AI202" s="3">
        <v>183</v>
      </c>
      <c r="AJ202" s="3" t="str">
        <f>IFERROR(MID(VLOOKUP($B202,Seqs!$A:$B,2,0),AK202,1),"")</f>
        <v>N</v>
      </c>
      <c r="AK202" s="3">
        <v>185</v>
      </c>
      <c r="AL202" s="3" t="str">
        <f>IFERROR(MID(VLOOKUP($B202,Seqs!$A:$B,2,0),AM202,1),"")</f>
        <v>K</v>
      </c>
      <c r="AM202" s="3">
        <v>216</v>
      </c>
      <c r="AN202" s="3" t="str">
        <f>IFERROR(MID(VLOOKUP($B202,Seqs!$A:$B,2,0),AO202,1),"")</f>
        <v>R</v>
      </c>
      <c r="AO202" s="3">
        <v>323</v>
      </c>
      <c r="AP202" s="3" t="str">
        <f>IFERROR(MID(VLOOKUP($B202,Seqs!$A:$B,2,0),AQ202,1),"")</f>
        <v>H</v>
      </c>
      <c r="AQ202" s="3">
        <v>354</v>
      </c>
      <c r="AR202" s="3" t="str">
        <f>IFERROR(MID(VLOOKUP($B202,Seqs!$A:$B,2,0),AS202,1),"")</f>
        <v>S</v>
      </c>
      <c r="AS202" s="3">
        <v>361</v>
      </c>
      <c r="AT202" s="3" t="str">
        <f>IFERROR(MID(VLOOKUP($B202,Seqs!$A:$B,2,0),AU202,1),"")</f>
        <v>F</v>
      </c>
      <c r="AU202" s="3">
        <v>386</v>
      </c>
      <c r="AV202" s="3" t="str">
        <f>IFERROR(MID(VLOOKUP($B202,Seqs!$A:$B,2,0),AW202,1),"")</f>
        <v>N</v>
      </c>
      <c r="AW202" s="3">
        <v>387</v>
      </c>
      <c r="AX202" s="3" t="str">
        <f>IFERROR(MID(VLOOKUP($B202,Seqs!$A:$B,2,0),AY202,1),"")</f>
        <v>S</v>
      </c>
      <c r="AY202" s="3">
        <v>399</v>
      </c>
      <c r="AZ202" s="77" t="str">
        <f>VLOOKUP(B202,Classification!A:D,2,0)</f>
        <v>A</v>
      </c>
      <c r="BA202" s="94" t="str">
        <f>VLOOKUP(B202,Classification!A:D,4,0)</f>
        <v>Dopamine</v>
      </c>
      <c r="BB202" s="27" t="b">
        <f t="shared" si="952"/>
        <v>1</v>
      </c>
      <c r="BC202" s="23">
        <f t="shared" si="1372"/>
        <v>242</v>
      </c>
      <c r="BD202" s="2" t="s">
        <v>1376</v>
      </c>
      <c r="BE202" s="3" t="s">
        <v>1374</v>
      </c>
      <c r="BF202" s="118">
        <v>2.89</v>
      </c>
      <c r="BG202" s="49" t="s">
        <v>1377</v>
      </c>
      <c r="BH202" s="49" t="s">
        <v>1377</v>
      </c>
      <c r="BI202" s="1"/>
      <c r="BJ202" s="70" t="s">
        <v>1287</v>
      </c>
      <c r="BK202" s="57" t="s">
        <v>1287</v>
      </c>
      <c r="BL202" s="57" t="s">
        <v>1287</v>
      </c>
      <c r="BM202" s="57" t="s">
        <v>1287</v>
      </c>
      <c r="BN202" s="57" t="s">
        <v>1287</v>
      </c>
      <c r="BO202" s="57" t="s">
        <v>1287</v>
      </c>
      <c r="BP202" s="57" t="s">
        <v>1287</v>
      </c>
      <c r="BQ202" s="57" t="s">
        <v>1287</v>
      </c>
      <c r="BR202" s="57" t="s">
        <v>1287</v>
      </c>
      <c r="BS202" s="57" t="s">
        <v>1287</v>
      </c>
      <c r="BT202" s="57" t="s">
        <v>1287</v>
      </c>
      <c r="BU202" s="57" t="s">
        <v>1287</v>
      </c>
      <c r="BV202" s="70">
        <f t="shared" si="1373"/>
        <v>32</v>
      </c>
      <c r="BW202" s="71">
        <f t="shared" si="1374"/>
        <v>58</v>
      </c>
      <c r="BX202" s="72">
        <f t="shared" si="1375"/>
        <v>62</v>
      </c>
      <c r="BY202" s="71">
        <f t="shared" si="1376"/>
        <v>95</v>
      </c>
      <c r="BZ202" s="72">
        <f t="shared" si="1377"/>
        <v>99</v>
      </c>
      <c r="CA202" s="71">
        <f t="shared" si="1378"/>
        <v>135</v>
      </c>
      <c r="CB202" s="72">
        <f t="shared" si="1379"/>
        <v>146</v>
      </c>
      <c r="CC202" s="71">
        <f t="shared" si="1380"/>
        <v>181</v>
      </c>
      <c r="CD202" s="72">
        <f t="shared" si="1381"/>
        <v>185</v>
      </c>
      <c r="CE202" s="71">
        <f t="shared" si="1382"/>
        <v>323</v>
      </c>
      <c r="CF202" s="72">
        <f t="shared" si="1383"/>
        <v>361</v>
      </c>
      <c r="CG202" s="71">
        <f t="shared" si="1384"/>
        <v>387</v>
      </c>
      <c r="CH202" s="70">
        <f t="shared" si="1385"/>
        <v>57</v>
      </c>
      <c r="CI202" s="71">
        <f t="shared" si="1386"/>
        <v>61</v>
      </c>
      <c r="CJ202" s="72">
        <f t="shared" si="1387"/>
        <v>92</v>
      </c>
      <c r="CK202" s="72">
        <f t="shared" si="1388"/>
        <v>98</v>
      </c>
      <c r="CL202" s="72">
        <f t="shared" si="1389"/>
        <v>134</v>
      </c>
      <c r="CM202" s="72">
        <f t="shared" si="1390"/>
        <v>143</v>
      </c>
      <c r="CN202" s="72">
        <f t="shared" si="1391"/>
        <v>171</v>
      </c>
      <c r="CO202" s="72">
        <f t="shared" si="1392"/>
        <v>183</v>
      </c>
      <c r="CP202" s="72">
        <f t="shared" si="1393"/>
        <v>216</v>
      </c>
      <c r="CQ202" s="72">
        <f t="shared" si="1394"/>
        <v>354</v>
      </c>
      <c r="CR202" s="72">
        <f t="shared" si="1395"/>
        <v>386</v>
      </c>
      <c r="CS202" s="72">
        <f t="shared" si="1396"/>
        <v>399</v>
      </c>
      <c r="CT202" s="23">
        <f t="shared" si="1397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>CONCATENATE(B203,"_",C203)</f>
        <v>drd4_human__wt</v>
      </c>
      <c r="B203" s="3" t="s">
        <v>193</v>
      </c>
      <c r="C203" s="3" t="s">
        <v>100</v>
      </c>
      <c r="D203" s="3" t="str">
        <f>IFERROR(MID(VLOOKUP($B203,Seqs!$A:$B,2,0),E203,1),"")</f>
        <v>A</v>
      </c>
      <c r="E203" s="3">
        <v>31</v>
      </c>
      <c r="F203" s="3" t="str">
        <f>IFERROR(MID(VLOOKUP($B203,Seqs!$A:$B,2,0),G203,1),"")</f>
        <v>E</v>
      </c>
      <c r="G203" s="3">
        <v>62</v>
      </c>
      <c r="H203" s="3" t="str">
        <f>IFERROR(MID(VLOOKUP($B203,Seqs!$A:$B,2,0),I203,1),"")</f>
        <v>R</v>
      </c>
      <c r="I203" s="23">
        <v>63</v>
      </c>
      <c r="J203" s="3" t="str">
        <f>IFERROR(MID(VLOOKUP($B203,Seqs!$A:$B,2,0),K203,1),"")</f>
        <v>Q</v>
      </c>
      <c r="K203" s="23">
        <v>66</v>
      </c>
      <c r="L203" s="3" t="str">
        <f>IFERROR(MID(VLOOKUP($B203,Seqs!$A:$B,2,0),M203,1),"")</f>
        <v>T</v>
      </c>
      <c r="M203" s="3">
        <v>67</v>
      </c>
      <c r="N203" s="3" t="str">
        <f>IFERROR(MID(VLOOKUP($B203,Seqs!$A:$B,2,0),O203,1),"")</f>
        <v>Q</v>
      </c>
      <c r="O203" s="3">
        <v>97</v>
      </c>
      <c r="P203" s="3" t="str">
        <f>IFERROR(MID(VLOOKUP($B203,Seqs!$A:$B,2,0),Q203,1),"")</f>
        <v>A</v>
      </c>
      <c r="Q203" s="3">
        <v>100</v>
      </c>
      <c r="R203" s="3" t="str">
        <f>IFERROR(MID(VLOOKUP($B203,Seqs!$A:$B,2,0),S203,1),"")</f>
        <v>L</v>
      </c>
      <c r="S203" s="3">
        <v>103</v>
      </c>
      <c r="T203" s="3" t="str">
        <f>IFERROR(MID(VLOOKUP($B203,Seqs!$A:$B,2,0),U203,1),"")</f>
        <v>S</v>
      </c>
      <c r="U203" s="3">
        <v>104</v>
      </c>
      <c r="V203" s="3" t="str">
        <f>IFERROR(MID(VLOOKUP($B203,Seqs!$A:$B,2,0),W203,1),"")</f>
        <v>V</v>
      </c>
      <c r="W203" s="3">
        <v>139</v>
      </c>
      <c r="X203" s="3" t="str">
        <f>IFERROR(MID(VLOOKUP($B203,Seqs!$A:$B,2,0),Y203,1),"")</f>
        <v>P</v>
      </c>
      <c r="Y203" s="3">
        <v>140</v>
      </c>
      <c r="Z203" s="3" t="str">
        <f>IFERROR(MID(VLOOKUP($B203,Seqs!$A:$B,2,0),AA203,1),"")</f>
        <v>G</v>
      </c>
      <c r="AA203" s="3">
        <v>147</v>
      </c>
      <c r="AB203" s="3" t="str">
        <f>IFERROR(MID(VLOOKUP($B203,Seqs!$A:$B,2,0),AC203,1),"")</f>
        <v>G</v>
      </c>
      <c r="AC203" s="3">
        <v>148</v>
      </c>
      <c r="AD203" s="3" t="str">
        <f>IFERROR(MID(VLOOKUP($B203,Seqs!$A:$B,2,0),AE203,1),"")</f>
        <v>G</v>
      </c>
      <c r="AE203" s="3">
        <v>173</v>
      </c>
      <c r="AF203" s="3" t="str">
        <f>IFERROR(MID(VLOOKUP($B203,Seqs!$A:$B,2,0),AG203,1),"")</f>
        <v>C</v>
      </c>
      <c r="AG203" s="3">
        <v>185</v>
      </c>
      <c r="AH203" s="3" t="str">
        <f>IFERROR(MID(VLOOKUP($B203,Seqs!$A:$B,2,0),AI203,1),"")</f>
        <v>L</v>
      </c>
      <c r="AI203" s="3">
        <v>187</v>
      </c>
      <c r="AJ203" s="3" t="str">
        <f>IFERROR(MID(VLOOKUP($B203,Seqs!$A:$B,2,0),AK203,1),"")</f>
        <v>D</v>
      </c>
      <c r="AK203" s="3">
        <v>189</v>
      </c>
      <c r="AL203" s="3" t="str">
        <f>IFERROR(MID(VLOOKUP($B203,Seqs!$A:$B,2,0),AM203,1),"")</f>
        <v>K</v>
      </c>
      <c r="AM203" s="3">
        <v>229</v>
      </c>
      <c r="AN203" s="3" t="str">
        <f>IFERROR(MID(VLOOKUP($B203,Seqs!$A:$B,2,0),AO203,1),"")</f>
        <v>A</v>
      </c>
      <c r="AO203" s="3">
        <v>383</v>
      </c>
      <c r="AP203" s="3" t="str">
        <f>IFERROR(MID(VLOOKUP($B203,Seqs!$A:$B,2,0),AQ203,1),"")</f>
        <v>C</v>
      </c>
      <c r="AQ203" s="3">
        <v>420</v>
      </c>
      <c r="AR203" s="3" t="str">
        <f>IFERROR(MID(VLOOKUP($B203,Seqs!$A:$B,2,0),AS203,1),"")</f>
        <v>P</v>
      </c>
      <c r="AS203" s="3">
        <v>426</v>
      </c>
      <c r="AT203" s="3" t="str">
        <f>IFERROR(MID(VLOOKUP($B203,Seqs!$A:$B,2,0),AU203,1),"")</f>
        <v>F</v>
      </c>
      <c r="AU203" s="3">
        <v>451</v>
      </c>
      <c r="AV203" s="3" t="str">
        <f>IFERROR(MID(VLOOKUP($B203,Seqs!$A:$B,2,0),AW203,1),"")</f>
        <v>N</v>
      </c>
      <c r="AW203" s="3">
        <v>452</v>
      </c>
      <c r="AX203" s="3" t="str">
        <f>IFERROR(MID(VLOOKUP($B203,Seqs!$A:$B,2,0),AY203,1),"")</f>
        <v>R</v>
      </c>
      <c r="AY203" s="3">
        <v>464</v>
      </c>
      <c r="AZ203" s="77" t="str">
        <f>VLOOKUP(B203,Classification!A:D,2,0)</f>
        <v>A</v>
      </c>
      <c r="BA203" s="94" t="str">
        <f>VLOOKUP(B203,Classification!A:D,4,0)</f>
        <v>Dopamine</v>
      </c>
      <c r="BB203" s="27" t="b">
        <f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23">
        <f>_xlfn.AGGREGATE(9,6,CH203:CS203)-_xlfn.AGGREGATE(9,6,BV203:CG203)+12</f>
        <v>262</v>
      </c>
      <c r="BD203" s="2" t="s">
        <v>23</v>
      </c>
      <c r="BE203" s="3" t="s">
        <v>1374</v>
      </c>
      <c r="BF203" s="118" t="s">
        <v>23</v>
      </c>
      <c r="BG203" s="49" t="s">
        <v>1377</v>
      </c>
      <c r="BH203" s="49" t="s">
        <v>1377</v>
      </c>
      <c r="BI203" s="1"/>
      <c r="BJ203" s="70" t="s">
        <v>1287</v>
      </c>
      <c r="BK203" s="57" t="s">
        <v>1287</v>
      </c>
      <c r="BL203" s="57" t="s">
        <v>1287</v>
      </c>
      <c r="BM203" s="57" t="s">
        <v>1287</v>
      </c>
      <c r="BN203" s="57" t="s">
        <v>1287</v>
      </c>
      <c r="BO203" s="57" t="s">
        <v>1287</v>
      </c>
      <c r="BP203" s="57" t="s">
        <v>1287</v>
      </c>
      <c r="BQ203" s="57" t="s">
        <v>1287</v>
      </c>
      <c r="BR203" s="57" t="s">
        <v>1287</v>
      </c>
      <c r="BS203" s="57" t="s">
        <v>1287</v>
      </c>
      <c r="BT203" s="57" t="s">
        <v>1287</v>
      </c>
      <c r="BU203" s="57" t="s">
        <v>1287</v>
      </c>
      <c r="BV203" s="70">
        <f>E203</f>
        <v>31</v>
      </c>
      <c r="BW203" s="71">
        <f>I203</f>
        <v>63</v>
      </c>
      <c r="BX203" s="72">
        <f>M203</f>
        <v>67</v>
      </c>
      <c r="BY203" s="71">
        <f>Q203</f>
        <v>100</v>
      </c>
      <c r="BZ203" s="72">
        <f>U203</f>
        <v>104</v>
      </c>
      <c r="CA203" s="71">
        <f>Y203</f>
        <v>140</v>
      </c>
      <c r="CB203" s="72">
        <f>AC203</f>
        <v>148</v>
      </c>
      <c r="CC203" s="71">
        <f>AG203</f>
        <v>185</v>
      </c>
      <c r="CD203" s="72">
        <f>AK203</f>
        <v>189</v>
      </c>
      <c r="CE203" s="71">
        <f>AO203</f>
        <v>383</v>
      </c>
      <c r="CF203" s="72">
        <f>AS203</f>
        <v>426</v>
      </c>
      <c r="CG203" s="71">
        <f>AW203</f>
        <v>452</v>
      </c>
      <c r="CH203" s="70">
        <f>G203</f>
        <v>62</v>
      </c>
      <c r="CI203" s="71">
        <f>K203</f>
        <v>66</v>
      </c>
      <c r="CJ203" s="72">
        <f>O203</f>
        <v>97</v>
      </c>
      <c r="CK203" s="72">
        <f>S203</f>
        <v>103</v>
      </c>
      <c r="CL203" s="72">
        <f>W203</f>
        <v>139</v>
      </c>
      <c r="CM203" s="72">
        <f>AA203</f>
        <v>147</v>
      </c>
      <c r="CN203" s="72">
        <f>AE203</f>
        <v>173</v>
      </c>
      <c r="CO203" s="72">
        <f>AI203</f>
        <v>187</v>
      </c>
      <c r="CP203" s="72">
        <f>AM203</f>
        <v>229</v>
      </c>
      <c r="CQ203" s="72">
        <f>AQ203</f>
        <v>420</v>
      </c>
      <c r="CR203" s="72">
        <f>AU203</f>
        <v>451</v>
      </c>
      <c r="CS203" s="72">
        <f>AY203</f>
        <v>464</v>
      </c>
      <c r="CT203" s="23">
        <f>M203-K203</f>
        <v>1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>CONCATENATE(B204,"_",C204)</f>
        <v>drd4_human_5WIU</v>
      </c>
      <c r="B204" s="3" t="s">
        <v>193</v>
      </c>
      <c r="C204" s="3" t="s">
        <v>1444</v>
      </c>
      <c r="D204" s="3" t="str">
        <f>IFERROR(MID(VLOOKUP($B204,Seqs!$A:$B,2,0),E204,1),"")</f>
        <v>G</v>
      </c>
      <c r="E204" s="3">
        <v>34</v>
      </c>
      <c r="F204" s="3" t="str">
        <f>IFERROR(MID(VLOOKUP($B204,Seqs!$A:$B,2,0),G204,1),"")</f>
        <v>E</v>
      </c>
      <c r="G204" s="3">
        <v>62</v>
      </c>
      <c r="H204" s="3" t="str">
        <f>IFERROR(MID(VLOOKUP($B204,Seqs!$A:$B,2,0),I204,1),"")</f>
        <v>R</v>
      </c>
      <c r="I204" s="23">
        <v>63</v>
      </c>
      <c r="J204" s="3" t="str">
        <f>IFERROR(MID(VLOOKUP($B204,Seqs!$A:$B,2,0),K204,1),"")</f>
        <v>Q</v>
      </c>
      <c r="K204" s="23">
        <v>66</v>
      </c>
      <c r="L204" s="3" t="str">
        <f>IFERROR(MID(VLOOKUP($B204,Seqs!$A:$B,2,0),M204,1),"")</f>
        <v>T</v>
      </c>
      <c r="M204" s="3">
        <v>67</v>
      </c>
      <c r="N204" s="3" t="str">
        <f>IFERROR(MID(VLOOKUP($B204,Seqs!$A:$B,2,0),O204,1),"")</f>
        <v>Q</v>
      </c>
      <c r="O204" s="3">
        <v>97</v>
      </c>
      <c r="P204" s="3" t="str">
        <f>IFERROR(MID(VLOOKUP($B204,Seqs!$A:$B,2,0),Q204,1),"")</f>
        <v>A</v>
      </c>
      <c r="Q204" s="3">
        <v>100</v>
      </c>
      <c r="R204" s="3" t="str">
        <f>IFERROR(MID(VLOOKUP($B204,Seqs!$A:$B,2,0),S204,1),"")</f>
        <v>L</v>
      </c>
      <c r="S204" s="3">
        <v>103</v>
      </c>
      <c r="T204" s="3" t="str">
        <f>IFERROR(MID(VLOOKUP($B204,Seqs!$A:$B,2,0),U204,1),"")</f>
        <v>S</v>
      </c>
      <c r="U204" s="3">
        <v>104</v>
      </c>
      <c r="V204" s="3" t="str">
        <f>IFERROR(MID(VLOOKUP($B204,Seqs!$A:$B,2,0),W204,1),"")</f>
        <v>V</v>
      </c>
      <c r="W204" s="3">
        <v>139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R</v>
      </c>
      <c r="AC204" s="3">
        <v>150</v>
      </c>
      <c r="AD204" s="3" t="str">
        <f>IFERROR(MID(VLOOKUP($B204,Seqs!$A:$B,2,0),AE204,1),"")</f>
        <v>G</v>
      </c>
      <c r="AE204" s="3">
        <v>173</v>
      </c>
      <c r="AF204" s="3" t="str">
        <f>IFERROR(MID(VLOOKUP($B204,Seqs!$A:$B,2,0),AG204,1),"")</f>
        <v>C</v>
      </c>
      <c r="AG204" s="3">
        <v>185</v>
      </c>
      <c r="AH204" s="3" t="str">
        <f>IFERROR(MID(VLOOKUP($B204,Seqs!$A:$B,2,0),AI204,1),"")</f>
        <v>L</v>
      </c>
      <c r="AI204" s="3">
        <v>187</v>
      </c>
      <c r="AJ204" s="3" t="str">
        <f>IFERROR(MID(VLOOKUP($B204,Seqs!$A:$B,2,0),AK204,1),"")</f>
        <v>D</v>
      </c>
      <c r="AK204" s="3">
        <v>189</v>
      </c>
      <c r="AL204" s="3" t="str">
        <f>IFERROR(MID(VLOOKUP($B204,Seqs!$A:$B,2,0),AM204,1),"")</f>
        <v>W</v>
      </c>
      <c r="AM204" s="3">
        <v>222</v>
      </c>
      <c r="AN204" s="3" t="str">
        <f>IFERROR(MID(VLOOKUP($B204,Seqs!$A:$B,2,0),AO204,1),"")</f>
        <v>V</v>
      </c>
      <c r="AO204" s="3">
        <v>395</v>
      </c>
      <c r="AP204" s="3" t="str">
        <f>IFERROR(MID(VLOOKUP($B204,Seqs!$A:$B,2,0),AQ204,1),"")</f>
        <v>C</v>
      </c>
      <c r="AQ204" s="3">
        <v>420</v>
      </c>
      <c r="AR204" s="3" t="str">
        <f>IFERROR(MID(VLOOKUP($B204,Seqs!$A:$B,2,0),AS204,1),"")</f>
        <v>P</v>
      </c>
      <c r="AS204" s="3">
        <v>426</v>
      </c>
      <c r="AT204" s="3" t="str">
        <f>IFERROR(MID(VLOOKUP($B204,Seqs!$A:$B,2,0),AU204,1),"")</f>
        <v>F</v>
      </c>
      <c r="AU204" s="3">
        <v>451</v>
      </c>
      <c r="AV204" s="3" t="str">
        <f>IFERROR(MID(VLOOKUP($B204,Seqs!$A:$B,2,0),AW204,1),"")</f>
        <v>N</v>
      </c>
      <c r="AW204" s="3">
        <v>452</v>
      </c>
      <c r="AX204" s="3" t="str">
        <f>IFERROR(MID(VLOOKUP($B204,Seqs!$A:$B,2,0),AY204,1),"")</f>
        <v>R</v>
      </c>
      <c r="AY204" s="3">
        <v>460</v>
      </c>
      <c r="AZ204" s="77" t="str">
        <f>VLOOKUP(B204,Classification!A:D,2,0)</f>
        <v>A</v>
      </c>
      <c r="BA204" s="94" t="str">
        <f>VLOOKUP(B204,Classification!A:D,4,0)</f>
        <v>Dopamine</v>
      </c>
      <c r="BB204" s="27" t="b">
        <f>AND(E204&lt;G204,OR(G204&lt;I204,I204="-"),OR(I204&lt;K204,I204="-"),OR(K204&lt;M204,K204="-"),M204&lt;O204,OR(O204&lt;Q204,Q204="-"),OR(Q204&lt;S204,Q204="-"),OR(S204&lt;U204,S204="-"),U204&lt;W204,OR(W204&lt;Y204,Y204="-"),OR(Y204&lt;AA204,Y204="-"),OR(AA204&lt;AC204,AA204="-"),AC204&lt;AE204,OR(AE204&lt;AG204,AG204="-"),OR(AG204&lt;AI204,AG204="-"),OR(AI204&lt;AK204,AI204="-"),AK204&lt;AM204,AM204&lt;AO204,AO204&lt;AQ204,AQ204&lt;AS204,AS204&lt;AU204,OR(AU204&lt;AW204,AW204="-"),OR(AW204&lt;AY204,AW204="-"))</f>
        <v>1</v>
      </c>
      <c r="BC204" s="23">
        <f>_xlfn.AGGREGATE(9,6,CH204:CS204)-_xlfn.AGGREGATE(9,6,BV204:CG204)+12</f>
        <v>227</v>
      </c>
      <c r="BD204" s="2" t="s">
        <v>23</v>
      </c>
      <c r="BE204" s="3" t="s">
        <v>1374</v>
      </c>
      <c r="BF204" s="118">
        <v>1.96</v>
      </c>
      <c r="BG204" s="49" t="s">
        <v>1</v>
      </c>
      <c r="BH204" s="49" t="s">
        <v>1377</v>
      </c>
      <c r="BI204" s="1"/>
      <c r="BJ204" s="70" t="s">
        <v>1287</v>
      </c>
      <c r="BK204" s="57" t="s">
        <v>1287</v>
      </c>
      <c r="BL204" s="57" t="s">
        <v>1287</v>
      </c>
      <c r="BM204" s="57" t="s">
        <v>1287</v>
      </c>
      <c r="BN204" s="57" t="s">
        <v>1287</v>
      </c>
      <c r="BO204" s="57" t="s">
        <v>1287</v>
      </c>
      <c r="BP204" s="57" t="s">
        <v>1287</v>
      </c>
      <c r="BQ204" s="57" t="s">
        <v>1287</v>
      </c>
      <c r="BR204" s="57" t="s">
        <v>1287</v>
      </c>
      <c r="BS204" s="57" t="s">
        <v>1287</v>
      </c>
      <c r="BT204" s="57" t="s">
        <v>1287</v>
      </c>
      <c r="BU204" s="57" t="s">
        <v>1287</v>
      </c>
      <c r="BV204" s="70">
        <f>E204</f>
        <v>34</v>
      </c>
      <c r="BW204" s="71">
        <f>I204</f>
        <v>63</v>
      </c>
      <c r="BX204" s="72">
        <f>M204</f>
        <v>67</v>
      </c>
      <c r="BY204" s="71">
        <f>Q204</f>
        <v>100</v>
      </c>
      <c r="BZ204" s="72">
        <f>U204</f>
        <v>104</v>
      </c>
      <c r="CA204" s="71" t="str">
        <f>Y204</f>
        <v>-</v>
      </c>
      <c r="CB204" s="72">
        <f>AC204</f>
        <v>150</v>
      </c>
      <c r="CC204" s="71">
        <f>AG204</f>
        <v>185</v>
      </c>
      <c r="CD204" s="72">
        <f>AK204</f>
        <v>189</v>
      </c>
      <c r="CE204" s="71">
        <f>AO204</f>
        <v>395</v>
      </c>
      <c r="CF204" s="72">
        <f>AS204</f>
        <v>426</v>
      </c>
      <c r="CG204" s="71">
        <f>AW204</f>
        <v>452</v>
      </c>
      <c r="CH204" s="70">
        <f>G204</f>
        <v>62</v>
      </c>
      <c r="CI204" s="71">
        <f>K204</f>
        <v>66</v>
      </c>
      <c r="CJ204" s="72">
        <f>O204</f>
        <v>97</v>
      </c>
      <c r="CK204" s="72">
        <f>S204</f>
        <v>103</v>
      </c>
      <c r="CL204" s="72">
        <f>W204</f>
        <v>139</v>
      </c>
      <c r="CM204" s="72" t="str">
        <f>AA204</f>
        <v>-</v>
      </c>
      <c r="CN204" s="72">
        <f>AE204</f>
        <v>173</v>
      </c>
      <c r="CO204" s="72">
        <f>AI204</f>
        <v>187</v>
      </c>
      <c r="CP204" s="72">
        <f>AM204</f>
        <v>222</v>
      </c>
      <c r="CQ204" s="72">
        <f>AQ204</f>
        <v>420</v>
      </c>
      <c r="CR204" s="72">
        <f>AU204</f>
        <v>451</v>
      </c>
      <c r="CS204" s="72">
        <f>AY204</f>
        <v>460</v>
      </c>
      <c r="CT204" s="23">
        <f>M204-K204</f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>CONCATENATE(B205,"_",C205)</f>
        <v>drd4_human_5WIV</v>
      </c>
      <c r="B205" s="3" t="s">
        <v>193</v>
      </c>
      <c r="C205" s="3" t="s">
        <v>1446</v>
      </c>
      <c r="D205" s="3" t="str">
        <f>IFERROR(MID(VLOOKUP($B205,Seqs!$A:$B,2,0),E205,1),"")</f>
        <v>G</v>
      </c>
      <c r="E205" s="3">
        <v>32</v>
      </c>
      <c r="F205" s="3" t="str">
        <f>IFERROR(MID(VLOOKUP($B205,Seqs!$A:$B,2,0),G205,1),"")</f>
        <v>E</v>
      </c>
      <c r="G205" s="3">
        <v>62</v>
      </c>
      <c r="H205" s="3" t="str">
        <f>IFERROR(MID(VLOOKUP($B205,Seqs!$A:$B,2,0),I205,1),"")</f>
        <v>R</v>
      </c>
      <c r="I205" s="23">
        <v>63</v>
      </c>
      <c r="J205" s="3" t="str">
        <f>IFERROR(MID(VLOOKUP($B205,Seqs!$A:$B,2,0),K205,1),"")</f>
        <v>Q</v>
      </c>
      <c r="K205" s="23">
        <v>66</v>
      </c>
      <c r="L205" s="3" t="str">
        <f>IFERROR(MID(VLOOKUP($B205,Seqs!$A:$B,2,0),M205,1),"")</f>
        <v>T</v>
      </c>
      <c r="M205" s="3">
        <v>67</v>
      </c>
      <c r="N205" s="3" t="str">
        <f>IFERROR(MID(VLOOKUP($B205,Seqs!$A:$B,2,0),O205,1),"")</f>
        <v>Q</v>
      </c>
      <c r="O205" s="3">
        <v>97</v>
      </c>
      <c r="P205" s="3" t="str">
        <f>IFERROR(MID(VLOOKUP($B205,Seqs!$A:$B,2,0),Q205,1),"")</f>
        <v>A</v>
      </c>
      <c r="Q205" s="3">
        <v>100</v>
      </c>
      <c r="R205" s="3" t="str">
        <f>IFERROR(MID(VLOOKUP($B205,Seqs!$A:$B,2,0),S205,1),"")</f>
        <v>L</v>
      </c>
      <c r="S205" s="3">
        <v>103</v>
      </c>
      <c r="T205" s="3" t="str">
        <f>IFERROR(MID(VLOOKUP($B205,Seqs!$A:$B,2,0),U205,1),"")</f>
        <v>S</v>
      </c>
      <c r="U205" s="3">
        <v>104</v>
      </c>
      <c r="V205" s="3" t="str">
        <f>IFERROR(MID(VLOOKUP($B205,Seqs!$A:$B,2,0),W205,1),"")</f>
        <v>V</v>
      </c>
      <c r="W205" s="3">
        <v>139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R</v>
      </c>
      <c r="AC205" s="3">
        <v>150</v>
      </c>
      <c r="AD205" s="3" t="str">
        <f>IFERROR(MID(VLOOKUP($B205,Seqs!$A:$B,2,0),AE205,1),"")</f>
        <v>G</v>
      </c>
      <c r="AE205" s="3">
        <v>173</v>
      </c>
      <c r="AF205" s="3" t="str">
        <f>IFERROR(MID(VLOOKUP($B205,Seqs!$A:$B,2,0),AG205,1),"")</f>
        <v>C</v>
      </c>
      <c r="AG205" s="3">
        <v>185</v>
      </c>
      <c r="AH205" s="3" t="str">
        <f>IFERROR(MID(VLOOKUP($B205,Seqs!$A:$B,2,0),AI205,1),"")</f>
        <v>L</v>
      </c>
      <c r="AI205" s="3">
        <v>187</v>
      </c>
      <c r="AJ205" s="3" t="str">
        <f>IFERROR(MID(VLOOKUP($B205,Seqs!$A:$B,2,0),AK205,1),"")</f>
        <v>D</v>
      </c>
      <c r="AK205" s="3">
        <v>189</v>
      </c>
      <c r="AL205" s="3" t="str">
        <f>IFERROR(MID(VLOOKUP($B205,Seqs!$A:$B,2,0),AM205,1),"")</f>
        <v>W</v>
      </c>
      <c r="AM205" s="3">
        <v>222</v>
      </c>
      <c r="AN205" s="3" t="str">
        <f>IFERROR(MID(VLOOKUP($B205,Seqs!$A:$B,2,0),AO205,1),"")</f>
        <v>V</v>
      </c>
      <c r="AO205" s="3">
        <v>395</v>
      </c>
      <c r="AP205" s="3" t="str">
        <f>IFERROR(MID(VLOOKUP($B205,Seqs!$A:$B,2,0),AQ205,1),"")</f>
        <v>C</v>
      </c>
      <c r="AQ205" s="3">
        <v>420</v>
      </c>
      <c r="AR205" s="3" t="str">
        <f>IFERROR(MID(VLOOKUP($B205,Seqs!$A:$B,2,0),AS205,1),"")</f>
        <v>P</v>
      </c>
      <c r="AS205" s="3">
        <v>426</v>
      </c>
      <c r="AT205" s="3" t="str">
        <f>IFERROR(MID(VLOOKUP($B205,Seqs!$A:$B,2,0),AU205,1),"")</f>
        <v>F</v>
      </c>
      <c r="AU205" s="3">
        <v>451</v>
      </c>
      <c r="AV205" s="3" t="str">
        <f>IFERROR(MID(VLOOKUP($B205,Seqs!$A:$B,2,0),AW205,1),"")</f>
        <v>N</v>
      </c>
      <c r="AW205" s="3">
        <v>452</v>
      </c>
      <c r="AX205" s="3" t="str">
        <f>IFERROR(MID(VLOOKUP($B205,Seqs!$A:$B,2,0),AY205,1),"")</f>
        <v>A</v>
      </c>
      <c r="AY205" s="3">
        <v>462</v>
      </c>
      <c r="AZ205" s="77" t="str">
        <f>VLOOKUP(B205,Classification!A:D,2,0)</f>
        <v>A</v>
      </c>
      <c r="BA205" s="94" t="str">
        <f>VLOOKUP(B205,Classification!A:D,4,0)</f>
        <v>Dopamine</v>
      </c>
      <c r="BB205" s="27" t="b">
        <f>AND(E205&lt;G205,OR(G205&lt;I205,I205="-"),OR(I205&lt;K205,I205="-"),OR(K205&lt;M205,K205="-"),M205&lt;O205,OR(O205&lt;Q205,Q205="-"),OR(Q205&lt;S205,Q205="-"),OR(S205&lt;U205,S205="-"),U205&lt;W205,OR(W205&lt;Y205,Y205="-"),OR(Y205&lt;AA205,Y205="-"),OR(AA205&lt;AC205,AA205="-"),AC205&lt;AE205,OR(AE205&lt;AG205,AG205="-"),OR(AG205&lt;AI205,AG205="-"),OR(AI205&lt;AK205,AI205="-"),AK205&lt;AM205,AM205&lt;AO205,AO205&lt;AQ205,AQ205&lt;AS205,AS205&lt;AU205,OR(AU205&lt;AW205,AW205="-"),OR(AW205&lt;AY205,AW205="-"))</f>
        <v>1</v>
      </c>
      <c r="BC205" s="23">
        <f>_xlfn.AGGREGATE(9,6,CH205:CS205)-_xlfn.AGGREGATE(9,6,BV205:CG205)+12</f>
        <v>231</v>
      </c>
      <c r="BD205" s="2" t="s">
        <v>1376</v>
      </c>
      <c r="BE205" s="3" t="s">
        <v>1374</v>
      </c>
      <c r="BF205" s="118">
        <v>2.14</v>
      </c>
      <c r="BG205" s="49" t="s">
        <v>1</v>
      </c>
      <c r="BH205" s="49" t="s">
        <v>1377</v>
      </c>
      <c r="BI205" s="1"/>
      <c r="BJ205" s="70" t="s">
        <v>1287</v>
      </c>
      <c r="BK205" s="57" t="s">
        <v>1287</v>
      </c>
      <c r="BL205" s="57" t="s">
        <v>1287</v>
      </c>
      <c r="BM205" s="57" t="s">
        <v>1287</v>
      </c>
      <c r="BN205" s="57" t="s">
        <v>1287</v>
      </c>
      <c r="BO205" s="57" t="s">
        <v>1287</v>
      </c>
      <c r="BP205" s="57" t="s">
        <v>1287</v>
      </c>
      <c r="BQ205" s="57" t="s">
        <v>1287</v>
      </c>
      <c r="BR205" s="57" t="s">
        <v>1287</v>
      </c>
      <c r="BS205" s="57" t="s">
        <v>1287</v>
      </c>
      <c r="BT205" s="57" t="s">
        <v>1287</v>
      </c>
      <c r="BU205" s="57" t="s">
        <v>1287</v>
      </c>
      <c r="BV205" s="70">
        <f>E205</f>
        <v>32</v>
      </c>
      <c r="BW205" s="71">
        <f>I205</f>
        <v>63</v>
      </c>
      <c r="BX205" s="72">
        <f>M205</f>
        <v>67</v>
      </c>
      <c r="BY205" s="71">
        <f>Q205</f>
        <v>100</v>
      </c>
      <c r="BZ205" s="72">
        <f>U205</f>
        <v>104</v>
      </c>
      <c r="CA205" s="71" t="str">
        <f>Y205</f>
        <v>-</v>
      </c>
      <c r="CB205" s="72">
        <f>AC205</f>
        <v>150</v>
      </c>
      <c r="CC205" s="71">
        <f>AG205</f>
        <v>185</v>
      </c>
      <c r="CD205" s="72">
        <f>AK205</f>
        <v>189</v>
      </c>
      <c r="CE205" s="71">
        <f>AO205</f>
        <v>395</v>
      </c>
      <c r="CF205" s="72">
        <f>AS205</f>
        <v>426</v>
      </c>
      <c r="CG205" s="71">
        <f>AW205</f>
        <v>452</v>
      </c>
      <c r="CH205" s="70">
        <f>G205</f>
        <v>62</v>
      </c>
      <c r="CI205" s="71">
        <f>K205</f>
        <v>66</v>
      </c>
      <c r="CJ205" s="72">
        <f>O205</f>
        <v>97</v>
      </c>
      <c r="CK205" s="72">
        <f>S205</f>
        <v>103</v>
      </c>
      <c r="CL205" s="72">
        <f>W205</f>
        <v>139</v>
      </c>
      <c r="CM205" s="72" t="str">
        <f>AA205</f>
        <v>-</v>
      </c>
      <c r="CN205" s="72">
        <f>AE205</f>
        <v>173</v>
      </c>
      <c r="CO205" s="72">
        <f>AI205</f>
        <v>187</v>
      </c>
      <c r="CP205" s="72">
        <f>AM205</f>
        <v>222</v>
      </c>
      <c r="CQ205" s="72">
        <f>AQ205</f>
        <v>420</v>
      </c>
      <c r="CR205" s="72">
        <f>AU205</f>
        <v>451</v>
      </c>
      <c r="CS205" s="72">
        <f>AY205</f>
        <v>462</v>
      </c>
      <c r="CT205" s="23">
        <f>M205-K205</f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 t="shared" si="951"/>
        <v>ednrb_human__wt</v>
      </c>
      <c r="B206" s="2" t="s">
        <v>196</v>
      </c>
      <c r="C206" s="2" t="s">
        <v>100</v>
      </c>
      <c r="D206" s="3" t="str">
        <f>IFERROR(MID(VLOOKUP($B206,Seqs!$A:$B,2,0),E206,1),"")</f>
        <v>Q</v>
      </c>
      <c r="E206" s="2">
        <v>91</v>
      </c>
      <c r="F206" s="3" t="str">
        <f>IFERROR(MID(VLOOKUP($B206,Seqs!$A:$B,2,0),G206,1),"")</f>
        <v>N</v>
      </c>
      <c r="G206" s="2">
        <v>129</v>
      </c>
      <c r="H206" s="3" t="str">
        <f>IFERROR(MID(VLOOKUP($B206,Seqs!$A:$B,2,0),I206,1),"")</f>
        <v>K</v>
      </c>
      <c r="I206" s="56">
        <v>130</v>
      </c>
      <c r="J206" s="3" t="str">
        <f>IFERROR(MID(VLOOKUP($B206,Seqs!$A:$B,2,0),K206,1),"")</f>
        <v>N</v>
      </c>
      <c r="K206" s="56">
        <v>134</v>
      </c>
      <c r="L206" s="3" t="str">
        <f>IFERROR(MID(VLOOKUP($B206,Seqs!$A:$B,2,0),M206,1),"")</f>
        <v>G</v>
      </c>
      <c r="M206" s="2">
        <v>135</v>
      </c>
      <c r="N206" s="3" t="str">
        <f>IFERROR(MID(VLOOKUP($B206,Seqs!$A:$B,2,0),O206,1),"")</f>
        <v>A</v>
      </c>
      <c r="O206" s="2">
        <v>164</v>
      </c>
      <c r="P206" s="3" t="str">
        <f>IFERROR(MID(VLOOKUP($B206,Seqs!$A:$B,2,0),Q206,1),"")</f>
        <v>D</v>
      </c>
      <c r="Q206" s="2">
        <v>166</v>
      </c>
      <c r="R206" s="3" t="str">
        <f>IFERROR(MID(VLOOKUP($B206,Seqs!$A:$B,2,0),S206,1),"")</f>
        <v>F</v>
      </c>
      <c r="S206" s="2">
        <v>169</v>
      </c>
      <c r="T206" s="3" t="str">
        <f>IFERROR(MID(VLOOKUP($B206,Seqs!$A:$B,2,0),U206,1),"")</f>
        <v>G</v>
      </c>
      <c r="U206" s="4">
        <v>170</v>
      </c>
      <c r="V206" s="3" t="str">
        <f>IFERROR(MID(VLOOKUP($B206,Seqs!$A:$B,2,0),W206,1),"")</f>
        <v>S</v>
      </c>
      <c r="W206" s="2">
        <v>205</v>
      </c>
      <c r="X206" s="3" t="str">
        <f>IFERROR(MID(VLOOKUP($B206,Seqs!$A:$B,2,0),Y206,1),"")</f>
        <v>W</v>
      </c>
      <c r="Y206" s="2">
        <v>206</v>
      </c>
      <c r="Z206" s="3" t="str">
        <f>IFERROR(MID(VLOOKUP($B206,Seqs!$A:$B,2,0),AA206,1),"")</f>
        <v>G</v>
      </c>
      <c r="AA206" s="2">
        <v>213</v>
      </c>
      <c r="AB206" s="3" t="str">
        <f>IFERROR(MID(VLOOKUP($B206,Seqs!$A:$B,2,0),AC206,1),"")</f>
        <v>V</v>
      </c>
      <c r="AC206" s="40">
        <v>214</v>
      </c>
      <c r="AD206" s="3" t="str">
        <f>IFERROR(MID(VLOOKUP($B206,Seqs!$A:$B,2,0),AE206,1),"")</f>
        <v>F</v>
      </c>
      <c r="AE206" s="2">
        <v>240</v>
      </c>
      <c r="AF206" s="3" t="str">
        <f>IFERROR(MID(VLOOKUP($B206,Seqs!$A:$B,2,0),AG206,1),"")</f>
        <v>C</v>
      </c>
      <c r="AG206" s="2">
        <v>255</v>
      </c>
      <c r="AH206" s="3" t="str">
        <f>IFERROR(MID(VLOOKUP($B206,Seqs!$A:$B,2,0),AI206,1),"")</f>
        <v>L</v>
      </c>
      <c r="AI206" s="2">
        <v>257</v>
      </c>
      <c r="AJ206" s="3" t="str">
        <f>IFERROR(MID(VLOOKUP($B206,Seqs!$A:$B,2,0),AK206,1),"")</f>
        <v>T</v>
      </c>
      <c r="AK206" s="2">
        <v>263</v>
      </c>
      <c r="AL206" s="3" t="str">
        <f>IFERROR(MID(VLOOKUP($B206,Seqs!$A:$B,2,0),AM206,1),"")</f>
        <v>M</v>
      </c>
      <c r="AM206" s="2">
        <v>307</v>
      </c>
      <c r="AN206" s="3" t="str">
        <f>IFERROR(MID(VLOOKUP($B206,Seqs!$A:$B,2,0),AO206,1),"")</f>
        <v>N</v>
      </c>
      <c r="AO206" s="2">
        <v>312</v>
      </c>
      <c r="AP206" s="3" t="str">
        <f>IFERROR(MID(VLOOKUP($B206,Seqs!$A:$B,2,0),AQ206,1),"")</f>
        <v>Y</v>
      </c>
      <c r="AQ206" s="2">
        <v>350</v>
      </c>
      <c r="AR206" s="3" t="str">
        <f>IFERROR(MID(VLOOKUP($B206,Seqs!$A:$B,2,0),AS206,1),"")</f>
        <v>R</v>
      </c>
      <c r="AS206" s="2">
        <v>357</v>
      </c>
      <c r="AT206" s="3" t="str">
        <f>IFERROR(MID(VLOOKUP($B206,Seqs!$A:$B,2,0),AU206,1),"")</f>
        <v>V</v>
      </c>
      <c r="AU206" s="2">
        <v>389</v>
      </c>
      <c r="AV206" s="3" t="str">
        <f>IFERROR(MID(VLOOKUP($B206,Seqs!$A:$B,2,0),AW206,1),"")</f>
        <v>S</v>
      </c>
      <c r="AW206" s="2">
        <v>390</v>
      </c>
      <c r="AX206" s="3" t="str">
        <f>IFERROR(MID(VLOOKUP($B206,Seqs!$A:$B,2,0),AY206,1),"")</f>
        <v>C</v>
      </c>
      <c r="AY206" s="2">
        <v>403</v>
      </c>
      <c r="AZ206" s="77" t="str">
        <f>VLOOKUP(B206,Classification!A:D,2,0)</f>
        <v>A</v>
      </c>
      <c r="BA206" s="94" t="str">
        <f>VLOOKUP(B206,Classification!A:D,4,0)</f>
        <v>Endothelin</v>
      </c>
      <c r="BB206" s="27" t="b">
        <f t="shared" si="952"/>
        <v>1</v>
      </c>
      <c r="BC206" s="2"/>
      <c r="BD206" s="34" t="s">
        <v>23</v>
      </c>
      <c r="BE206" s="3" t="s">
        <v>23</v>
      </c>
      <c r="BF206" s="118" t="s">
        <v>23</v>
      </c>
      <c r="BG206" s="49" t="s">
        <v>1372</v>
      </c>
      <c r="BH206" s="49" t="s">
        <v>1377</v>
      </c>
      <c r="BI206" s="2"/>
      <c r="BJ206" s="70"/>
      <c r="BU206" s="57"/>
      <c r="BV206" s="70"/>
      <c r="BW206" s="57"/>
      <c r="BX206" s="57"/>
      <c r="BY206" s="57"/>
      <c r="BZ206" s="57"/>
      <c r="CA206" s="57"/>
      <c r="CB206" s="57"/>
      <c r="CC206" s="57"/>
      <c r="CD206" s="57"/>
      <c r="CE206" s="57"/>
      <c r="CF206" s="57"/>
      <c r="CG206" s="57"/>
      <c r="CH206" s="70"/>
      <c r="CI206" s="57"/>
      <c r="CJ206" s="57"/>
      <c r="CK206" s="57"/>
      <c r="CL206" s="57"/>
      <c r="CM206" s="57"/>
      <c r="CN206" s="57"/>
      <c r="CO206" s="57"/>
      <c r="CP206" s="57"/>
      <c r="CQ206" s="57"/>
      <c r="CR206" s="57"/>
      <c r="CS206" s="57"/>
      <c r="CT206" s="2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951"/>
        <v>ednrb_human_5GLH</v>
      </c>
      <c r="B207" s="2" t="s">
        <v>196</v>
      </c>
      <c r="C207" s="2" t="s">
        <v>1328</v>
      </c>
      <c r="D207" s="3" t="str">
        <f>IFERROR(MID(VLOOKUP($B207,Seqs!$A:$B,2,0),E207,1),"")</f>
        <v>K</v>
      </c>
      <c r="E207" s="2">
        <v>97</v>
      </c>
      <c r="F207" s="3" t="str">
        <f>IFERROR(MID(VLOOKUP($B207,Seqs!$A:$B,2,0),G207,1),"")</f>
        <v>N</v>
      </c>
      <c r="G207" s="2">
        <v>129</v>
      </c>
      <c r="H207" s="3" t="str">
        <f>IFERROR(MID(VLOOKUP($B207,Seqs!$A:$B,2,0),I207,1),"")</f>
        <v/>
      </c>
      <c r="I207" s="56" t="s">
        <v>23</v>
      </c>
      <c r="J207" s="3" t="str">
        <f>IFERROR(MID(VLOOKUP($B207,Seqs!$A:$B,2,0),K207,1),"")</f>
        <v/>
      </c>
      <c r="K207" s="56" t="s">
        <v>23</v>
      </c>
      <c r="L207" s="3" t="str">
        <f>IFERROR(MID(VLOOKUP($B207,Seqs!$A:$B,2,0),M207,1),"")</f>
        <v>P</v>
      </c>
      <c r="M207" s="2">
        <v>136</v>
      </c>
      <c r="N207" s="3" t="str">
        <f>IFERROR(MID(VLOOKUP($B207,Seqs!$A:$B,2,0),O207,1),"")</f>
        <v>A</v>
      </c>
      <c r="O207" s="2">
        <v>164</v>
      </c>
      <c r="P207" s="3" t="str">
        <f>IFERROR(MID(VLOOKUP($B207,Seqs!$A:$B,2,0),Q207,1),"")</f>
        <v>D</v>
      </c>
      <c r="Q207" s="2">
        <v>166</v>
      </c>
      <c r="R207" s="3" t="str">
        <f>IFERROR(MID(VLOOKUP($B207,Seqs!$A:$B,2,0),S207,1),"")</f>
        <v>F</v>
      </c>
      <c r="S207" s="2">
        <v>169</v>
      </c>
      <c r="T207" s="3" t="str">
        <f>IFERROR(MID(VLOOKUP($B207,Seqs!$A:$B,2,0),U207,1),"")</f>
        <v>G</v>
      </c>
      <c r="U207" s="4">
        <v>170</v>
      </c>
      <c r="V207" s="3" t="str">
        <f>IFERROR(MID(VLOOKUP($B207,Seqs!$A:$B,2,0),W207,1),"")</f>
        <v>S</v>
      </c>
      <c r="W207" s="2">
        <v>205</v>
      </c>
      <c r="X207" s="3" t="str">
        <f>IFERROR(MID(VLOOKUP($B207,Seqs!$A:$B,2,0),Y207,1),"")</f>
        <v/>
      </c>
      <c r="Y207" s="2" t="s">
        <v>23</v>
      </c>
      <c r="Z207" s="3" t="str">
        <f>IFERROR(MID(VLOOKUP($B207,Seqs!$A:$B,2,0),AA207,1),"")</f>
        <v/>
      </c>
      <c r="AA207" s="2" t="s">
        <v>23</v>
      </c>
      <c r="AB207" s="3" t="str">
        <f>IFERROR(MID(VLOOKUP($B207,Seqs!$A:$B,2,0),AC207,1),"")</f>
        <v>T</v>
      </c>
      <c r="AC207" s="40">
        <v>218</v>
      </c>
      <c r="AD207" s="3" t="str">
        <f>IFERROR(MID(VLOOKUP($B207,Seqs!$A:$B,2,0),AE207,1),"")</f>
        <v>F</v>
      </c>
      <c r="AE207" s="2">
        <v>240</v>
      </c>
      <c r="AF207" s="3" t="str">
        <f>IFERROR(MID(VLOOKUP($B207,Seqs!$A:$B,2,0),AG207,1),"")</f>
        <v>C</v>
      </c>
      <c r="AG207" s="2">
        <v>255</v>
      </c>
      <c r="AH207" s="3" t="str">
        <f>IFERROR(MID(VLOOKUP($B207,Seqs!$A:$B,2,0),AI207,1),"")</f>
        <v>L</v>
      </c>
      <c r="AI207" s="2">
        <v>257</v>
      </c>
      <c r="AJ207" s="3" t="str">
        <f>IFERROR(MID(VLOOKUP($B207,Seqs!$A:$B,2,0),AK207,1),"")</f>
        <v>T</v>
      </c>
      <c r="AK207" s="2">
        <v>263</v>
      </c>
      <c r="AL207" s="3" t="str">
        <f>IFERROR(MID(VLOOKUP($B207,Seqs!$A:$B,2,0),AM207,1),"")</f>
        <v>K</v>
      </c>
      <c r="AM207" s="2">
        <v>303</v>
      </c>
      <c r="AN207" s="3" t="str">
        <f>IFERROR(MID(VLOOKUP($B207,Seqs!$A:$B,2,0),AO207,1),"")</f>
        <v>N</v>
      </c>
      <c r="AO207" s="2">
        <v>312</v>
      </c>
      <c r="AP207" s="3" t="str">
        <f>IFERROR(MID(VLOOKUP($B207,Seqs!$A:$B,2,0),AQ207,1),"")</f>
        <v>Y</v>
      </c>
      <c r="AQ207" s="2">
        <v>350</v>
      </c>
      <c r="AR207" s="3" t="str">
        <f>IFERROR(MID(VLOOKUP($B207,Seqs!$A:$B,2,0),AS207,1),"")</f>
        <v>R</v>
      </c>
      <c r="AS207" s="2">
        <v>357</v>
      </c>
      <c r="AT207" s="3" t="str">
        <f>IFERROR(MID(VLOOKUP($B207,Seqs!$A:$B,2,0),AU207,1),"")</f>
        <v>V</v>
      </c>
      <c r="AU207" s="2">
        <v>389</v>
      </c>
      <c r="AV207" s="3" t="str">
        <f>IFERROR(MID(VLOOKUP($B207,Seqs!$A:$B,2,0),AW207,1),"")</f>
        <v>S</v>
      </c>
      <c r="AW207" s="2">
        <v>390</v>
      </c>
      <c r="AX207" s="3" t="str">
        <f>IFERROR(MID(VLOOKUP($B207,Seqs!$A:$B,2,0),AY207,1),"")</f>
        <v>L</v>
      </c>
      <c r="AY207" s="2">
        <v>401</v>
      </c>
      <c r="AZ207" s="77" t="str">
        <f>VLOOKUP(B207,Classification!A:D,2,0)</f>
        <v>A</v>
      </c>
      <c r="BA207" s="94" t="str">
        <f>VLOOKUP(B207,Classification!A:D,4,0)</f>
        <v>Endothelin</v>
      </c>
      <c r="BB207" s="27" t="b">
        <f t="shared" si="952"/>
        <v>1</v>
      </c>
      <c r="BC207" s="23">
        <f t="shared" ref="BC207:BC275" si="1398">_xlfn.AGGREGATE(9,6,CH207:CS207)-_xlfn.AGGREGATE(9,6,BV207:CG207)+12</f>
        <v>255</v>
      </c>
      <c r="BD207" s="2" t="s">
        <v>23</v>
      </c>
      <c r="BE207" s="3" t="s">
        <v>1374</v>
      </c>
      <c r="BF207" s="118">
        <v>2.8</v>
      </c>
      <c r="BG207" s="49" t="s">
        <v>1377</v>
      </c>
      <c r="BH207" s="49" t="s">
        <v>1377</v>
      </c>
      <c r="BI207" s="2"/>
      <c r="BJ207" s="70" t="s">
        <v>1287</v>
      </c>
      <c r="BK207" s="57" t="s">
        <v>1287</v>
      </c>
      <c r="BL207" s="57" t="s">
        <v>1287</v>
      </c>
      <c r="BM207" s="57" t="s">
        <v>1287</v>
      </c>
      <c r="BN207" s="57" t="s">
        <v>1287</v>
      </c>
      <c r="BO207" s="57" t="s">
        <v>1287</v>
      </c>
      <c r="BP207" s="57" t="s">
        <v>1287</v>
      </c>
      <c r="BQ207" s="57" t="s">
        <v>1287</v>
      </c>
      <c r="BR207" s="57" t="s">
        <v>1287</v>
      </c>
      <c r="BS207" s="57" t="s">
        <v>1287</v>
      </c>
      <c r="BT207" s="57" t="s">
        <v>1287</v>
      </c>
      <c r="BU207" s="57" t="s">
        <v>1287</v>
      </c>
      <c r="BV207" s="70">
        <f t="shared" ref="BV207:BV275" si="1399">E207</f>
        <v>97</v>
      </c>
      <c r="BW207" s="71" t="str">
        <f t="shared" ref="BW207:BW275" si="1400">I207</f>
        <v>-</v>
      </c>
      <c r="BX207" s="72">
        <f t="shared" ref="BX207:BX275" si="1401">M207</f>
        <v>136</v>
      </c>
      <c r="BY207" s="71">
        <f t="shared" ref="BY207:BY275" si="1402">Q207</f>
        <v>166</v>
      </c>
      <c r="BZ207" s="72">
        <f t="shared" ref="BZ207:BZ275" si="1403">U207</f>
        <v>170</v>
      </c>
      <c r="CA207" s="71" t="str">
        <f t="shared" ref="CA207:CA275" si="1404">Y207</f>
        <v>-</v>
      </c>
      <c r="CB207" s="72">
        <f t="shared" ref="CB207:CB275" si="1405">AC207</f>
        <v>218</v>
      </c>
      <c r="CC207" s="71">
        <f t="shared" ref="CC207:CC275" si="1406">AG207</f>
        <v>255</v>
      </c>
      <c r="CD207" s="72">
        <f t="shared" ref="CD207:CD275" si="1407">AK207</f>
        <v>263</v>
      </c>
      <c r="CE207" s="71">
        <f t="shared" ref="CE207:CE275" si="1408">AO207</f>
        <v>312</v>
      </c>
      <c r="CF207" s="72">
        <f t="shared" ref="CF207:CF275" si="1409">AS207</f>
        <v>357</v>
      </c>
      <c r="CG207" s="71">
        <f t="shared" ref="CG207:CG275" si="1410">AW207</f>
        <v>390</v>
      </c>
      <c r="CH207" s="70">
        <f t="shared" ref="CH207:CH275" si="1411">G207</f>
        <v>129</v>
      </c>
      <c r="CI207" s="71" t="str">
        <f t="shared" ref="CI207:CI275" si="1412">K207</f>
        <v>-</v>
      </c>
      <c r="CJ207" s="72">
        <f t="shared" ref="CJ207:CJ275" si="1413">O207</f>
        <v>164</v>
      </c>
      <c r="CK207" s="72">
        <f t="shared" ref="CK207:CK275" si="1414">S207</f>
        <v>169</v>
      </c>
      <c r="CL207" s="72">
        <f t="shared" ref="CL207:CL275" si="1415">W207</f>
        <v>205</v>
      </c>
      <c r="CM207" s="72" t="str">
        <f t="shared" ref="CM207:CM275" si="1416">AA207</f>
        <v>-</v>
      </c>
      <c r="CN207" s="72">
        <f t="shared" ref="CN207:CN275" si="1417">AE207</f>
        <v>240</v>
      </c>
      <c r="CO207" s="72">
        <f t="shared" ref="CO207:CO275" si="1418">AI207</f>
        <v>257</v>
      </c>
      <c r="CP207" s="72">
        <f t="shared" ref="CP207:CP275" si="1419">AM207</f>
        <v>303</v>
      </c>
      <c r="CQ207" s="72">
        <f t="shared" ref="CQ207:CQ275" si="1420">AQ207</f>
        <v>350</v>
      </c>
      <c r="CR207" s="72">
        <f t="shared" ref="CR207:CR275" si="1421">AU207</f>
        <v>389</v>
      </c>
      <c r="CS207" s="72">
        <f t="shared" ref="CS207:CS275" si="1422">AY207</f>
        <v>401</v>
      </c>
      <c r="CT207" s="23" t="e">
        <f t="shared" ref="CT207:CT275" si="1423">M207-K207</f>
        <v>#VALUE!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951"/>
        <v>ednrb_human_5GLI</v>
      </c>
      <c r="B208" s="2" t="s">
        <v>196</v>
      </c>
      <c r="C208" s="2" t="s">
        <v>1327</v>
      </c>
      <c r="D208" s="3" t="str">
        <f>IFERROR(MID(VLOOKUP($B208,Seqs!$A:$B,2,0),E208,1),"")</f>
        <v>Q</v>
      </c>
      <c r="E208" s="2">
        <v>91</v>
      </c>
      <c r="F208" s="3" t="str">
        <f>IFERROR(MID(VLOOKUP($B208,Seqs!$A:$B,2,0),G208,1),"")</f>
        <v>N</v>
      </c>
      <c r="G208" s="2">
        <v>129</v>
      </c>
      <c r="H208" s="3" t="str">
        <f>IFERROR(MID(VLOOKUP($B208,Seqs!$A:$B,2,0),I208,1),"")</f>
        <v>K</v>
      </c>
      <c r="I208" s="56">
        <v>130</v>
      </c>
      <c r="J208" s="3" t="str">
        <f>IFERROR(MID(VLOOKUP($B208,Seqs!$A:$B,2,0),K208,1),"")</f>
        <v>N</v>
      </c>
      <c r="K208" s="56">
        <v>134</v>
      </c>
      <c r="L208" s="3" t="str">
        <f>IFERROR(MID(VLOOKUP($B208,Seqs!$A:$B,2,0),M208,1),"")</f>
        <v>G</v>
      </c>
      <c r="M208" s="2">
        <v>135</v>
      </c>
      <c r="N208" s="3" t="str">
        <f>IFERROR(MID(VLOOKUP($B208,Seqs!$A:$B,2,0),O208,1),"")</f>
        <v>A</v>
      </c>
      <c r="O208" s="2">
        <v>164</v>
      </c>
      <c r="P208" s="3" t="str">
        <f>IFERROR(MID(VLOOKUP($B208,Seqs!$A:$B,2,0),Q208,1),"")</f>
        <v>D</v>
      </c>
      <c r="Q208" s="2">
        <v>166</v>
      </c>
      <c r="R208" s="3" t="str">
        <f>IFERROR(MID(VLOOKUP($B208,Seqs!$A:$B,2,0),S208,1),"")</f>
        <v>F</v>
      </c>
      <c r="S208" s="2">
        <v>169</v>
      </c>
      <c r="T208" s="3" t="str">
        <f>IFERROR(MID(VLOOKUP($B208,Seqs!$A:$B,2,0),U208,1),"")</f>
        <v>G</v>
      </c>
      <c r="U208" s="4">
        <v>170</v>
      </c>
      <c r="V208" s="3" t="str">
        <f>IFERROR(MID(VLOOKUP($B208,Seqs!$A:$B,2,0),W208,1),"")</f>
        <v>S</v>
      </c>
      <c r="W208" s="2">
        <v>205</v>
      </c>
      <c r="X208" s="3" t="str">
        <f>IFERROR(MID(VLOOKUP($B208,Seqs!$A:$B,2,0),Y208,1),"")</f>
        <v/>
      </c>
      <c r="Y208" s="2" t="s">
        <v>23</v>
      </c>
      <c r="Z208" s="3" t="str">
        <f>IFERROR(MID(VLOOKUP($B208,Seqs!$A:$B,2,0),AA208,1),"")</f>
        <v/>
      </c>
      <c r="AA208" s="2" t="s">
        <v>23</v>
      </c>
      <c r="AB208" s="3" t="str">
        <f>IFERROR(MID(VLOOKUP($B208,Seqs!$A:$B,2,0),AC208,1),"")</f>
        <v>K</v>
      </c>
      <c r="AC208" s="40">
        <v>216</v>
      </c>
      <c r="AD208" s="3" t="str">
        <f>IFERROR(MID(VLOOKUP($B208,Seqs!$A:$B,2,0),AE208,1),"")</f>
        <v>F</v>
      </c>
      <c r="AE208" s="2">
        <v>240</v>
      </c>
      <c r="AF208" s="3" t="str">
        <f>IFERROR(MID(VLOOKUP($B208,Seqs!$A:$B,2,0),AG208,1),"")</f>
        <v>C</v>
      </c>
      <c r="AG208" s="2">
        <v>255</v>
      </c>
      <c r="AH208" s="3" t="str">
        <f>IFERROR(MID(VLOOKUP($B208,Seqs!$A:$B,2,0),AI208,1),"")</f>
        <v>L</v>
      </c>
      <c r="AI208" s="2">
        <v>257</v>
      </c>
      <c r="AJ208" s="3" t="str">
        <f>IFERROR(MID(VLOOKUP($B208,Seqs!$A:$B,2,0),AK208,1),"")</f>
        <v>T</v>
      </c>
      <c r="AK208" s="2">
        <v>263</v>
      </c>
      <c r="AL208" s="3" t="str">
        <f>IFERROR(MID(VLOOKUP($B208,Seqs!$A:$B,2,0),AM208,1),"")</f>
        <v>K</v>
      </c>
      <c r="AM208" s="2">
        <v>303</v>
      </c>
      <c r="AN208" s="3" t="str">
        <f>IFERROR(MID(VLOOKUP($B208,Seqs!$A:$B,2,0),AO208,1),"")</f>
        <v>N</v>
      </c>
      <c r="AO208" s="2">
        <v>312</v>
      </c>
      <c r="AP208" s="3" t="str">
        <f>IFERROR(MID(VLOOKUP($B208,Seqs!$A:$B,2,0),AQ208,1),"")</f>
        <v>Y</v>
      </c>
      <c r="AQ208" s="2">
        <v>350</v>
      </c>
      <c r="AR208" s="3" t="str">
        <f>IFERROR(MID(VLOOKUP($B208,Seqs!$A:$B,2,0),AS208,1),"")</f>
        <v>R</v>
      </c>
      <c r="AS208" s="2">
        <v>357</v>
      </c>
      <c r="AT208" s="3" t="str">
        <f>IFERROR(MID(VLOOKUP($B208,Seqs!$A:$B,2,0),AU208,1),"")</f>
        <v>V</v>
      </c>
      <c r="AU208" s="2">
        <v>389</v>
      </c>
      <c r="AV208" s="3" t="str">
        <f>IFERROR(MID(VLOOKUP($B208,Seqs!$A:$B,2,0),AW208,1),"")</f>
        <v>S</v>
      </c>
      <c r="AW208" s="2">
        <v>390</v>
      </c>
      <c r="AX208" s="3" t="str">
        <f>IFERROR(MID(VLOOKUP($B208,Seqs!$A:$B,2,0),AY208,1),"")</f>
        <v>C</v>
      </c>
      <c r="AY208" s="2">
        <v>403</v>
      </c>
      <c r="AZ208" s="77" t="str">
        <f>VLOOKUP(B208,Classification!A:D,2,0)</f>
        <v>A</v>
      </c>
      <c r="BA208" s="94" t="str">
        <f>VLOOKUP(B208,Classification!A:D,4,0)</f>
        <v>Endothelin</v>
      </c>
      <c r="BB208" s="27" t="b">
        <f t="shared" si="952"/>
        <v>1</v>
      </c>
      <c r="BC208" s="23">
        <f t="shared" si="1398"/>
        <v>270</v>
      </c>
      <c r="BD208" s="2" t="s">
        <v>23</v>
      </c>
      <c r="BE208" s="3" t="s">
        <v>1374</v>
      </c>
      <c r="BF208" s="118">
        <v>2.5</v>
      </c>
      <c r="BG208" s="49" t="s">
        <v>1377</v>
      </c>
      <c r="BH208" s="49" t="s">
        <v>1377</v>
      </c>
      <c r="BI208" s="2"/>
      <c r="BJ208" s="70" t="s">
        <v>1287</v>
      </c>
      <c r="BK208" s="57" t="s">
        <v>1287</v>
      </c>
      <c r="BL208" s="57" t="s">
        <v>1287</v>
      </c>
      <c r="BM208" s="57" t="s">
        <v>1287</v>
      </c>
      <c r="BN208" s="57" t="s">
        <v>1287</v>
      </c>
      <c r="BO208" s="57" t="s">
        <v>1287</v>
      </c>
      <c r="BP208" s="57" t="s">
        <v>1287</v>
      </c>
      <c r="BQ208" s="57" t="s">
        <v>1287</v>
      </c>
      <c r="BR208" s="57" t="s">
        <v>1287</v>
      </c>
      <c r="BS208" s="57" t="s">
        <v>1287</v>
      </c>
      <c r="BT208" s="57" t="s">
        <v>1287</v>
      </c>
      <c r="BU208" s="57" t="s">
        <v>1287</v>
      </c>
      <c r="BV208" s="70">
        <f t="shared" si="1399"/>
        <v>91</v>
      </c>
      <c r="BW208" s="71">
        <f t="shared" si="1400"/>
        <v>130</v>
      </c>
      <c r="BX208" s="72">
        <f t="shared" si="1401"/>
        <v>135</v>
      </c>
      <c r="BY208" s="71">
        <f t="shared" si="1402"/>
        <v>166</v>
      </c>
      <c r="BZ208" s="72">
        <f t="shared" si="1403"/>
        <v>170</v>
      </c>
      <c r="CA208" s="71" t="str">
        <f t="shared" si="1404"/>
        <v>-</v>
      </c>
      <c r="CB208" s="72">
        <f t="shared" si="1405"/>
        <v>216</v>
      </c>
      <c r="CC208" s="71">
        <f t="shared" si="1406"/>
        <v>255</v>
      </c>
      <c r="CD208" s="72">
        <f t="shared" si="1407"/>
        <v>263</v>
      </c>
      <c r="CE208" s="71">
        <f t="shared" si="1408"/>
        <v>312</v>
      </c>
      <c r="CF208" s="72">
        <f t="shared" si="1409"/>
        <v>357</v>
      </c>
      <c r="CG208" s="71">
        <f t="shared" si="1410"/>
        <v>390</v>
      </c>
      <c r="CH208" s="70">
        <f t="shared" si="1411"/>
        <v>129</v>
      </c>
      <c r="CI208" s="71">
        <f t="shared" si="1412"/>
        <v>134</v>
      </c>
      <c r="CJ208" s="72">
        <f t="shared" si="1413"/>
        <v>164</v>
      </c>
      <c r="CK208" s="72">
        <f t="shared" si="1414"/>
        <v>169</v>
      </c>
      <c r="CL208" s="72">
        <f t="shared" si="1415"/>
        <v>205</v>
      </c>
      <c r="CM208" s="72" t="str">
        <f t="shared" si="1416"/>
        <v>-</v>
      </c>
      <c r="CN208" s="72">
        <f t="shared" si="1417"/>
        <v>240</v>
      </c>
      <c r="CO208" s="72">
        <f t="shared" si="1418"/>
        <v>257</v>
      </c>
      <c r="CP208" s="72">
        <f t="shared" si="1419"/>
        <v>303</v>
      </c>
      <c r="CQ208" s="72">
        <f t="shared" si="1420"/>
        <v>350</v>
      </c>
      <c r="CR208" s="72">
        <f t="shared" si="1421"/>
        <v>389</v>
      </c>
      <c r="CS208" s="72">
        <f t="shared" si="1422"/>
        <v>403</v>
      </c>
      <c r="CT208" s="23">
        <f t="shared" si="1423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29" x14ac:dyDescent="0.2">
      <c r="A209" s="3" t="str">
        <f>CONCATENATE(B209,"_",C209)</f>
        <v>ednrb_human_5X93</v>
      </c>
      <c r="B209" s="2" t="s">
        <v>196</v>
      </c>
      <c r="C209" s="2" t="s">
        <v>1438</v>
      </c>
      <c r="D209" s="3" t="str">
        <f>IFERROR(MID(VLOOKUP($B209,Seqs!$A:$B,2,0),E209,1),"")</f>
        <v>Q</v>
      </c>
      <c r="E209" s="2">
        <v>91</v>
      </c>
      <c r="F209" s="3" t="str">
        <f>IFERROR(MID(VLOOKUP($B209,Seqs!$A:$B,2,0),G209,1),"")</f>
        <v>N</v>
      </c>
      <c r="G209" s="2">
        <v>129</v>
      </c>
      <c r="H209" s="3" t="str">
        <f>IFERROR(MID(VLOOKUP($B209,Seqs!$A:$B,2,0),I209,1),"")</f>
        <v>K</v>
      </c>
      <c r="I209" s="56">
        <v>130</v>
      </c>
      <c r="J209" s="3" t="str">
        <f>IFERROR(MID(VLOOKUP($B209,Seqs!$A:$B,2,0),K209,1),"")</f>
        <v>N</v>
      </c>
      <c r="K209" s="56">
        <v>134</v>
      </c>
      <c r="L209" s="3" t="str">
        <f>IFERROR(MID(VLOOKUP($B209,Seqs!$A:$B,2,0),M209,1),"")</f>
        <v>G</v>
      </c>
      <c r="M209" s="2">
        <v>135</v>
      </c>
      <c r="N209" s="3" t="str">
        <f>IFERROR(MID(VLOOKUP($B209,Seqs!$A:$B,2,0),O209,1),"")</f>
        <v>A</v>
      </c>
      <c r="O209" s="2">
        <v>164</v>
      </c>
      <c r="P209" s="3" t="str">
        <f>IFERROR(MID(VLOOKUP($B209,Seqs!$A:$B,2,0),Q209,1),"")</f>
        <v>D</v>
      </c>
      <c r="Q209" s="2">
        <v>166</v>
      </c>
      <c r="R209" s="3" t="str">
        <f>IFERROR(MID(VLOOKUP($B209,Seqs!$A:$B,2,0),S209,1),"")</f>
        <v>F</v>
      </c>
      <c r="S209" s="2">
        <v>169</v>
      </c>
      <c r="T209" s="3" t="str">
        <f>IFERROR(MID(VLOOKUP($B209,Seqs!$A:$B,2,0),U209,1),"")</f>
        <v>G</v>
      </c>
      <c r="U209" s="4">
        <v>170</v>
      </c>
      <c r="V209" s="3" t="str">
        <f>IFERROR(MID(VLOOKUP($B209,Seqs!$A:$B,2,0),W209,1),"")</f>
        <v>S</v>
      </c>
      <c r="W209" s="2">
        <v>205</v>
      </c>
      <c r="X209" s="3" t="str">
        <f>IFERROR(MID(VLOOKUP($B209,Seqs!$A:$B,2,0),Y209,1),"")</f>
        <v/>
      </c>
      <c r="Y209" s="2" t="s">
        <v>23</v>
      </c>
      <c r="Z209" s="3" t="str">
        <f>IFERROR(MID(VLOOKUP($B209,Seqs!$A:$B,2,0),AA209,1),"")</f>
        <v/>
      </c>
      <c r="AA209" s="2" t="s">
        <v>23</v>
      </c>
      <c r="AB209" s="3" t="str">
        <f>IFERROR(MID(VLOOKUP($B209,Seqs!$A:$B,2,0),AC209,1),"")</f>
        <v>K</v>
      </c>
      <c r="AC209" s="2">
        <v>216</v>
      </c>
      <c r="AD209" s="3" t="str">
        <f>IFERROR(MID(VLOOKUP($B209,Seqs!$A:$B,2,0),AE209,1),"")</f>
        <v>F</v>
      </c>
      <c r="AE209" s="2">
        <v>240</v>
      </c>
      <c r="AF209" s="3" t="str">
        <f>IFERROR(MID(VLOOKUP($B209,Seqs!$A:$B,2,0),AG209,1),"")</f>
        <v>C</v>
      </c>
      <c r="AG209" s="2">
        <v>255</v>
      </c>
      <c r="AH209" s="3" t="str">
        <f>IFERROR(MID(VLOOKUP($B209,Seqs!$A:$B,2,0),AI209,1),"")</f>
        <v>L</v>
      </c>
      <c r="AI209" s="2">
        <v>257</v>
      </c>
      <c r="AJ209" s="3" t="str">
        <f>IFERROR(MID(VLOOKUP($B209,Seqs!$A:$B,2,0),AK209,1),"")</f>
        <v>T</v>
      </c>
      <c r="AK209" s="2">
        <v>263</v>
      </c>
      <c r="AL209" s="3" t="str">
        <f>IFERROR(MID(VLOOKUP($B209,Seqs!$A:$B,2,0),AM209,1),"")</f>
        <v>K</v>
      </c>
      <c r="AM209" s="2">
        <v>303</v>
      </c>
      <c r="AN209" s="3" t="str">
        <f>IFERROR(MID(VLOOKUP($B209,Seqs!$A:$B,2,0),AO209,1),"")</f>
        <v>N</v>
      </c>
      <c r="AO209" s="2">
        <v>312</v>
      </c>
      <c r="AP209" s="3" t="str">
        <f>IFERROR(MID(VLOOKUP($B209,Seqs!$A:$B,2,0),AQ209,1),"")</f>
        <v>Y</v>
      </c>
      <c r="AQ209" s="2">
        <v>350</v>
      </c>
      <c r="AR209" s="3" t="str">
        <f>IFERROR(MID(VLOOKUP($B209,Seqs!$A:$B,2,0),AS209,1),"")</f>
        <v>R</v>
      </c>
      <c r="AS209" s="2">
        <v>357</v>
      </c>
      <c r="AT209" s="3" t="str">
        <f>IFERROR(MID(VLOOKUP($B209,Seqs!$A:$B,2,0),AU209,1),"")</f>
        <v>V</v>
      </c>
      <c r="AU209" s="2">
        <v>389</v>
      </c>
      <c r="AV209" s="3" t="str">
        <f>IFERROR(MID(VLOOKUP($B209,Seqs!$A:$B,2,0),AW209,1),"")</f>
        <v>S</v>
      </c>
      <c r="AW209" s="2">
        <v>390</v>
      </c>
      <c r="AX209" s="3" t="str">
        <f>IFERROR(MID(VLOOKUP($B209,Seqs!$A:$B,2,0),AY209,1),"")</f>
        <v>C</v>
      </c>
      <c r="AY209" s="2">
        <v>403</v>
      </c>
      <c r="AZ209" s="77" t="str">
        <f>VLOOKUP(B209,Classification!A:D,2,0)</f>
        <v>A</v>
      </c>
      <c r="BA209" s="94" t="str">
        <f>VLOOKUP(B209,Classification!A:D,4,0)</f>
        <v>Endothelin</v>
      </c>
      <c r="BB209" s="27" t="b">
        <f>AND(E209&lt;G209,OR(G209&lt;I209,I209="-"),OR(I209&lt;K209,I209="-"),OR(K209&lt;M209,K209="-"),M209&lt;O209,OR(O209&lt;Q209,Q209="-"),OR(Q209&lt;S209,Q209="-"),OR(S209&lt;U209,S209="-"),U209&lt;W209,OR(W209&lt;Y209,Y209="-"),OR(Y209&lt;AA209,Y209="-"),OR(AA209&lt;AC209,AA209="-"),AC209&lt;AE209,OR(AE209&lt;AG209,AG209="-"),OR(AG209&lt;AI209,AG209="-"),OR(AI209&lt;AK209,AI209="-"),AK209&lt;AM209,AM209&lt;AO209,AO209&lt;AQ209,AQ209&lt;AS209,AS209&lt;AU209,OR(AU209&lt;AW209,AW209="-"),OR(AW209&lt;AY209,AW209="-"))</f>
        <v>1</v>
      </c>
      <c r="BC209" s="23">
        <f>_xlfn.AGGREGATE(9,6,CH209:CS209)-_xlfn.AGGREGATE(9,6,BV209:CG209)+12</f>
        <v>270</v>
      </c>
      <c r="BD209" s="2" t="s">
        <v>1376</v>
      </c>
      <c r="BE209" s="3" t="s">
        <v>1374</v>
      </c>
      <c r="BF209" s="118">
        <v>2.2000000000000002</v>
      </c>
      <c r="BG209" s="49" t="s">
        <v>1</v>
      </c>
      <c r="BH209" s="49" t="s">
        <v>1</v>
      </c>
      <c r="BI209" s="2"/>
      <c r="BJ209" s="70" t="s">
        <v>1287</v>
      </c>
      <c r="BK209" s="57" t="s">
        <v>1287</v>
      </c>
      <c r="BL209" s="57" t="s">
        <v>1287</v>
      </c>
      <c r="BM209" s="57" t="s">
        <v>1287</v>
      </c>
      <c r="BN209" s="57" t="s">
        <v>1287</v>
      </c>
      <c r="BO209" s="57" t="s">
        <v>1287</v>
      </c>
      <c r="BP209" s="57" t="s">
        <v>1287</v>
      </c>
      <c r="BQ209" s="57" t="s">
        <v>1287</v>
      </c>
      <c r="BR209" s="57" t="s">
        <v>1287</v>
      </c>
      <c r="BS209" s="57" t="s">
        <v>1287</v>
      </c>
      <c r="BT209" s="57" t="s">
        <v>1287</v>
      </c>
      <c r="BU209" s="57" t="s">
        <v>1287</v>
      </c>
      <c r="BV209" s="70">
        <f>E209</f>
        <v>91</v>
      </c>
      <c r="BW209" s="71">
        <f>I209</f>
        <v>130</v>
      </c>
      <c r="BX209" s="72">
        <f>M209</f>
        <v>135</v>
      </c>
      <c r="BY209" s="71">
        <f>Q209</f>
        <v>166</v>
      </c>
      <c r="BZ209" s="72">
        <f>U209</f>
        <v>170</v>
      </c>
      <c r="CA209" s="71" t="str">
        <f>Y209</f>
        <v>-</v>
      </c>
      <c r="CB209" s="72">
        <f>AC209</f>
        <v>216</v>
      </c>
      <c r="CC209" s="71">
        <f>AG209</f>
        <v>255</v>
      </c>
      <c r="CD209" s="72">
        <f>AK209</f>
        <v>263</v>
      </c>
      <c r="CE209" s="71">
        <f>AO209</f>
        <v>312</v>
      </c>
      <c r="CF209" s="72">
        <f>AS209</f>
        <v>357</v>
      </c>
      <c r="CG209" s="71">
        <f>AW209</f>
        <v>390</v>
      </c>
      <c r="CH209" s="70">
        <f>G209</f>
        <v>129</v>
      </c>
      <c r="CI209" s="71">
        <f>K209</f>
        <v>134</v>
      </c>
      <c r="CJ209" s="72">
        <f>O209</f>
        <v>164</v>
      </c>
      <c r="CK209" s="72">
        <f>S209</f>
        <v>169</v>
      </c>
      <c r="CL209" s="72">
        <f>W209</f>
        <v>205</v>
      </c>
      <c r="CM209" s="72" t="str">
        <f>AA209</f>
        <v>-</v>
      </c>
      <c r="CN209" s="72">
        <f>AE209</f>
        <v>240</v>
      </c>
      <c r="CO209" s="72">
        <f>AI209</f>
        <v>257</v>
      </c>
      <c r="CP209" s="72">
        <f>AM209</f>
        <v>303</v>
      </c>
      <c r="CQ209" s="72">
        <f>AQ209</f>
        <v>350</v>
      </c>
      <c r="CR209" s="72">
        <f>AU209</f>
        <v>389</v>
      </c>
      <c r="CS209" s="72">
        <f>AY209</f>
        <v>403</v>
      </c>
      <c r="CT209" s="23">
        <f>M209-K209</f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29" x14ac:dyDescent="0.2">
      <c r="A210" s="3" t="str">
        <f>CONCATENATE(B210,"_",C210)</f>
        <v>ednrb_human_5XPR</v>
      </c>
      <c r="B210" s="2" t="s">
        <v>196</v>
      </c>
      <c r="C210" s="2" t="s">
        <v>1439</v>
      </c>
      <c r="D210" s="3" t="str">
        <f>IFERROR(MID(VLOOKUP($B210,Seqs!$A:$B,2,0),E210,1),"")</f>
        <v>G</v>
      </c>
      <c r="E210" s="2">
        <v>92</v>
      </c>
      <c r="F210" s="3" t="str">
        <f>IFERROR(MID(VLOOKUP($B210,Seqs!$A:$B,2,0),G210,1),"")</f>
        <v>N</v>
      </c>
      <c r="G210" s="2">
        <v>129</v>
      </c>
      <c r="H210" s="3" t="str">
        <f>IFERROR(MID(VLOOKUP($B210,Seqs!$A:$B,2,0),I210,1),"")</f>
        <v>K</v>
      </c>
      <c r="I210" s="56">
        <v>130</v>
      </c>
      <c r="J210" s="3" t="str">
        <f>IFERROR(MID(VLOOKUP($B210,Seqs!$A:$B,2,0),K210,1),"")</f>
        <v>N</v>
      </c>
      <c r="K210" s="56">
        <v>134</v>
      </c>
      <c r="L210" s="3" t="str">
        <f>IFERROR(MID(VLOOKUP($B210,Seqs!$A:$B,2,0),M210,1),"")</f>
        <v>G</v>
      </c>
      <c r="M210" s="2">
        <v>135</v>
      </c>
      <c r="N210" s="3" t="str">
        <f>IFERROR(MID(VLOOKUP($B210,Seqs!$A:$B,2,0),O210,1),"")</f>
        <v>A</v>
      </c>
      <c r="O210" s="2">
        <v>164</v>
      </c>
      <c r="P210" s="3" t="str">
        <f>IFERROR(MID(VLOOKUP($B210,Seqs!$A:$B,2,0),Q210,1),"")</f>
        <v>D</v>
      </c>
      <c r="Q210" s="2">
        <v>166</v>
      </c>
      <c r="R210" s="3" t="str">
        <f>IFERROR(MID(VLOOKUP($B210,Seqs!$A:$B,2,0),S210,1),"")</f>
        <v>F</v>
      </c>
      <c r="S210" s="2">
        <v>169</v>
      </c>
      <c r="T210" s="3" t="str">
        <f>IFERROR(MID(VLOOKUP($B210,Seqs!$A:$B,2,0),U210,1),"")</f>
        <v>A</v>
      </c>
      <c r="U210" s="4">
        <v>171</v>
      </c>
      <c r="V210" s="3" t="str">
        <f>IFERROR(MID(VLOOKUP($B210,Seqs!$A:$B,2,0),W210,1),"")</f>
        <v>A</v>
      </c>
      <c r="W210" s="2">
        <v>202</v>
      </c>
      <c r="X210" s="3" t="str">
        <f>IFERROR(MID(VLOOKUP($B210,Seqs!$A:$B,2,0),Y210,1),"")</f>
        <v/>
      </c>
      <c r="Y210" s="2" t="s">
        <v>23</v>
      </c>
      <c r="Z210" s="3" t="str">
        <f>IFERROR(MID(VLOOKUP($B210,Seqs!$A:$B,2,0),AA210,1),"")</f>
        <v/>
      </c>
      <c r="AA210" s="2" t="s">
        <v>23</v>
      </c>
      <c r="AB210" s="3" t="str">
        <f>IFERROR(MID(VLOOKUP($B210,Seqs!$A:$B,2,0),AC210,1),"")</f>
        <v>K</v>
      </c>
      <c r="AC210" s="2">
        <v>216</v>
      </c>
      <c r="AD210" s="3" t="str">
        <f>IFERROR(MID(VLOOKUP($B210,Seqs!$A:$B,2,0),AE210,1),"")</f>
        <v>F</v>
      </c>
      <c r="AE210" s="2">
        <v>240</v>
      </c>
      <c r="AF210" s="3" t="str">
        <f>IFERROR(MID(VLOOKUP($B210,Seqs!$A:$B,2,0),AG210,1),"")</f>
        <v>C</v>
      </c>
      <c r="AG210" s="2">
        <v>255</v>
      </c>
      <c r="AH210" s="3" t="str">
        <f>IFERROR(MID(VLOOKUP($B210,Seqs!$A:$B,2,0),AI210,1),"")</f>
        <v>L</v>
      </c>
      <c r="AI210" s="2">
        <v>257</v>
      </c>
      <c r="AJ210" s="3" t="str">
        <f>IFERROR(MID(VLOOKUP($B210,Seqs!$A:$B,2,0),AK210,1),"")</f>
        <v>T</v>
      </c>
      <c r="AK210" s="2">
        <v>263</v>
      </c>
      <c r="AL210" s="3" t="str">
        <f>IFERROR(MID(VLOOKUP($B210,Seqs!$A:$B,2,0),AM210,1),"")</f>
        <v>K</v>
      </c>
      <c r="AM210" s="2">
        <v>303</v>
      </c>
      <c r="AN210" s="3" t="str">
        <f>IFERROR(MID(VLOOKUP($B210,Seqs!$A:$B,2,0),AO210,1),"")</f>
        <v>N</v>
      </c>
      <c r="AO210" s="2">
        <v>312</v>
      </c>
      <c r="AP210" s="3" t="str">
        <f>IFERROR(MID(VLOOKUP($B210,Seqs!$A:$B,2,0),AQ210,1),"")</f>
        <v>L</v>
      </c>
      <c r="AQ210" s="2">
        <v>349</v>
      </c>
      <c r="AR210" s="3" t="str">
        <f>IFERROR(MID(VLOOKUP($B210,Seqs!$A:$B,2,0),AS210,1),"")</f>
        <v>N</v>
      </c>
      <c r="AS210" s="2">
        <v>356</v>
      </c>
      <c r="AT210" s="3" t="str">
        <f>IFERROR(MID(VLOOKUP($B210,Seqs!$A:$B,2,0),AU210,1),"")</f>
        <v>V</v>
      </c>
      <c r="AU210" s="2">
        <v>389</v>
      </c>
      <c r="AV210" s="3" t="str">
        <f>IFERROR(MID(VLOOKUP($B210,Seqs!$A:$B,2,0),AW210,1),"")</f>
        <v>S</v>
      </c>
      <c r="AW210" s="2">
        <v>390</v>
      </c>
      <c r="AX210" s="3" t="str">
        <f>IFERROR(MID(VLOOKUP($B210,Seqs!$A:$B,2,0),AY210,1),"")</f>
        <v>C</v>
      </c>
      <c r="AY210" s="2">
        <v>402</v>
      </c>
      <c r="AZ210" s="77" t="str">
        <f>VLOOKUP(B210,Classification!A:D,2,0)</f>
        <v>A</v>
      </c>
      <c r="BA210" s="94" t="str">
        <f>VLOOKUP(B210,Classification!A:D,4,0)</f>
        <v>Endothelin</v>
      </c>
      <c r="BB210" s="27" t="b">
        <f>AND(E210&lt;G210,OR(G210&lt;I210,I210="-"),OR(I210&lt;K210,I210="-"),OR(K210&lt;M210,K210="-"),M210&lt;O210,OR(O210&lt;Q210,Q210="-"),OR(Q210&lt;S210,Q210="-"),OR(S210&lt;U210,S210="-"),U210&lt;W210,OR(W210&lt;Y210,Y210="-"),OR(Y210&lt;AA210,Y210="-"),OR(AA210&lt;AC210,AA210="-"),AC210&lt;AE210,OR(AE210&lt;AG210,AG210="-"),OR(AG210&lt;AI210,AG210="-"),OR(AI210&lt;AK210,AI210="-"),AK210&lt;AM210,AM210&lt;AO210,AO210&lt;AQ210,AQ210&lt;AS210,AS210&lt;AU210,OR(AU210&lt;AW210,AW210="-"),OR(AW210&lt;AY210,AW210="-"))</f>
        <v>1</v>
      </c>
      <c r="BC210" s="23">
        <f>_xlfn.AGGREGATE(9,6,CH210:CS210)-_xlfn.AGGREGATE(9,6,BV210:CG210)+12</f>
        <v>264</v>
      </c>
      <c r="BD210" s="2" t="s">
        <v>23</v>
      </c>
      <c r="BE210" s="3" t="s">
        <v>1374</v>
      </c>
      <c r="BF210" s="118">
        <v>3.6</v>
      </c>
      <c r="BG210" s="49" t="s">
        <v>1</v>
      </c>
      <c r="BH210" s="49" t="s">
        <v>1</v>
      </c>
      <c r="BI210" s="2"/>
      <c r="BJ210" s="70" t="s">
        <v>1287</v>
      </c>
      <c r="BK210" s="57" t="s">
        <v>1287</v>
      </c>
      <c r="BL210" s="57" t="s">
        <v>1287</v>
      </c>
      <c r="BM210" s="57" t="s">
        <v>1287</v>
      </c>
      <c r="BN210" s="57" t="s">
        <v>1287</v>
      </c>
      <c r="BO210" s="57" t="s">
        <v>1287</v>
      </c>
      <c r="BP210" s="57" t="s">
        <v>1287</v>
      </c>
      <c r="BQ210" s="57" t="s">
        <v>1287</v>
      </c>
      <c r="BR210" s="57" t="s">
        <v>1287</v>
      </c>
      <c r="BS210" s="57" t="s">
        <v>1287</v>
      </c>
      <c r="BT210" s="57" t="s">
        <v>1287</v>
      </c>
      <c r="BU210" s="57" t="s">
        <v>1287</v>
      </c>
      <c r="BV210" s="70">
        <f>E210</f>
        <v>92</v>
      </c>
      <c r="BW210" s="71">
        <f>I210</f>
        <v>130</v>
      </c>
      <c r="BX210" s="72">
        <f>M210</f>
        <v>135</v>
      </c>
      <c r="BY210" s="71">
        <f>Q210</f>
        <v>166</v>
      </c>
      <c r="BZ210" s="72">
        <f>U210</f>
        <v>171</v>
      </c>
      <c r="CA210" s="71" t="str">
        <f>Y210</f>
        <v>-</v>
      </c>
      <c r="CB210" s="72">
        <f>AC210</f>
        <v>216</v>
      </c>
      <c r="CC210" s="71">
        <f>AG210</f>
        <v>255</v>
      </c>
      <c r="CD210" s="72">
        <f>AK210</f>
        <v>263</v>
      </c>
      <c r="CE210" s="71">
        <f>AO210</f>
        <v>312</v>
      </c>
      <c r="CF210" s="72">
        <f>AS210</f>
        <v>356</v>
      </c>
      <c r="CG210" s="71">
        <f>AW210</f>
        <v>390</v>
      </c>
      <c r="CH210" s="70">
        <f>G210</f>
        <v>129</v>
      </c>
      <c r="CI210" s="71">
        <f>K210</f>
        <v>134</v>
      </c>
      <c r="CJ210" s="72">
        <f>O210</f>
        <v>164</v>
      </c>
      <c r="CK210" s="72">
        <f>S210</f>
        <v>169</v>
      </c>
      <c r="CL210" s="72">
        <f>W210</f>
        <v>202</v>
      </c>
      <c r="CM210" s="72" t="str">
        <f>AA210</f>
        <v>-</v>
      </c>
      <c r="CN210" s="72">
        <f>AE210</f>
        <v>240</v>
      </c>
      <c r="CO210" s="72">
        <f>AI210</f>
        <v>257</v>
      </c>
      <c r="CP210" s="72">
        <f>AM210</f>
        <v>303</v>
      </c>
      <c r="CQ210" s="72">
        <f>AQ210</f>
        <v>349</v>
      </c>
      <c r="CR210" s="72">
        <f>AU210</f>
        <v>389</v>
      </c>
      <c r="CS210" s="72">
        <f>AY210</f>
        <v>402</v>
      </c>
      <c r="CT210" s="23">
        <f>M210-K210</f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29" s="12" customFormat="1" x14ac:dyDescent="0.2">
      <c r="A211" s="9" t="str">
        <f>CONCATENATE(B211,"_",C211)</f>
        <v>ednrb_human_6IGL</v>
      </c>
      <c r="B211" s="40" t="s">
        <v>196</v>
      </c>
      <c r="C211" s="40" t="s">
        <v>1528</v>
      </c>
      <c r="D211" s="9" t="str">
        <f>IFERROR(MID(VLOOKUP($B211,Seqs!$A:$B,2,0),E211,1),"")</f>
        <v>K</v>
      </c>
      <c r="E211" s="40">
        <v>97</v>
      </c>
      <c r="F211" s="9" t="str">
        <f>IFERROR(MID(VLOOKUP($B211,Seqs!$A:$B,2,0),G211,1),"")</f>
        <v>N</v>
      </c>
      <c r="G211" s="40">
        <v>129</v>
      </c>
      <c r="H211" s="9" t="str">
        <f>IFERROR(MID(VLOOKUP($B211,Seqs!$A:$B,2,0),I211,1),"")</f>
        <v/>
      </c>
      <c r="I211" s="129" t="s">
        <v>23</v>
      </c>
      <c r="J211" s="9" t="str">
        <f>IFERROR(MID(VLOOKUP($B211,Seqs!$A:$B,2,0),K211,1),"")</f>
        <v/>
      </c>
      <c r="K211" s="129" t="s">
        <v>23</v>
      </c>
      <c r="L211" s="9" t="str">
        <f>IFERROR(MID(VLOOKUP($B211,Seqs!$A:$B,2,0),M211,1),"")</f>
        <v>N</v>
      </c>
      <c r="M211" s="40">
        <v>134</v>
      </c>
      <c r="N211" s="9" t="str">
        <f>IFERROR(MID(VLOOKUP($B211,Seqs!$A:$B,2,0),O211,1),"")</f>
        <v>E</v>
      </c>
      <c r="O211" s="40">
        <v>165</v>
      </c>
      <c r="P211" s="9" t="str">
        <f>IFERROR(MID(VLOOKUP($B211,Seqs!$A:$B,2,0),Q211,1),"")</f>
        <v>D</v>
      </c>
      <c r="Q211" s="40">
        <v>166</v>
      </c>
      <c r="R211" s="9" t="str">
        <f>IFERROR(MID(VLOOKUP($B211,Seqs!$A:$B,2,0),S211,1),"")</f>
        <v>F</v>
      </c>
      <c r="S211" s="40">
        <v>169</v>
      </c>
      <c r="T211" s="9" t="str">
        <f>IFERROR(MID(VLOOKUP($B211,Seqs!$A:$B,2,0),U211,1),"")</f>
        <v>G</v>
      </c>
      <c r="U211" s="11">
        <v>170</v>
      </c>
      <c r="V211" s="9" t="str">
        <f>IFERROR(MID(VLOOKUP($B211,Seqs!$A:$B,2,0),W211,1),"")</f>
        <v>V</v>
      </c>
      <c r="W211" s="40">
        <v>203</v>
      </c>
      <c r="X211" s="9" t="str">
        <f>IFERROR(MID(VLOOKUP($B211,Seqs!$A:$B,2,0),Y211,1),"")</f>
        <v/>
      </c>
      <c r="Y211" s="40" t="s">
        <v>23</v>
      </c>
      <c r="Z211" s="9" t="str">
        <f>IFERROR(MID(VLOOKUP($B211,Seqs!$A:$B,2,0),AA211,1),"")</f>
        <v/>
      </c>
      <c r="AA211" s="40" t="s">
        <v>23</v>
      </c>
      <c r="AB211" s="9" t="str">
        <f>IFERROR(MID(VLOOKUP($B211,Seqs!$A:$B,2,0),AC211,1),"")</f>
        <v>W</v>
      </c>
      <c r="AC211" s="40">
        <v>217</v>
      </c>
      <c r="AD211" s="9" t="str">
        <f>IFERROR(MID(VLOOKUP($B211,Seqs!$A:$B,2,0),AE211,1),"")</f>
        <v>F</v>
      </c>
      <c r="AE211" s="40">
        <v>240</v>
      </c>
      <c r="AF211" s="9" t="str">
        <f>IFERROR(MID(VLOOKUP($B211,Seqs!$A:$B,2,0),AG211,1),"")</f>
        <v>C</v>
      </c>
      <c r="AG211" s="40">
        <v>255</v>
      </c>
      <c r="AH211" s="9" t="str">
        <f>IFERROR(MID(VLOOKUP($B211,Seqs!$A:$B,2,0),AI211,1),"")</f>
        <v>L</v>
      </c>
      <c r="AI211" s="40">
        <v>257</v>
      </c>
      <c r="AJ211" s="9" t="str">
        <f>IFERROR(MID(VLOOKUP($B211,Seqs!$A:$B,2,0),AK211,1),"")</f>
        <v>T</v>
      </c>
      <c r="AK211" s="40">
        <v>263</v>
      </c>
      <c r="AL211" s="9" t="str">
        <f>IFERROR(MID(VLOOKUP($B211,Seqs!$A:$B,2,0),AM211,1),"")</f>
        <v>K</v>
      </c>
      <c r="AM211" s="40">
        <v>303</v>
      </c>
      <c r="AN211" s="9" t="str">
        <f>IFERROR(MID(VLOOKUP($B211,Seqs!$A:$B,2,0),AO211,1),"")</f>
        <v>N</v>
      </c>
      <c r="AO211" s="40">
        <v>312</v>
      </c>
      <c r="AP211" s="9" t="str">
        <f>IFERROR(MID(VLOOKUP($B211,Seqs!$A:$B,2,0),AQ211,1),"")</f>
        <v>Y</v>
      </c>
      <c r="AQ211" s="40">
        <v>350</v>
      </c>
      <c r="AR211" s="9" t="str">
        <f>IFERROR(MID(VLOOKUP($B211,Seqs!$A:$B,2,0),AS211,1),"")</f>
        <v>R</v>
      </c>
      <c r="AS211" s="40">
        <v>357</v>
      </c>
      <c r="AT211" s="9" t="str">
        <f>IFERROR(MID(VLOOKUP($B211,Seqs!$A:$B,2,0),AU211,1),"")</f>
        <v>V</v>
      </c>
      <c r="AU211" s="40">
        <v>389</v>
      </c>
      <c r="AV211" s="9" t="str">
        <f>IFERROR(MID(VLOOKUP($B211,Seqs!$A:$B,2,0),AW211,1),"")</f>
        <v>S</v>
      </c>
      <c r="AW211" s="40">
        <v>390</v>
      </c>
      <c r="AX211" s="9" t="str">
        <f>IFERROR(MID(VLOOKUP($B211,Seqs!$A:$B,2,0),AY211,1),"")</f>
        <v>L</v>
      </c>
      <c r="AY211" s="40">
        <v>401</v>
      </c>
      <c r="AZ211" s="110" t="str">
        <f>VLOOKUP(B211,Classification!A:D,2,0)</f>
        <v>A</v>
      </c>
      <c r="BA211" s="98" t="str">
        <f>VLOOKUP(B211,Classification!A:D,4,0)</f>
        <v>Endothelin</v>
      </c>
      <c r="BB211" s="36" t="b">
        <f>AND(E211&lt;G211,OR(G211&lt;I211,I211="-"),OR(I211&lt;K211,I211="-"),OR(K211&lt;M211,K211="-"),M211&lt;O211,OR(O211&lt;Q211,Q211="-"),OR(Q211&lt;S211,Q211="-"),OR(S211&lt;U211,S211="-"),U211&lt;W211,OR(W211&lt;Y211,Y211="-"),OR(Y211&lt;AA211,Y211="-"),OR(AA211&lt;AC211,AA211="-"),AC211&lt;AE211,OR(AE211&lt;AG211,AG211="-"),OR(AG211&lt;AI211,AG211="-"),OR(AI211&lt;AK211,AI211="-"),AK211&lt;AM211,AM211&lt;AO211,AO211&lt;AQ211,AQ211&lt;AS211,AS211&lt;AU211,OR(AU211&lt;AW211,AW211="-"),OR(AW211&lt;AY211,AW211="-"))</f>
        <v>1</v>
      </c>
      <c r="BC211" s="109">
        <f>_xlfn.AGGREGATE(9,6,CH211:CS211)-_xlfn.AGGREGATE(9,6,BV211:CG211)+12</f>
        <v>257</v>
      </c>
      <c r="BD211" s="40" t="s">
        <v>23</v>
      </c>
      <c r="BE211" s="9" t="s">
        <v>1374</v>
      </c>
      <c r="BF211" s="119">
        <v>2.7</v>
      </c>
      <c r="BG211" s="51" t="s">
        <v>1</v>
      </c>
      <c r="BH211" s="51" t="s">
        <v>1</v>
      </c>
      <c r="BI211" s="40"/>
      <c r="BJ211" s="111" t="s">
        <v>1287</v>
      </c>
      <c r="BK211" s="112" t="s">
        <v>1287</v>
      </c>
      <c r="BL211" s="112" t="s">
        <v>1287</v>
      </c>
      <c r="BM211" s="112" t="s">
        <v>1287</v>
      </c>
      <c r="BN211" s="112" t="s">
        <v>1287</v>
      </c>
      <c r="BO211" s="112" t="s">
        <v>1287</v>
      </c>
      <c r="BP211" s="112" t="s">
        <v>1287</v>
      </c>
      <c r="BQ211" s="112" t="s">
        <v>1287</v>
      </c>
      <c r="BR211" s="112" t="s">
        <v>1287</v>
      </c>
      <c r="BS211" s="112" t="s">
        <v>1287</v>
      </c>
      <c r="BT211" s="112" t="s">
        <v>1287</v>
      </c>
      <c r="BU211" s="112" t="s">
        <v>1287</v>
      </c>
      <c r="BV211" s="111">
        <f>E211</f>
        <v>97</v>
      </c>
      <c r="BW211" s="113" t="str">
        <f>I211</f>
        <v>-</v>
      </c>
      <c r="BX211" s="114">
        <f>M211</f>
        <v>134</v>
      </c>
      <c r="BY211" s="113">
        <f>Q211</f>
        <v>166</v>
      </c>
      <c r="BZ211" s="114">
        <f>U211</f>
        <v>170</v>
      </c>
      <c r="CA211" s="113" t="str">
        <f>Y211</f>
        <v>-</v>
      </c>
      <c r="CB211" s="114">
        <f>AC211</f>
        <v>217</v>
      </c>
      <c r="CC211" s="113">
        <f>AG211</f>
        <v>255</v>
      </c>
      <c r="CD211" s="114">
        <f>AK211</f>
        <v>263</v>
      </c>
      <c r="CE211" s="113">
        <f>AO211</f>
        <v>312</v>
      </c>
      <c r="CF211" s="114">
        <f>AS211</f>
        <v>357</v>
      </c>
      <c r="CG211" s="113">
        <f>AW211</f>
        <v>390</v>
      </c>
      <c r="CH211" s="111">
        <f>G211</f>
        <v>129</v>
      </c>
      <c r="CI211" s="113" t="str">
        <f>K211</f>
        <v>-</v>
      </c>
      <c r="CJ211" s="114">
        <f>O211</f>
        <v>165</v>
      </c>
      <c r="CK211" s="114">
        <f>S211</f>
        <v>169</v>
      </c>
      <c r="CL211" s="114">
        <f>W211</f>
        <v>203</v>
      </c>
      <c r="CM211" s="114" t="str">
        <f>AA211</f>
        <v>-</v>
      </c>
      <c r="CN211" s="114">
        <f>AE211</f>
        <v>240</v>
      </c>
      <c r="CO211" s="114">
        <f>AI211</f>
        <v>257</v>
      </c>
      <c r="CP211" s="114">
        <f>AM211</f>
        <v>303</v>
      </c>
      <c r="CQ211" s="114">
        <f>AQ211</f>
        <v>350</v>
      </c>
      <c r="CR211" s="114">
        <f>AU211</f>
        <v>389</v>
      </c>
      <c r="CS211" s="114">
        <f>AY211</f>
        <v>401</v>
      </c>
      <c r="CT211" s="109" t="e">
        <f>M211-K211</f>
        <v>#VALUE!</v>
      </c>
    </row>
    <row r="212" spans="1:1029" s="12" customFormat="1" x14ac:dyDescent="0.2">
      <c r="A212" s="9" t="str">
        <f>CONCATENATE(B212,"_",C212)</f>
        <v>ednrb_human_6IGK</v>
      </c>
      <c r="B212" s="40" t="s">
        <v>196</v>
      </c>
      <c r="C212" s="40" t="s">
        <v>1529</v>
      </c>
      <c r="D212" s="9" t="str">
        <f>IFERROR(MID(VLOOKUP($B212,Seqs!$A:$B,2,0),E212,1),"")</f>
        <v>K</v>
      </c>
      <c r="E212" s="40">
        <v>97</v>
      </c>
      <c r="F212" s="9" t="str">
        <f>IFERROR(MID(VLOOKUP($B212,Seqs!$A:$B,2,0),G212,1),"")</f>
        <v>N</v>
      </c>
      <c r="G212" s="40">
        <v>129</v>
      </c>
      <c r="H212" s="9" t="str">
        <f>IFERROR(MID(VLOOKUP($B212,Seqs!$A:$B,2,0),I212,1),"")</f>
        <v/>
      </c>
      <c r="I212" s="129" t="s">
        <v>23</v>
      </c>
      <c r="J212" s="9" t="str">
        <f>IFERROR(MID(VLOOKUP($B212,Seqs!$A:$B,2,0),K212,1),"")</f>
        <v/>
      </c>
      <c r="K212" s="129" t="s">
        <v>23</v>
      </c>
      <c r="L212" s="9" t="str">
        <f>IFERROR(MID(VLOOKUP($B212,Seqs!$A:$B,2,0),M212,1),"")</f>
        <v>N</v>
      </c>
      <c r="M212" s="40">
        <v>134</v>
      </c>
      <c r="N212" s="9" t="str">
        <f>IFERROR(MID(VLOOKUP($B212,Seqs!$A:$B,2,0),O212,1),"")</f>
        <v>E</v>
      </c>
      <c r="O212" s="40">
        <v>165</v>
      </c>
      <c r="P212" s="9" t="str">
        <f>IFERROR(MID(VLOOKUP($B212,Seqs!$A:$B,2,0),Q212,1),"")</f>
        <v>D</v>
      </c>
      <c r="Q212" s="40">
        <v>166</v>
      </c>
      <c r="R212" s="9" t="str">
        <f>IFERROR(MID(VLOOKUP($B212,Seqs!$A:$B,2,0),S212,1),"")</f>
        <v>F</v>
      </c>
      <c r="S212" s="40">
        <v>169</v>
      </c>
      <c r="T212" s="9" t="str">
        <f>IFERROR(MID(VLOOKUP($B212,Seqs!$A:$B,2,0),U212,1),"")</f>
        <v>G</v>
      </c>
      <c r="U212" s="11">
        <v>170</v>
      </c>
      <c r="V212" s="9" t="str">
        <f>IFERROR(MID(VLOOKUP($B212,Seqs!$A:$B,2,0),W212,1),"")</f>
        <v>S</v>
      </c>
      <c r="W212" s="40">
        <v>205</v>
      </c>
      <c r="X212" s="9" t="str">
        <f>IFERROR(MID(VLOOKUP($B212,Seqs!$A:$B,2,0),Y212,1),"")</f>
        <v/>
      </c>
      <c r="Y212" s="40" t="s">
        <v>23</v>
      </c>
      <c r="Z212" s="9" t="str">
        <f>IFERROR(MID(VLOOKUP($B212,Seqs!$A:$B,2,0),AA212,1),"")</f>
        <v/>
      </c>
      <c r="AA212" s="40" t="s">
        <v>23</v>
      </c>
      <c r="AB212" s="9" t="str">
        <f>IFERROR(MID(VLOOKUP($B212,Seqs!$A:$B,2,0),AC212,1),"")</f>
        <v>P</v>
      </c>
      <c r="AC212" s="40">
        <v>215</v>
      </c>
      <c r="AD212" s="9" t="str">
        <f>IFERROR(MID(VLOOKUP($B212,Seqs!$A:$B,2,0),AE212,1),"")</f>
        <v>F</v>
      </c>
      <c r="AE212" s="40">
        <v>240</v>
      </c>
      <c r="AF212" s="9" t="str">
        <f>IFERROR(MID(VLOOKUP($B212,Seqs!$A:$B,2,0),AG212,1),"")</f>
        <v>C</v>
      </c>
      <c r="AG212" s="40">
        <v>255</v>
      </c>
      <c r="AH212" s="9" t="str">
        <f>IFERROR(MID(VLOOKUP($B212,Seqs!$A:$B,2,0),AI212,1),"")</f>
        <v>L</v>
      </c>
      <c r="AI212" s="40">
        <v>257</v>
      </c>
      <c r="AJ212" s="9" t="str">
        <f>IFERROR(MID(VLOOKUP($B212,Seqs!$A:$B,2,0),AK212,1),"")</f>
        <v>T</v>
      </c>
      <c r="AK212" s="40">
        <v>263</v>
      </c>
      <c r="AL212" s="9" t="str">
        <f>IFERROR(MID(VLOOKUP($B212,Seqs!$A:$B,2,0),AM212,1),"")</f>
        <v>K</v>
      </c>
      <c r="AM212" s="40">
        <v>303</v>
      </c>
      <c r="AN212" s="9" t="str">
        <f>IFERROR(MID(VLOOKUP($B212,Seqs!$A:$B,2,0),AO212,1),"")</f>
        <v>N</v>
      </c>
      <c r="AO212" s="40">
        <v>312</v>
      </c>
      <c r="AP212" s="9" t="str">
        <f>IFERROR(MID(VLOOKUP($B212,Seqs!$A:$B,2,0),AQ212,1),"")</f>
        <v>Y</v>
      </c>
      <c r="AQ212" s="40">
        <v>350</v>
      </c>
      <c r="AR212" s="9" t="str">
        <f>IFERROR(MID(VLOOKUP($B212,Seqs!$A:$B,2,0),AS212,1),"")</f>
        <v>N</v>
      </c>
      <c r="AS212" s="40">
        <v>356</v>
      </c>
      <c r="AT212" s="9" t="str">
        <f>IFERROR(MID(VLOOKUP($B212,Seqs!$A:$B,2,0),AU212,1),"")</f>
        <v>V</v>
      </c>
      <c r="AU212" s="40">
        <v>389</v>
      </c>
      <c r="AV212" s="9" t="str">
        <f>IFERROR(MID(VLOOKUP($B212,Seqs!$A:$B,2,0),AW212,1),"")</f>
        <v>S</v>
      </c>
      <c r="AW212" s="40">
        <v>390</v>
      </c>
      <c r="AX212" s="9" t="str">
        <f>IFERROR(MID(VLOOKUP($B212,Seqs!$A:$B,2,0),AY212,1),"")</f>
        <v>C</v>
      </c>
      <c r="AY212" s="40">
        <v>402</v>
      </c>
      <c r="AZ212" s="110" t="str">
        <f>VLOOKUP(B212,Classification!A:D,2,0)</f>
        <v>A</v>
      </c>
      <c r="BA212" s="98" t="str">
        <f>VLOOKUP(B212,Classification!A:D,4,0)</f>
        <v>Endothelin</v>
      </c>
      <c r="BB212" s="36" t="b">
        <f>AND(E212&lt;G212,OR(G212&lt;I212,I212="-"),OR(I212&lt;K212,I212="-"),OR(K212&lt;M212,K212="-"),M212&lt;O212,OR(O212&lt;Q212,Q212="-"),OR(Q212&lt;S212,Q212="-"),OR(S212&lt;U212,S212="-"),U212&lt;W212,OR(W212&lt;Y212,Y212="-"),OR(Y212&lt;AA212,Y212="-"),OR(AA212&lt;AC212,AA212="-"),AC212&lt;AE212,OR(AE212&lt;AG212,AG212="-"),OR(AG212&lt;AI212,AG212="-"),OR(AI212&lt;AK212,AI212="-"),AK212&lt;AM212,AM212&lt;AO212,AO212&lt;AQ212,AQ212&lt;AS212,AS212&lt;AU212,OR(AU212&lt;AW212,AW212="-"),OR(AW212&lt;AY212,AW212="-"))</f>
        <v>1</v>
      </c>
      <c r="BC212" s="109">
        <f>_xlfn.AGGREGATE(9,6,CH212:CS212)-_xlfn.AGGREGATE(9,6,BV212:CG212)+12</f>
        <v>263</v>
      </c>
      <c r="BD212" s="40" t="s">
        <v>23</v>
      </c>
      <c r="BE212" s="9" t="s">
        <v>1374</v>
      </c>
      <c r="BF212" s="119">
        <v>2</v>
      </c>
      <c r="BG212" s="51" t="s">
        <v>1</v>
      </c>
      <c r="BH212" s="51" t="s">
        <v>1</v>
      </c>
      <c r="BI212" s="40"/>
      <c r="BJ212" s="111" t="s">
        <v>1287</v>
      </c>
      <c r="BK212" s="112" t="s">
        <v>1287</v>
      </c>
      <c r="BL212" s="112" t="s">
        <v>1287</v>
      </c>
      <c r="BM212" s="112" t="s">
        <v>1287</v>
      </c>
      <c r="BN212" s="112" t="s">
        <v>1287</v>
      </c>
      <c r="BO212" s="112" t="s">
        <v>1287</v>
      </c>
      <c r="BP212" s="112" t="s">
        <v>1287</v>
      </c>
      <c r="BQ212" s="112" t="s">
        <v>1287</v>
      </c>
      <c r="BR212" s="112" t="s">
        <v>1287</v>
      </c>
      <c r="BS212" s="112" t="s">
        <v>1287</v>
      </c>
      <c r="BT212" s="112" t="s">
        <v>1287</v>
      </c>
      <c r="BU212" s="112" t="s">
        <v>1287</v>
      </c>
      <c r="BV212" s="111">
        <f>E212</f>
        <v>97</v>
      </c>
      <c r="BW212" s="113" t="str">
        <f>I212</f>
        <v>-</v>
      </c>
      <c r="BX212" s="114">
        <f>M212</f>
        <v>134</v>
      </c>
      <c r="BY212" s="113">
        <f>Q212</f>
        <v>166</v>
      </c>
      <c r="BZ212" s="114">
        <f>U212</f>
        <v>170</v>
      </c>
      <c r="CA212" s="113" t="str">
        <f>Y212</f>
        <v>-</v>
      </c>
      <c r="CB212" s="114">
        <f>AC212</f>
        <v>215</v>
      </c>
      <c r="CC212" s="113">
        <f>AG212</f>
        <v>255</v>
      </c>
      <c r="CD212" s="114">
        <f>AK212</f>
        <v>263</v>
      </c>
      <c r="CE212" s="113">
        <f>AO212</f>
        <v>312</v>
      </c>
      <c r="CF212" s="114">
        <f>AS212</f>
        <v>356</v>
      </c>
      <c r="CG212" s="113">
        <f>AW212</f>
        <v>390</v>
      </c>
      <c r="CH212" s="111">
        <f>G212</f>
        <v>129</v>
      </c>
      <c r="CI212" s="113" t="str">
        <f>K212</f>
        <v>-</v>
      </c>
      <c r="CJ212" s="114">
        <f>O212</f>
        <v>165</v>
      </c>
      <c r="CK212" s="114">
        <f>S212</f>
        <v>169</v>
      </c>
      <c r="CL212" s="114">
        <f>W212</f>
        <v>205</v>
      </c>
      <c r="CM212" s="114" t="str">
        <f>AA212</f>
        <v>-</v>
      </c>
      <c r="CN212" s="114">
        <f>AE212</f>
        <v>240</v>
      </c>
      <c r="CO212" s="114">
        <f>AI212</f>
        <v>257</v>
      </c>
      <c r="CP212" s="114">
        <f>AM212</f>
        <v>303</v>
      </c>
      <c r="CQ212" s="114">
        <f>AQ212</f>
        <v>350</v>
      </c>
      <c r="CR212" s="114">
        <f>AU212</f>
        <v>389</v>
      </c>
      <c r="CS212" s="114">
        <f>AY212</f>
        <v>402</v>
      </c>
      <c r="CT212" s="109" t="e">
        <f>M212-K212</f>
        <v>#VALUE!</v>
      </c>
    </row>
    <row r="213" spans="1:1029" s="12" customFormat="1" x14ac:dyDescent="0.2">
      <c r="A213" s="9" t="str">
        <f>CONCATENATE(B213,"_",C213)</f>
        <v>ednrb_human_6K1Q</v>
      </c>
      <c r="B213" s="40" t="s">
        <v>196</v>
      </c>
      <c r="C213" s="40" t="s">
        <v>1586</v>
      </c>
      <c r="D213" s="9" t="str">
        <f>IFERROR(MID(VLOOKUP($B213,Seqs!$A:$B,2,0),E213,1),"")</f>
        <v>Q</v>
      </c>
      <c r="E213" s="40">
        <v>91</v>
      </c>
      <c r="F213" s="9" t="str">
        <f>IFERROR(MID(VLOOKUP($B213,Seqs!$A:$B,2,0),G213,1),"")</f>
        <v>N</v>
      </c>
      <c r="G213" s="40">
        <v>129</v>
      </c>
      <c r="H213" s="9" t="str">
        <f>IFERROR(MID(VLOOKUP($B213,Seqs!$A:$B,2,0),I213,1),"")</f>
        <v/>
      </c>
      <c r="I213" s="129" t="s">
        <v>23</v>
      </c>
      <c r="J213" s="9" t="str">
        <f>IFERROR(MID(VLOOKUP($B213,Seqs!$A:$B,2,0),K213,1),"")</f>
        <v/>
      </c>
      <c r="K213" s="129" t="s">
        <v>23</v>
      </c>
      <c r="L213" s="9" t="str">
        <f>IFERROR(MID(VLOOKUP($B213,Seqs!$A:$B,2,0),M213,1),"")</f>
        <v>N</v>
      </c>
      <c r="M213" s="40">
        <v>134</v>
      </c>
      <c r="N213" s="9" t="str">
        <f>IFERROR(MID(VLOOKUP($B213,Seqs!$A:$B,2,0),O213,1),"")</f>
        <v>A</v>
      </c>
      <c r="O213" s="40">
        <v>164</v>
      </c>
      <c r="P213" s="9" t="str">
        <f>IFERROR(MID(VLOOKUP($B213,Seqs!$A:$B,2,0),Q213,1),"")</f>
        <v>D</v>
      </c>
      <c r="Q213" s="40">
        <v>166</v>
      </c>
      <c r="R213" s="9" t="str">
        <f>IFERROR(MID(VLOOKUP($B213,Seqs!$A:$B,2,0),S213,1),"")</f>
        <v>F</v>
      </c>
      <c r="S213" s="40">
        <v>169</v>
      </c>
      <c r="T213" s="9" t="str">
        <f>IFERROR(MID(VLOOKUP($B213,Seqs!$A:$B,2,0),U213,1),"")</f>
        <v>G</v>
      </c>
      <c r="U213" s="11">
        <v>170</v>
      </c>
      <c r="V213" s="9" t="str">
        <f>IFERROR(MID(VLOOKUP($B213,Seqs!$A:$B,2,0),W213,1),"")</f>
        <v>V</v>
      </c>
      <c r="W213" s="40">
        <v>203</v>
      </c>
      <c r="X213" s="9" t="str">
        <f>IFERROR(MID(VLOOKUP($B213,Seqs!$A:$B,2,0),Y213,1),"")</f>
        <v/>
      </c>
      <c r="Y213" s="40" t="s">
        <v>23</v>
      </c>
      <c r="Z213" s="9" t="str">
        <f>IFERROR(MID(VLOOKUP($B213,Seqs!$A:$B,2,0),AA213,1),"")</f>
        <v/>
      </c>
      <c r="AA213" s="40" t="s">
        <v>23</v>
      </c>
      <c r="AB213" s="9" t="str">
        <f>IFERROR(MID(VLOOKUP($B213,Seqs!$A:$B,2,0),AC213,1),"")</f>
        <v>K</v>
      </c>
      <c r="AC213" s="40">
        <v>216</v>
      </c>
      <c r="AD213" s="9" t="str">
        <f>IFERROR(MID(VLOOKUP($B213,Seqs!$A:$B,2,0),AE213,1),"")</f>
        <v>F</v>
      </c>
      <c r="AE213" s="40">
        <v>240</v>
      </c>
      <c r="AF213" s="9" t="str">
        <f>IFERROR(MID(VLOOKUP($B213,Seqs!$A:$B,2,0),AG213,1),"")</f>
        <v>C</v>
      </c>
      <c r="AG213" s="40">
        <v>255</v>
      </c>
      <c r="AH213" s="9" t="str">
        <f>IFERROR(MID(VLOOKUP($B213,Seqs!$A:$B,2,0),AI213,1),"")</f>
        <v>L</v>
      </c>
      <c r="AI213" s="40">
        <v>257</v>
      </c>
      <c r="AJ213" s="9" t="str">
        <f>IFERROR(MID(VLOOKUP($B213,Seqs!$A:$B,2,0),AK213,1),"")</f>
        <v>T</v>
      </c>
      <c r="AK213" s="40">
        <v>263</v>
      </c>
      <c r="AL213" s="9" t="str">
        <f>IFERROR(MID(VLOOKUP($B213,Seqs!$A:$B,2,0),AM213,1),"")</f>
        <v>K</v>
      </c>
      <c r="AM213" s="40">
        <v>303</v>
      </c>
      <c r="AN213" s="9" t="str">
        <f>IFERROR(MID(VLOOKUP($B213,Seqs!$A:$B,2,0),AO213,1),"")</f>
        <v>N</v>
      </c>
      <c r="AO213" s="40">
        <v>312</v>
      </c>
      <c r="AP213" s="9" t="str">
        <f>IFERROR(MID(VLOOKUP($B213,Seqs!$A:$B,2,0),AQ213,1),"")</f>
        <v>L</v>
      </c>
      <c r="AQ213" s="40">
        <v>349</v>
      </c>
      <c r="AR213" s="9" t="str">
        <f>IFERROR(MID(VLOOKUP($B213,Seqs!$A:$B,2,0),AS213,1),"")</f>
        <v>N</v>
      </c>
      <c r="AS213" s="40">
        <v>356</v>
      </c>
      <c r="AT213" s="9" t="str">
        <f>IFERROR(MID(VLOOKUP($B213,Seqs!$A:$B,2,0),AU213,1),"")</f>
        <v>V</v>
      </c>
      <c r="AU213" s="40">
        <v>389</v>
      </c>
      <c r="AV213" s="9" t="str">
        <f>IFERROR(MID(VLOOKUP($B213,Seqs!$A:$B,2,0),AW213,1),"")</f>
        <v>S</v>
      </c>
      <c r="AW213" s="40">
        <v>390</v>
      </c>
      <c r="AX213" s="9" t="str">
        <f>IFERROR(MID(VLOOKUP($B213,Seqs!$A:$B,2,0),AY213,1),"")</f>
        <v>C</v>
      </c>
      <c r="AY213" s="40">
        <v>403</v>
      </c>
      <c r="AZ213" s="110" t="str">
        <f>VLOOKUP(B213,Classification!A:D,2,0)</f>
        <v>A</v>
      </c>
      <c r="BA213" s="98" t="str">
        <f>VLOOKUP(B213,Classification!A:D,4,0)</f>
        <v>Endothelin</v>
      </c>
      <c r="BB213" s="36" t="b">
        <f>AND(E213&lt;G213,OR(G213&lt;I213,I213="-"),OR(I213&lt;K213,I213="-"),OR(K213&lt;M213,K213="-"),M213&lt;O213,OR(O213&lt;Q213,Q213="-"),OR(Q213&lt;S213,Q213="-"),OR(S213&lt;U213,S213="-"),U213&lt;W213,OR(W213&lt;Y213,Y213="-"),OR(Y213&lt;AA213,Y213="-"),OR(AA213&lt;AC213,AA213="-"),AC213&lt;AE213,OR(AE213&lt;AG213,AG213="-"),OR(AG213&lt;AI213,AG213="-"),OR(AI213&lt;AK213,AI213="-"),AK213&lt;AM213,AM213&lt;AO213,AO213&lt;AQ213,AQ213&lt;AS213,AS213&lt;AU213,OR(AU213&lt;AW213,AW213="-"),OR(AW213&lt;AY213,AW213="-"))</f>
        <v>1</v>
      </c>
      <c r="BC213" s="109">
        <f>_xlfn.AGGREGATE(9,6,CH213:CS213)-_xlfn.AGGREGATE(9,6,BV213:CG213)+12</f>
        <v>265</v>
      </c>
      <c r="BD213" s="40" t="s">
        <v>23</v>
      </c>
      <c r="BE213" s="9" t="s">
        <v>1374</v>
      </c>
      <c r="BF213" s="119">
        <v>2.7</v>
      </c>
      <c r="BG213" s="51" t="s">
        <v>1</v>
      </c>
      <c r="BH213" s="51" t="s">
        <v>1</v>
      </c>
      <c r="BI213" s="40"/>
      <c r="BJ213" s="111" t="s">
        <v>1287</v>
      </c>
      <c r="BK213" s="112" t="s">
        <v>1287</v>
      </c>
      <c r="BL213" s="112" t="s">
        <v>1287</v>
      </c>
      <c r="BM213" s="112" t="s">
        <v>1287</v>
      </c>
      <c r="BN213" s="112" t="s">
        <v>1287</v>
      </c>
      <c r="BO213" s="112" t="s">
        <v>1287</v>
      </c>
      <c r="BP213" s="112" t="s">
        <v>1287</v>
      </c>
      <c r="BQ213" s="112" t="s">
        <v>1287</v>
      </c>
      <c r="BR213" s="112" t="s">
        <v>1287</v>
      </c>
      <c r="BS213" s="112" t="s">
        <v>1287</v>
      </c>
      <c r="BT213" s="112" t="s">
        <v>1287</v>
      </c>
      <c r="BU213" s="112" t="s">
        <v>1287</v>
      </c>
      <c r="BV213" s="111">
        <f>E213</f>
        <v>91</v>
      </c>
      <c r="BW213" s="113" t="str">
        <f>I213</f>
        <v>-</v>
      </c>
      <c r="BX213" s="114">
        <f>M213</f>
        <v>134</v>
      </c>
      <c r="BY213" s="113">
        <f>Q213</f>
        <v>166</v>
      </c>
      <c r="BZ213" s="114">
        <f>U213</f>
        <v>170</v>
      </c>
      <c r="CA213" s="113" t="str">
        <f>Y213</f>
        <v>-</v>
      </c>
      <c r="CB213" s="114">
        <f>AC213</f>
        <v>216</v>
      </c>
      <c r="CC213" s="113">
        <f>AG213</f>
        <v>255</v>
      </c>
      <c r="CD213" s="114">
        <f>AK213</f>
        <v>263</v>
      </c>
      <c r="CE213" s="113">
        <f>AO213</f>
        <v>312</v>
      </c>
      <c r="CF213" s="114">
        <f>AS213</f>
        <v>356</v>
      </c>
      <c r="CG213" s="113">
        <f>AW213</f>
        <v>390</v>
      </c>
      <c r="CH213" s="111">
        <f>G213</f>
        <v>129</v>
      </c>
      <c r="CI213" s="113" t="str">
        <f>K213</f>
        <v>-</v>
      </c>
      <c r="CJ213" s="114">
        <f>O213</f>
        <v>164</v>
      </c>
      <c r="CK213" s="114">
        <f>S213</f>
        <v>169</v>
      </c>
      <c r="CL213" s="114">
        <f>W213</f>
        <v>203</v>
      </c>
      <c r="CM213" s="114" t="str">
        <f>AA213</f>
        <v>-</v>
      </c>
      <c r="CN213" s="114">
        <f>AE213</f>
        <v>240</v>
      </c>
      <c r="CO213" s="114">
        <f>AI213</f>
        <v>257</v>
      </c>
      <c r="CP213" s="114">
        <f>AM213</f>
        <v>303</v>
      </c>
      <c r="CQ213" s="114">
        <f>AQ213</f>
        <v>349</v>
      </c>
      <c r="CR213" s="114">
        <f>AU213</f>
        <v>389</v>
      </c>
      <c r="CS213" s="114">
        <f>AY213</f>
        <v>403</v>
      </c>
      <c r="CT213" s="109" t="e">
        <f>M213-K213</f>
        <v>#VALUE!</v>
      </c>
    </row>
    <row r="214" spans="1:1029" x14ac:dyDescent="0.2">
      <c r="A214" s="3" t="str">
        <f t="shared" si="951"/>
        <v>ffar1_human__wt</v>
      </c>
      <c r="B214" s="3" t="s">
        <v>1172</v>
      </c>
      <c r="C214" s="3" t="s">
        <v>100</v>
      </c>
      <c r="D214" s="3" t="str">
        <f>IFERROR(MID(VLOOKUP($B214,Seqs!$A:$B,2,0),E214,1),"")</f>
        <v>P</v>
      </c>
      <c r="E214" s="3">
        <v>4</v>
      </c>
      <c r="F214" s="3" t="str">
        <f>IFERROR(MID(VLOOKUP($B214,Seqs!$A:$B,2,0),G214,1),"")</f>
        <v>R</v>
      </c>
      <c r="G214" s="3">
        <v>37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T</v>
      </c>
      <c r="M214" s="3">
        <v>39</v>
      </c>
      <c r="N214" s="3" t="str">
        <f>IFERROR(MID(VLOOKUP($B214,Seqs!$A:$B,2,0),O214,1),"")</f>
        <v>S</v>
      </c>
      <c r="O214" s="3">
        <v>69</v>
      </c>
      <c r="P214" s="3" t="str">
        <f>IFERROR(MID(VLOOKUP($B214,Seqs!$A:$B,2,0),Q214,1),"")</f>
        <v>A</v>
      </c>
      <c r="Q214" s="3">
        <v>71</v>
      </c>
      <c r="R214" s="3" t="str">
        <f>IFERROR(MID(VLOOKUP($B214,Seqs!$A:$B,2,0),S214,1),"")</f>
        <v>L</v>
      </c>
      <c r="S214" s="3">
        <v>74</v>
      </c>
      <c r="T214" s="3" t="str">
        <f>IFERROR(MID(VLOOKUP($B214,Seqs!$A:$B,2,0),U214,1),"")</f>
        <v>P</v>
      </c>
      <c r="U214" s="3">
        <v>75</v>
      </c>
      <c r="V214" s="3" t="str">
        <f>IFERROR(MID(VLOOKUP($B214,Seqs!$A:$B,2,0),W214,1),"")</f>
        <v>F</v>
      </c>
      <c r="W214" s="3">
        <v>110</v>
      </c>
      <c r="X214" s="3" t="str">
        <f>IFERROR(MID(VLOOKUP($B214,Seqs!$A:$B,2,0),Y214,1),"")</f>
        <v>P</v>
      </c>
      <c r="Y214" s="3">
        <v>111</v>
      </c>
      <c r="Z214" s="3" t="str">
        <f>IFERROR(MID(VLOOKUP($B214,Seqs!$A:$B,2,0),AA214,1),"")</f>
        <v>R</v>
      </c>
      <c r="AA214" s="3">
        <v>118</v>
      </c>
      <c r="AB214" s="3" t="str">
        <f>IFERROR(MID(VLOOKUP($B214,Seqs!$A:$B,2,0),AC214,1),"")</f>
        <v>R</v>
      </c>
      <c r="AC214" s="9">
        <v>119</v>
      </c>
      <c r="AD214" s="3" t="str">
        <f>IFERROR(MID(VLOOKUP($B214,Seqs!$A:$B,2,0),AE214,1),"")</f>
        <v>A</v>
      </c>
      <c r="AE214" s="3">
        <v>146</v>
      </c>
      <c r="AF214" s="3" t="str">
        <f>IFERROR(MID(VLOOKUP($B214,Seqs!$A:$B,2,0),AG214,1),"")</f>
        <v>C</v>
      </c>
      <c r="AG214" s="3">
        <v>170</v>
      </c>
      <c r="AH214" s="3" t="str">
        <f>IFERROR(MID(VLOOKUP($B214,Seqs!$A:$B,2,0),AI214,1),"")</f>
        <v>E</v>
      </c>
      <c r="AI214" s="3">
        <v>172</v>
      </c>
      <c r="AJ214" s="3" t="str">
        <f>IFERROR(MID(VLOOKUP($B214,Seqs!$A:$B,2,0),AK214,1),"")</f>
        <v>D</v>
      </c>
      <c r="AK214" s="3">
        <v>175</v>
      </c>
      <c r="AL214" s="3" t="str">
        <f>IFERROR(MID(VLOOKUP($B214,Seqs!$A:$B,2,0),AM214,1),"")</f>
        <v>R</v>
      </c>
      <c r="AM214" s="3">
        <v>211</v>
      </c>
      <c r="AN214" s="3" t="str">
        <f>IFERROR(MID(VLOOKUP($B214,Seqs!$A:$B,2,0),AO214,1),"")</f>
        <v>R</v>
      </c>
      <c r="AO214" s="3">
        <v>217</v>
      </c>
      <c r="AP214" s="3" t="str">
        <f>IFERROR(MID(VLOOKUP($B214,Seqs!$A:$B,2,0),AQ214,1),"")</f>
        <v>Y</v>
      </c>
      <c r="AQ214" s="3">
        <v>250</v>
      </c>
      <c r="AR214" s="3" t="str">
        <f>IFERROR(MID(VLOOKUP($B214,Seqs!$A:$B,2,0),AS214,1),"")</f>
        <v>G</v>
      </c>
      <c r="AS214" s="3">
        <v>255</v>
      </c>
      <c r="AT214" s="3" t="str">
        <f>IFERROR(MID(VLOOKUP($B214,Seqs!$A:$B,2,0),AU214,1),"")</f>
        <v>L</v>
      </c>
      <c r="AU214" s="3">
        <v>279</v>
      </c>
      <c r="AV214" s="3" t="str">
        <f>IFERROR(MID(VLOOKUP($B214,Seqs!$A:$B,2,0),AW214,1),"")</f>
        <v>G</v>
      </c>
      <c r="AW214" s="3">
        <v>280</v>
      </c>
      <c r="AX214" s="3" t="str">
        <f>IFERROR(MID(VLOOKUP($B214,Seqs!$A:$B,2,0),AY214,1),"")</f>
        <v>Q</v>
      </c>
      <c r="AY214" s="3">
        <v>294</v>
      </c>
      <c r="AZ214" s="77" t="str">
        <f>VLOOKUP(B214,Classification!A:D,2,0)</f>
        <v>A</v>
      </c>
      <c r="BA214" s="94" t="str">
        <f>VLOOKUP(B214,Classification!A:D,4,0)</f>
        <v>Freefattyacid</v>
      </c>
      <c r="BB214" s="27" t="b">
        <f t="shared" si="952"/>
        <v>1</v>
      </c>
      <c r="BC214" s="23">
        <f t="shared" si="1398"/>
        <v>256</v>
      </c>
      <c r="BD214" s="34" t="s">
        <v>23</v>
      </c>
      <c r="BE214" s="3" t="s">
        <v>23</v>
      </c>
      <c r="BF214" s="118" t="s">
        <v>23</v>
      </c>
      <c r="BG214" s="49" t="s">
        <v>1372</v>
      </c>
      <c r="BH214" s="49" t="s">
        <v>1377</v>
      </c>
      <c r="BI214" s="1"/>
      <c r="BJ214" s="70" t="s">
        <v>1287</v>
      </c>
      <c r="BK214" s="57" t="s">
        <v>1287</v>
      </c>
      <c r="BL214" s="57" t="s">
        <v>1287</v>
      </c>
      <c r="BM214" s="57" t="s">
        <v>1287</v>
      </c>
      <c r="BN214" s="57" t="s">
        <v>1287</v>
      </c>
      <c r="BO214" s="57" t="s">
        <v>1287</v>
      </c>
      <c r="BP214" s="57" t="s">
        <v>1287</v>
      </c>
      <c r="BQ214" s="57" t="s">
        <v>1287</v>
      </c>
      <c r="BR214" s="57" t="s">
        <v>1287</v>
      </c>
      <c r="BS214" s="57" t="s">
        <v>1287</v>
      </c>
      <c r="BT214" s="57" t="s">
        <v>1287</v>
      </c>
      <c r="BU214" s="57" t="s">
        <v>1287</v>
      </c>
      <c r="BV214" s="70">
        <f t="shared" si="1399"/>
        <v>4</v>
      </c>
      <c r="BW214" s="71" t="str">
        <f t="shared" si="1400"/>
        <v>-</v>
      </c>
      <c r="BX214" s="72">
        <f t="shared" si="1401"/>
        <v>39</v>
      </c>
      <c r="BY214" s="71">
        <f t="shared" si="1402"/>
        <v>71</v>
      </c>
      <c r="BZ214" s="72">
        <f t="shared" si="1403"/>
        <v>75</v>
      </c>
      <c r="CA214" s="71">
        <f t="shared" si="1404"/>
        <v>111</v>
      </c>
      <c r="CB214" s="72">
        <f t="shared" si="1405"/>
        <v>119</v>
      </c>
      <c r="CC214" s="71">
        <f t="shared" si="1406"/>
        <v>170</v>
      </c>
      <c r="CD214" s="72">
        <f t="shared" si="1407"/>
        <v>175</v>
      </c>
      <c r="CE214" s="71">
        <f t="shared" si="1408"/>
        <v>217</v>
      </c>
      <c r="CF214" s="72">
        <f t="shared" si="1409"/>
        <v>255</v>
      </c>
      <c r="CG214" s="71">
        <f t="shared" si="1410"/>
        <v>280</v>
      </c>
      <c r="CH214" s="70">
        <f t="shared" si="1411"/>
        <v>37</v>
      </c>
      <c r="CI214" s="71" t="str">
        <f t="shared" si="1412"/>
        <v>-</v>
      </c>
      <c r="CJ214" s="72">
        <f t="shared" si="1413"/>
        <v>69</v>
      </c>
      <c r="CK214" s="72">
        <f t="shared" si="1414"/>
        <v>74</v>
      </c>
      <c r="CL214" s="72">
        <f t="shared" si="1415"/>
        <v>110</v>
      </c>
      <c r="CM214" s="72">
        <f t="shared" si="1416"/>
        <v>118</v>
      </c>
      <c r="CN214" s="72">
        <f t="shared" si="1417"/>
        <v>146</v>
      </c>
      <c r="CO214" s="72">
        <f t="shared" si="1418"/>
        <v>172</v>
      </c>
      <c r="CP214" s="72">
        <f t="shared" si="1419"/>
        <v>211</v>
      </c>
      <c r="CQ214" s="72">
        <f t="shared" si="1420"/>
        <v>250</v>
      </c>
      <c r="CR214" s="72">
        <f t="shared" si="1421"/>
        <v>279</v>
      </c>
      <c r="CS214" s="72">
        <f t="shared" si="1422"/>
        <v>294</v>
      </c>
      <c r="CT214" s="23" t="e">
        <f t="shared" si="1423"/>
        <v>#VALUE!</v>
      </c>
    </row>
    <row r="215" spans="1:1029" x14ac:dyDescent="0.2">
      <c r="A215" s="3" t="str">
        <f t="shared" si="951"/>
        <v>ffar1_human_4PHU</v>
      </c>
      <c r="B215" s="3" t="s">
        <v>1172</v>
      </c>
      <c r="C215" s="3" t="s">
        <v>52</v>
      </c>
      <c r="D215" s="3" t="str">
        <f>IFERROR(MID(VLOOKUP($B215,Seqs!$A:$B,2,0),E215,1),"")</f>
        <v>P</v>
      </c>
      <c r="E215" s="3">
        <v>4</v>
      </c>
      <c r="F215" s="3" t="str">
        <f>IFERROR(MID(VLOOKUP($B215,Seqs!$A:$B,2,0),G215,1),"")</f>
        <v>R</v>
      </c>
      <c r="G215" s="3">
        <v>37</v>
      </c>
      <c r="H215" s="3" t="str">
        <f>IFERROR(MID(VLOOKUP($B215,Seqs!$A:$B,2,0),I215,1),"")</f>
        <v/>
      </c>
      <c r="I215" s="23" t="s">
        <v>23</v>
      </c>
      <c r="J215" s="3" t="str">
        <f>IFERROR(MID(VLOOKUP($B215,Seqs!$A:$B,2,0),K215,1),"")</f>
        <v/>
      </c>
      <c r="K215" s="23" t="s">
        <v>23</v>
      </c>
      <c r="L215" s="3" t="str">
        <f>IFERROR(MID(VLOOKUP($B215,Seqs!$A:$B,2,0),M215,1),"")</f>
        <v>T</v>
      </c>
      <c r="M215" s="3">
        <v>39</v>
      </c>
      <c r="N215" s="3" t="str">
        <f>IFERROR(MID(VLOOKUP($B215,Seqs!$A:$B,2,0),O215,1),"")</f>
        <v>S</v>
      </c>
      <c r="O215" s="3">
        <v>69</v>
      </c>
      <c r="P215" s="3" t="str">
        <f>IFERROR(MID(VLOOKUP($B215,Seqs!$A:$B,2,0),Q215,1),"")</f>
        <v>A</v>
      </c>
      <c r="Q215" s="3">
        <v>71</v>
      </c>
      <c r="R215" s="3" t="str">
        <f>IFERROR(MID(VLOOKUP($B215,Seqs!$A:$B,2,0),S215,1),"")</f>
        <v>L</v>
      </c>
      <c r="S215" s="3">
        <v>74</v>
      </c>
      <c r="T215" s="3" t="str">
        <f>IFERROR(MID(VLOOKUP($B215,Seqs!$A:$B,2,0),U215,1),"")</f>
        <v>P</v>
      </c>
      <c r="U215" s="3">
        <v>75</v>
      </c>
      <c r="V215" s="3" t="str">
        <f>IFERROR(MID(VLOOKUP($B215,Seqs!$A:$B,2,0),W215,1),"")</f>
        <v>F</v>
      </c>
      <c r="W215" s="3">
        <v>110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C</v>
      </c>
      <c r="AC215" s="9">
        <v>121</v>
      </c>
      <c r="AD215" s="3" t="str">
        <f>IFERROR(MID(VLOOKUP($B215,Seqs!$A:$B,2,0),AE215,1),"")</f>
        <v>A</v>
      </c>
      <c r="AE215" s="3">
        <v>146</v>
      </c>
      <c r="AF215" s="3" t="str">
        <f>IFERROR(MID(VLOOKUP($B215,Seqs!$A:$B,2,0),AG215,1),"")</f>
        <v>C</v>
      </c>
      <c r="AG215" s="3">
        <v>170</v>
      </c>
      <c r="AH215" s="3" t="str">
        <f>IFERROR(MID(VLOOKUP($B215,Seqs!$A:$B,2,0),AI215,1),"")</f>
        <v>E</v>
      </c>
      <c r="AI215" s="3">
        <v>172</v>
      </c>
      <c r="AJ215" s="3" t="str">
        <f>IFERROR(MID(VLOOKUP($B215,Seqs!$A:$B,2,0),AK215,1),"")</f>
        <v>D</v>
      </c>
      <c r="AK215" s="3">
        <v>175</v>
      </c>
      <c r="AL215" s="3" t="str">
        <f>IFERROR(MID(VLOOKUP($B215,Seqs!$A:$B,2,0),AM215,1),"")</f>
        <v>R</v>
      </c>
      <c r="AM215" s="3">
        <v>211</v>
      </c>
      <c r="AN215" s="3" t="str">
        <f>IFERROR(MID(VLOOKUP($B215,Seqs!$A:$B,2,0),AO215,1),"")</f>
        <v/>
      </c>
      <c r="AO215" s="3">
        <v>2214</v>
      </c>
      <c r="AP215" s="3" t="str">
        <f>IFERROR(MID(VLOOKUP($B215,Seqs!$A:$B,2,0),AQ215,1),"")</f>
        <v/>
      </c>
      <c r="AQ215" s="3">
        <v>2250</v>
      </c>
      <c r="AR215" s="3" t="str">
        <f>IFERROR(MID(VLOOKUP($B215,Seqs!$A:$B,2,0),AS215,1),"")</f>
        <v/>
      </c>
      <c r="AS215" s="3">
        <v>2255</v>
      </c>
      <c r="AT215" s="3" t="str">
        <f>IFERROR(MID(VLOOKUP($B215,Seqs!$A:$B,2,0),AU215,1),"")</f>
        <v/>
      </c>
      <c r="AU215" s="3">
        <v>2276</v>
      </c>
      <c r="AV215" s="3" t="str">
        <f>IFERROR(MID(VLOOKUP($B215,Seqs!$A:$B,2,0),AW215,1),"")</f>
        <v/>
      </c>
      <c r="AW215" s="3" t="s">
        <v>23</v>
      </c>
      <c r="AX215" s="3" t="str">
        <f>IFERROR(MID(VLOOKUP($B215,Seqs!$A:$B,2,0),AY215,1),"")</f>
        <v/>
      </c>
      <c r="AY215" s="3" t="s">
        <v>23</v>
      </c>
      <c r="AZ215" s="77" t="str">
        <f>VLOOKUP(B215,Classification!A:D,2,0)</f>
        <v>A</v>
      </c>
      <c r="BA215" s="94" t="str">
        <f>VLOOKUP(B215,Classification!A:D,4,0)</f>
        <v>Freefattyacid</v>
      </c>
      <c r="BB215" s="27" t="b">
        <f t="shared" si="952"/>
        <v>1</v>
      </c>
      <c r="BC215" s="23">
        <f t="shared" si="1398"/>
        <v>233</v>
      </c>
      <c r="BD215" s="16" t="s">
        <v>23</v>
      </c>
      <c r="BE215" s="3" t="s">
        <v>1428</v>
      </c>
      <c r="BF215" s="118">
        <v>2.33</v>
      </c>
      <c r="BG215" s="49" t="s">
        <v>1377</v>
      </c>
      <c r="BH215" s="49" t="s">
        <v>1377</v>
      </c>
      <c r="BI215" s="1"/>
      <c r="BJ215" s="70" t="s">
        <v>1287</v>
      </c>
      <c r="BK215" s="57" t="s">
        <v>1287</v>
      </c>
      <c r="BL215" s="57" t="s">
        <v>1287</v>
      </c>
      <c r="BM215" s="57" t="s">
        <v>1287</v>
      </c>
      <c r="BN215" s="57" t="s">
        <v>1287</v>
      </c>
      <c r="BO215" s="57" t="s">
        <v>1287</v>
      </c>
      <c r="BP215" s="57" t="s">
        <v>1287</v>
      </c>
      <c r="BQ215" s="57" t="s">
        <v>1287</v>
      </c>
      <c r="BR215" s="57" t="s">
        <v>1287</v>
      </c>
      <c r="BS215" s="57" t="s">
        <v>1287</v>
      </c>
      <c r="BT215" s="57" t="s">
        <v>1287</v>
      </c>
      <c r="BU215" s="57" t="s">
        <v>1287</v>
      </c>
      <c r="BV215" s="70">
        <f t="shared" si="1399"/>
        <v>4</v>
      </c>
      <c r="BW215" s="71" t="str">
        <f t="shared" si="1400"/>
        <v>-</v>
      </c>
      <c r="BX215" s="72">
        <f t="shared" si="1401"/>
        <v>39</v>
      </c>
      <c r="BY215" s="71">
        <f t="shared" si="1402"/>
        <v>71</v>
      </c>
      <c r="BZ215" s="72">
        <f t="shared" si="1403"/>
        <v>75</v>
      </c>
      <c r="CA215" s="71" t="str">
        <f t="shared" si="1404"/>
        <v>-</v>
      </c>
      <c r="CB215" s="72">
        <f t="shared" si="1405"/>
        <v>121</v>
      </c>
      <c r="CC215" s="71">
        <f t="shared" si="1406"/>
        <v>170</v>
      </c>
      <c r="CD215" s="72">
        <f t="shared" si="1407"/>
        <v>175</v>
      </c>
      <c r="CE215" s="71">
        <f t="shared" si="1408"/>
        <v>2214</v>
      </c>
      <c r="CF215" s="72">
        <f t="shared" si="1409"/>
        <v>2255</v>
      </c>
      <c r="CG215" s="71" t="str">
        <f t="shared" si="1410"/>
        <v>-</v>
      </c>
      <c r="CH215" s="70">
        <f t="shared" si="1411"/>
        <v>37</v>
      </c>
      <c r="CI215" s="71" t="str">
        <f t="shared" si="1412"/>
        <v>-</v>
      </c>
      <c r="CJ215" s="72">
        <f t="shared" si="1413"/>
        <v>69</v>
      </c>
      <c r="CK215" s="72">
        <f t="shared" si="1414"/>
        <v>74</v>
      </c>
      <c r="CL215" s="72">
        <f t="shared" si="1415"/>
        <v>110</v>
      </c>
      <c r="CM215" s="72" t="str">
        <f t="shared" si="1416"/>
        <v>-</v>
      </c>
      <c r="CN215" s="72">
        <f t="shared" si="1417"/>
        <v>146</v>
      </c>
      <c r="CO215" s="72">
        <f t="shared" si="1418"/>
        <v>172</v>
      </c>
      <c r="CP215" s="72">
        <f t="shared" si="1419"/>
        <v>211</v>
      </c>
      <c r="CQ215" s="72">
        <f t="shared" si="1420"/>
        <v>2250</v>
      </c>
      <c r="CR215" s="72">
        <f t="shared" si="1421"/>
        <v>2276</v>
      </c>
      <c r="CS215" s="72" t="str">
        <f t="shared" si="1422"/>
        <v>-</v>
      </c>
      <c r="CT215" s="23" t="e">
        <f t="shared" si="1423"/>
        <v>#VALUE!</v>
      </c>
    </row>
    <row r="216" spans="1:1029" x14ac:dyDescent="0.2">
      <c r="A216" s="3" t="str">
        <f>CONCATENATE(B216,"_",C216)</f>
        <v>ffar1_human_5KW2</v>
      </c>
      <c r="B216" s="3" t="s">
        <v>1172</v>
      </c>
      <c r="C216" s="3" t="s">
        <v>1491</v>
      </c>
      <c r="D216" s="3" t="str">
        <f>IFERROR(MID(VLOOKUP($B216,Seqs!$A:$B,2,0),E216,1),"")</f>
        <v>P</v>
      </c>
      <c r="E216" s="3">
        <v>4</v>
      </c>
      <c r="F216" s="3" t="str">
        <f>IFERROR(MID(VLOOKUP($B216,Seqs!$A:$B,2,0),G216,1),"")</f>
        <v>A</v>
      </c>
      <c r="G216" s="3">
        <v>32</v>
      </c>
      <c r="H216" s="3" t="str">
        <f>IFERROR(MID(VLOOKUP($B216,Seqs!$A:$B,2,0),I216,1),"")</f>
        <v/>
      </c>
      <c r="I216" s="23" t="s">
        <v>23</v>
      </c>
      <c r="J216" s="3" t="str">
        <f>IFERROR(MID(VLOOKUP($B216,Seqs!$A:$B,2,0),K216,1),"")</f>
        <v/>
      </c>
      <c r="K216" s="23" t="s">
        <v>23</v>
      </c>
      <c r="L216" s="3" t="str">
        <f>IFERROR(MID(VLOOKUP($B216,Seqs!$A:$B,2,0),M216,1),"")</f>
        <v>T</v>
      </c>
      <c r="M216" s="3">
        <v>39</v>
      </c>
      <c r="N216" s="3" t="str">
        <f>IFERROR(MID(VLOOKUP($B216,Seqs!$A:$B,2,0),O216,1),"")</f>
        <v>S</v>
      </c>
      <c r="O216" s="3">
        <v>69</v>
      </c>
      <c r="P216" s="3" t="str">
        <f>IFERROR(MID(VLOOKUP($B216,Seqs!$A:$B,2,0),Q216,1),"")</f>
        <v>A</v>
      </c>
      <c r="Q216" s="3">
        <v>71</v>
      </c>
      <c r="R216" s="3" t="str">
        <f>IFERROR(MID(VLOOKUP($B216,Seqs!$A:$B,2,0),S216,1),"")</f>
        <v>L</v>
      </c>
      <c r="S216" s="3">
        <v>74</v>
      </c>
      <c r="T216" s="3" t="str">
        <f>IFERROR(MID(VLOOKUP($B216,Seqs!$A:$B,2,0),U216,1),"")</f>
        <v>P</v>
      </c>
      <c r="U216" s="3">
        <v>75</v>
      </c>
      <c r="V216" s="3" t="str">
        <f>IFERROR(MID(VLOOKUP($B216,Seqs!$A:$B,2,0),W216,1),"")</f>
        <v>F</v>
      </c>
      <c r="W216" s="3">
        <v>110</v>
      </c>
      <c r="X216" s="3" t="str">
        <f>IFERROR(MID(VLOOKUP($B216,Seqs!$A:$B,2,0),Y216,1),"")</f>
        <v>P</v>
      </c>
      <c r="Y216" s="3">
        <v>111</v>
      </c>
      <c r="Z216" s="3" t="str">
        <f>IFERROR(MID(VLOOKUP($B216,Seqs!$A:$B,2,0),AA216,1),"")</f>
        <v>R</v>
      </c>
      <c r="AA216" s="3">
        <v>118</v>
      </c>
      <c r="AB216" s="3" t="str">
        <f>IFERROR(MID(VLOOKUP($B216,Seqs!$A:$B,2,0),AC216,1),"")</f>
        <v>R</v>
      </c>
      <c r="AC216" s="3">
        <v>119</v>
      </c>
      <c r="AD216" s="3" t="str">
        <f>IFERROR(MID(VLOOKUP($B216,Seqs!$A:$B,2,0),AE216,1),"")</f>
        <v>E</v>
      </c>
      <c r="AE216" s="3">
        <v>145</v>
      </c>
      <c r="AF216" s="3" t="str">
        <f>IFERROR(MID(VLOOKUP($B216,Seqs!$A:$B,2,0),AG216,1),"")</f>
        <v>C</v>
      </c>
      <c r="AG216" s="3">
        <v>170</v>
      </c>
      <c r="AH216" s="3" t="str">
        <f>IFERROR(MID(VLOOKUP($B216,Seqs!$A:$B,2,0),AI216,1),"")</f>
        <v>E</v>
      </c>
      <c r="AI216" s="3">
        <v>172</v>
      </c>
      <c r="AJ216" s="3" t="str">
        <f>IFERROR(MID(VLOOKUP($B216,Seqs!$A:$B,2,0),AK216,1),"")</f>
        <v>G</v>
      </c>
      <c r="AK216" s="3">
        <v>180</v>
      </c>
      <c r="AL216" s="3" t="str">
        <f>IFERROR(MID(VLOOKUP($B216,Seqs!$A:$B,2,0),AM216,1),"")</f>
        <v>R</v>
      </c>
      <c r="AM216" s="3">
        <v>211</v>
      </c>
      <c r="AN216" s="3" t="str">
        <f>IFERROR(MID(VLOOKUP($B216,Seqs!$A:$B,2,0),AO216,1),"")</f>
        <v/>
      </c>
      <c r="AO216" s="3">
        <v>2215</v>
      </c>
      <c r="AP216" s="3" t="str">
        <f>IFERROR(MID(VLOOKUP($B216,Seqs!$A:$B,2,0),AQ216,1),"")</f>
        <v/>
      </c>
      <c r="AQ216" s="3">
        <v>2249</v>
      </c>
      <c r="AR216" s="3" t="str">
        <f>IFERROR(MID(VLOOKUP($B216,Seqs!$A:$B,2,0),AS216,1),"")</f>
        <v/>
      </c>
      <c r="AS216" s="3">
        <v>2254</v>
      </c>
      <c r="AT216" s="3" t="str">
        <f>IFERROR(MID(VLOOKUP($B216,Seqs!$A:$B,2,0),AU216,1),"")</f>
        <v/>
      </c>
      <c r="AU216" s="3">
        <v>2275</v>
      </c>
      <c r="AV216" s="3" t="str">
        <f>IFERROR(MID(VLOOKUP($B216,Seqs!$A:$B,2,0),AW216,1),"")</f>
        <v/>
      </c>
      <c r="AW216" s="3" t="s">
        <v>23</v>
      </c>
      <c r="AX216" s="3" t="str">
        <f>IFERROR(MID(VLOOKUP($B216,Seqs!$A:$B,2,0),AY216,1),"")</f>
        <v/>
      </c>
      <c r="AY216" s="3" t="s">
        <v>23</v>
      </c>
      <c r="AZ216" s="77" t="str">
        <f>VLOOKUP(B216,Classification!A:D,2,0)</f>
        <v>A</v>
      </c>
      <c r="BA216" s="94" t="str">
        <f>VLOOKUP(B216,Classification!A:D,4,0)</f>
        <v>Freefattyacid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229</v>
      </c>
      <c r="BD216" s="16" t="s">
        <v>23</v>
      </c>
      <c r="BE216" s="3" t="s">
        <v>1428</v>
      </c>
      <c r="BF216" s="118">
        <v>2.76</v>
      </c>
      <c r="BG216" s="49" t="s">
        <v>1</v>
      </c>
      <c r="BH216" s="49" t="s">
        <v>1</v>
      </c>
      <c r="BI216" s="1"/>
      <c r="BJ216" s="70" t="s">
        <v>1287</v>
      </c>
      <c r="BK216" s="57" t="s">
        <v>1287</v>
      </c>
      <c r="BL216" s="57" t="s">
        <v>1287</v>
      </c>
      <c r="BM216" s="57" t="s">
        <v>1287</v>
      </c>
      <c r="BN216" s="57" t="s">
        <v>1287</v>
      </c>
      <c r="BO216" s="57" t="s">
        <v>1287</v>
      </c>
      <c r="BP216" s="57" t="s">
        <v>1287</v>
      </c>
      <c r="BQ216" s="57" t="s">
        <v>1287</v>
      </c>
      <c r="BR216" s="57" t="s">
        <v>1287</v>
      </c>
      <c r="BS216" s="57" t="s">
        <v>1287</v>
      </c>
      <c r="BT216" s="57" t="s">
        <v>1287</v>
      </c>
      <c r="BU216" s="57" t="s">
        <v>1287</v>
      </c>
      <c r="BV216" s="70">
        <f>E216</f>
        <v>4</v>
      </c>
      <c r="BW216" s="71" t="str">
        <f>I216</f>
        <v>-</v>
      </c>
      <c r="BX216" s="72">
        <f>M216</f>
        <v>39</v>
      </c>
      <c r="BY216" s="71">
        <f>Q216</f>
        <v>71</v>
      </c>
      <c r="BZ216" s="72">
        <f>U216</f>
        <v>75</v>
      </c>
      <c r="CA216" s="71">
        <f>Y216</f>
        <v>111</v>
      </c>
      <c r="CB216" s="72">
        <f>AC216</f>
        <v>119</v>
      </c>
      <c r="CC216" s="71">
        <f>AG216</f>
        <v>170</v>
      </c>
      <c r="CD216" s="72">
        <f>AK216</f>
        <v>180</v>
      </c>
      <c r="CE216" s="71">
        <f>AO216</f>
        <v>2215</v>
      </c>
      <c r="CF216" s="72">
        <f>AS216</f>
        <v>2254</v>
      </c>
      <c r="CG216" s="71" t="str">
        <f>AW216</f>
        <v>-</v>
      </c>
      <c r="CH216" s="70">
        <f>G216</f>
        <v>32</v>
      </c>
      <c r="CI216" s="71" t="str">
        <f>K216</f>
        <v>-</v>
      </c>
      <c r="CJ216" s="72">
        <f>O216</f>
        <v>69</v>
      </c>
      <c r="CK216" s="72">
        <f>S216</f>
        <v>74</v>
      </c>
      <c r="CL216" s="72">
        <f>W216</f>
        <v>110</v>
      </c>
      <c r="CM216" s="72">
        <f>AA216</f>
        <v>118</v>
      </c>
      <c r="CN216" s="72">
        <f>AE216</f>
        <v>145</v>
      </c>
      <c r="CO216" s="72">
        <f>AI216</f>
        <v>172</v>
      </c>
      <c r="CP216" s="72">
        <f>AM216</f>
        <v>211</v>
      </c>
      <c r="CQ216" s="72">
        <f>AQ216</f>
        <v>2249</v>
      </c>
      <c r="CR216" s="72">
        <f>AU216</f>
        <v>2275</v>
      </c>
      <c r="CS216" s="72" t="str">
        <f>AY216</f>
        <v>-</v>
      </c>
      <c r="CT216" s="23" t="e">
        <f>M216-K216</f>
        <v>#VALUE!</v>
      </c>
    </row>
    <row r="217" spans="1:1029" x14ac:dyDescent="0.2">
      <c r="A217" s="3" t="str">
        <f>CONCATENATE(B217,"_",C217)</f>
        <v>ffar1_human_5TZR</v>
      </c>
      <c r="B217" s="3" t="s">
        <v>1172</v>
      </c>
      <c r="C217" s="3" t="s">
        <v>1416</v>
      </c>
      <c r="D217" s="3" t="str">
        <f>IFERROR(MID(VLOOKUP($B217,Seqs!$A:$B,2,0),E217,1),"")</f>
        <v>P</v>
      </c>
      <c r="E217" s="3">
        <v>4</v>
      </c>
      <c r="F217" s="3" t="str">
        <f>IFERROR(MID(VLOOKUP($B217,Seqs!$A:$B,2,0),G217,1),"")</f>
        <v>R</v>
      </c>
      <c r="G217" s="3">
        <v>37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T</v>
      </c>
      <c r="M217" s="3">
        <v>39</v>
      </c>
      <c r="N217" s="3" t="str">
        <f>IFERROR(MID(VLOOKUP($B217,Seqs!$A:$B,2,0),O217,1),"")</f>
        <v>S</v>
      </c>
      <c r="O217" s="3">
        <v>69</v>
      </c>
      <c r="P217" s="3" t="str">
        <f>IFERROR(MID(VLOOKUP($B217,Seqs!$A:$B,2,0),Q217,1),"")</f>
        <v>A</v>
      </c>
      <c r="Q217" s="3">
        <v>71</v>
      </c>
      <c r="R217" s="3" t="str">
        <f>IFERROR(MID(VLOOKUP($B217,Seqs!$A:$B,2,0),S217,1),"")</f>
        <v>L</v>
      </c>
      <c r="S217" s="3">
        <v>74</v>
      </c>
      <c r="T217" s="3" t="str">
        <f>IFERROR(MID(VLOOKUP($B217,Seqs!$A:$B,2,0),U217,1),"")</f>
        <v>P</v>
      </c>
      <c r="U217" s="3">
        <v>75</v>
      </c>
      <c r="V217" s="3" t="str">
        <f>IFERROR(MID(VLOOKUP($B217,Seqs!$A:$B,2,0),W217,1),"")</f>
        <v>F</v>
      </c>
      <c r="W217" s="3">
        <v>110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C</v>
      </c>
      <c r="AC217" s="3">
        <v>121</v>
      </c>
      <c r="AD217" s="3" t="str">
        <f>IFERROR(MID(VLOOKUP($B217,Seqs!$A:$B,2,0),AE217,1),"")</f>
        <v>A</v>
      </c>
      <c r="AE217" s="3">
        <v>146</v>
      </c>
      <c r="AF217" s="3" t="str">
        <f>IFERROR(MID(VLOOKUP($B217,Seqs!$A:$B,2,0),AG217,1),"")</f>
        <v>C</v>
      </c>
      <c r="AG217" s="3">
        <v>170</v>
      </c>
      <c r="AH217" s="3" t="str">
        <f>IFERROR(MID(VLOOKUP($B217,Seqs!$A:$B,2,0),AI217,1),"")</f>
        <v>E</v>
      </c>
      <c r="AI217" s="3">
        <v>172</v>
      </c>
      <c r="AJ217" s="3" t="str">
        <f>IFERROR(MID(VLOOKUP($B217,Seqs!$A:$B,2,0),AK217,1),"")</f>
        <v>D</v>
      </c>
      <c r="AK217" s="3">
        <v>175</v>
      </c>
      <c r="AL217" s="3" t="str">
        <f>IFERROR(MID(VLOOKUP($B217,Seqs!$A:$B,2,0),AM217,1),"")</f>
        <v>R</v>
      </c>
      <c r="AM217" s="3">
        <v>211</v>
      </c>
      <c r="AN217" s="3" t="str">
        <f>IFERROR(MID(VLOOKUP($B217,Seqs!$A:$B,2,0),AO217,1),"")</f>
        <v/>
      </c>
      <c r="AO217" s="3">
        <v>2214</v>
      </c>
      <c r="AP217" s="3" t="str">
        <f>IFERROR(MID(VLOOKUP($B217,Seqs!$A:$B,2,0),AQ217,1),"")</f>
        <v/>
      </c>
      <c r="AQ217" s="3">
        <v>2250</v>
      </c>
      <c r="AR217" s="3" t="str">
        <f>IFERROR(MID(VLOOKUP($B217,Seqs!$A:$B,2,0),AS217,1),"")</f>
        <v/>
      </c>
      <c r="AS217" s="3">
        <v>2255</v>
      </c>
      <c r="AT217" s="3" t="str">
        <f>IFERROR(MID(VLOOKUP($B217,Seqs!$A:$B,2,0),AU217,1),"")</f>
        <v/>
      </c>
      <c r="AU217" s="3">
        <v>2276</v>
      </c>
      <c r="AV217" s="3" t="str">
        <f>IFERROR(MID(VLOOKUP($B217,Seqs!$A:$B,2,0),AW217,1),"")</f>
        <v/>
      </c>
      <c r="AW217" s="3" t="s">
        <v>23</v>
      </c>
      <c r="AX217" s="3" t="str">
        <f>IFERROR(MID(VLOOKUP($B217,Seqs!$A:$B,2,0),AY217,1),"")</f>
        <v/>
      </c>
      <c r="AY217" s="3" t="s">
        <v>23</v>
      </c>
      <c r="AZ217" s="77" t="str">
        <f>VLOOKUP(B217,Classification!A:D,2,0)</f>
        <v>A</v>
      </c>
      <c r="BA217" s="94" t="str">
        <f>VLOOKUP(B217,Classification!A:D,4,0)</f>
        <v>Freefattyacid</v>
      </c>
      <c r="BB217" s="27" t="b">
        <f>AND(E217&lt;G217,OR(G217&lt;I217,I217="-"),OR(I217&lt;K217,I217="-"),OR(K217&lt;M217,K217="-"),M217&lt;O217,OR(O217&lt;Q217,Q217="-"),OR(Q217&lt;S217,Q217="-"),OR(S217&lt;U217,S217="-"),U217&lt;W217,OR(W217&lt;Y217,Y217="-"),OR(Y217&lt;AA217,Y217="-"),OR(AA217&lt;AC217,AA217="-"),AC217&lt;AE217,OR(AE217&lt;AG217,AG217="-"),OR(AG217&lt;AI217,AG217="-"),OR(AI217&lt;AK217,AI217="-"),AK217&lt;AM217,AM217&lt;AO217,AO217&lt;AQ217,AQ217&lt;AS217,AS217&lt;AU217,OR(AU217&lt;AW217,AW217="-"),OR(AW217&lt;AY217,AW217="-"))</f>
        <v>1</v>
      </c>
      <c r="BC217" s="23">
        <f>_xlfn.AGGREGATE(9,6,CH217:CS217)-_xlfn.AGGREGATE(9,6,BV217:CG217)+12</f>
        <v>233</v>
      </c>
      <c r="BD217" s="16" t="s">
        <v>23</v>
      </c>
      <c r="BE217" s="3" t="s">
        <v>1428</v>
      </c>
      <c r="BF217" s="118">
        <v>2.2000000000000002</v>
      </c>
      <c r="BG217" s="49" t="s">
        <v>1</v>
      </c>
      <c r="BH217" s="49" t="s">
        <v>1</v>
      </c>
      <c r="BI217" s="1"/>
      <c r="BJ217" s="70" t="s">
        <v>1287</v>
      </c>
      <c r="BK217" s="57" t="s">
        <v>1287</v>
      </c>
      <c r="BL217" s="57" t="s">
        <v>1287</v>
      </c>
      <c r="BM217" s="57" t="s">
        <v>1287</v>
      </c>
      <c r="BN217" s="57" t="s">
        <v>1287</v>
      </c>
      <c r="BO217" s="57" t="s">
        <v>1287</v>
      </c>
      <c r="BP217" s="57" t="s">
        <v>1287</v>
      </c>
      <c r="BQ217" s="57" t="s">
        <v>1287</v>
      </c>
      <c r="BR217" s="57" t="s">
        <v>1287</v>
      </c>
      <c r="BS217" s="57" t="s">
        <v>1287</v>
      </c>
      <c r="BT217" s="57" t="s">
        <v>1287</v>
      </c>
      <c r="BU217" s="57" t="s">
        <v>1287</v>
      </c>
      <c r="BV217" s="70">
        <f>E217</f>
        <v>4</v>
      </c>
      <c r="BW217" s="71" t="str">
        <f>I217</f>
        <v>-</v>
      </c>
      <c r="BX217" s="72">
        <f>M217</f>
        <v>39</v>
      </c>
      <c r="BY217" s="71">
        <f>Q217</f>
        <v>71</v>
      </c>
      <c r="BZ217" s="72">
        <f>U217</f>
        <v>75</v>
      </c>
      <c r="CA217" s="71" t="str">
        <f>Y217</f>
        <v>-</v>
      </c>
      <c r="CB217" s="72">
        <f>AC217</f>
        <v>121</v>
      </c>
      <c r="CC217" s="71">
        <f>AG217</f>
        <v>170</v>
      </c>
      <c r="CD217" s="72">
        <f>AK217</f>
        <v>175</v>
      </c>
      <c r="CE217" s="71">
        <f>AO217</f>
        <v>2214</v>
      </c>
      <c r="CF217" s="72">
        <f>AS217</f>
        <v>2255</v>
      </c>
      <c r="CG217" s="71" t="str">
        <f>AW217</f>
        <v>-</v>
      </c>
      <c r="CH217" s="70">
        <f>G217</f>
        <v>37</v>
      </c>
      <c r="CI217" s="71" t="str">
        <f>K217</f>
        <v>-</v>
      </c>
      <c r="CJ217" s="72">
        <f>O217</f>
        <v>69</v>
      </c>
      <c r="CK217" s="72">
        <f>S217</f>
        <v>74</v>
      </c>
      <c r="CL217" s="72">
        <f>W217</f>
        <v>110</v>
      </c>
      <c r="CM217" s="72" t="str">
        <f>AA217</f>
        <v>-</v>
      </c>
      <c r="CN217" s="72">
        <f>AE217</f>
        <v>146</v>
      </c>
      <c r="CO217" s="72">
        <f>AI217</f>
        <v>172</v>
      </c>
      <c r="CP217" s="72">
        <f>AM217</f>
        <v>211</v>
      </c>
      <c r="CQ217" s="72">
        <f>AQ217</f>
        <v>2250</v>
      </c>
      <c r="CR217" s="72">
        <f>AU217</f>
        <v>2276</v>
      </c>
      <c r="CS217" s="72" t="str">
        <f>AY217</f>
        <v>-</v>
      </c>
      <c r="CT217" s="23" t="e">
        <f>M217-K217</f>
        <v>#VALUE!</v>
      </c>
    </row>
    <row r="218" spans="1:1029" x14ac:dyDescent="0.2">
      <c r="A218" s="3" t="str">
        <f>CONCATENATE(B218,"_",C218)</f>
        <v>ffar1_human_5TZY</v>
      </c>
      <c r="B218" s="3" t="s">
        <v>1172</v>
      </c>
      <c r="C218" s="3" t="s">
        <v>1417</v>
      </c>
      <c r="D218" s="3" t="str">
        <f>IFERROR(MID(VLOOKUP($B218,Seqs!$A:$B,2,0),E218,1),"")</f>
        <v>P</v>
      </c>
      <c r="E218" s="3">
        <v>4</v>
      </c>
      <c r="F218" s="3" t="str">
        <f>IFERROR(MID(VLOOKUP($B218,Seqs!$A:$B,2,0),G218,1),"")</f>
        <v>R</v>
      </c>
      <c r="G218" s="3">
        <v>37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T</v>
      </c>
      <c r="M218" s="3">
        <v>39</v>
      </c>
      <c r="N218" s="3" t="str">
        <f>IFERROR(MID(VLOOKUP($B218,Seqs!$A:$B,2,0),O218,1),"")</f>
        <v>A</v>
      </c>
      <c r="O218" s="3">
        <v>68</v>
      </c>
      <c r="P218" s="3" t="str">
        <f>IFERROR(MID(VLOOKUP($B218,Seqs!$A:$B,2,0),Q218,1),"")</f>
        <v>A</v>
      </c>
      <c r="Q218" s="3">
        <v>71</v>
      </c>
      <c r="R218" s="3" t="str">
        <f>IFERROR(MID(VLOOKUP($B218,Seqs!$A:$B,2,0),S218,1),"")</f>
        <v>L</v>
      </c>
      <c r="S218" s="3">
        <v>74</v>
      </c>
      <c r="T218" s="3" t="str">
        <f>IFERROR(MID(VLOOKUP($B218,Seqs!$A:$B,2,0),U218,1),"")</f>
        <v>P</v>
      </c>
      <c r="U218" s="3">
        <v>75</v>
      </c>
      <c r="V218" s="3" t="str">
        <f>IFERROR(MID(VLOOKUP($B218,Seqs!$A:$B,2,0),W218,1),"")</f>
        <v>F</v>
      </c>
      <c r="W218" s="3">
        <v>110</v>
      </c>
      <c r="X218" s="3" t="str">
        <f>IFERROR(MID(VLOOKUP($B218,Seqs!$A:$B,2,0),Y218,1),"")</f>
        <v>P</v>
      </c>
      <c r="Y218" s="3">
        <v>111</v>
      </c>
      <c r="Z218" s="3" t="str">
        <f>IFERROR(MID(VLOOKUP($B218,Seqs!$A:$B,2,0),AA218,1),"")</f>
        <v>R</v>
      </c>
      <c r="AA218" s="3">
        <v>118</v>
      </c>
      <c r="AB218" s="3" t="str">
        <f>IFERROR(MID(VLOOKUP($B218,Seqs!$A:$B,2,0),AC218,1),"")</f>
        <v>R</v>
      </c>
      <c r="AC218" s="3">
        <v>119</v>
      </c>
      <c r="AD218" s="3" t="str">
        <f>IFERROR(MID(VLOOKUP($B218,Seqs!$A:$B,2,0),AE218,1),"")</f>
        <v>A</v>
      </c>
      <c r="AE218" s="3">
        <v>146</v>
      </c>
      <c r="AF218" s="3" t="str">
        <f>IFERROR(MID(VLOOKUP($B218,Seqs!$A:$B,2,0),AG218,1),"")</f>
        <v>C</v>
      </c>
      <c r="AG218" s="3">
        <v>170</v>
      </c>
      <c r="AH218" s="3" t="str">
        <f>IFERROR(MID(VLOOKUP($B218,Seqs!$A:$B,2,0),AI218,1),"")</f>
        <v>E</v>
      </c>
      <c r="AI218" s="3">
        <v>172</v>
      </c>
      <c r="AJ218" s="3" t="str">
        <f>IFERROR(MID(VLOOKUP($B218,Seqs!$A:$B,2,0),AK218,1),"")</f>
        <v>D</v>
      </c>
      <c r="AK218" s="3">
        <v>175</v>
      </c>
      <c r="AL218" s="3" t="str">
        <f>IFERROR(MID(VLOOKUP($B218,Seqs!$A:$B,2,0),AM218,1),"")</f>
        <v>R</v>
      </c>
      <c r="AM218" s="3">
        <v>211</v>
      </c>
      <c r="AN218" s="3" t="str">
        <f>IFERROR(MID(VLOOKUP($B218,Seqs!$A:$B,2,0),AO218,1),"")</f>
        <v/>
      </c>
      <c r="AO218" s="3">
        <v>2215</v>
      </c>
      <c r="AP218" s="3" t="str">
        <f>IFERROR(MID(VLOOKUP($B218,Seqs!$A:$B,2,0),AQ218,1),"")</f>
        <v/>
      </c>
      <c r="AQ218" s="3">
        <v>2250</v>
      </c>
      <c r="AR218" s="3" t="str">
        <f>IFERROR(MID(VLOOKUP($B218,Seqs!$A:$B,2,0),AS218,1),"")</f>
        <v/>
      </c>
      <c r="AS218" s="3">
        <v>2254</v>
      </c>
      <c r="AT218" s="3" t="str">
        <f>IFERROR(MID(VLOOKUP($B218,Seqs!$A:$B,2,0),AU218,1),"")</f>
        <v/>
      </c>
      <c r="AU218" s="3">
        <v>2277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Freefattyacid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242</v>
      </c>
      <c r="BD218" s="16" t="s">
        <v>1429</v>
      </c>
      <c r="BE218" s="3" t="s">
        <v>1428</v>
      </c>
      <c r="BF218" s="118">
        <v>3.22</v>
      </c>
      <c r="BG218" s="49" t="s">
        <v>1</v>
      </c>
      <c r="BH218" s="49" t="s">
        <v>1</v>
      </c>
      <c r="BI218" s="1"/>
      <c r="BJ218" s="70" t="s">
        <v>1287</v>
      </c>
      <c r="BK218" s="57" t="s">
        <v>1287</v>
      </c>
      <c r="BL218" s="57" t="s">
        <v>1287</v>
      </c>
      <c r="BM218" s="57" t="s">
        <v>1287</v>
      </c>
      <c r="BN218" s="57" t="s">
        <v>1287</v>
      </c>
      <c r="BO218" s="57" t="s">
        <v>1287</v>
      </c>
      <c r="BP218" s="57" t="s">
        <v>1287</v>
      </c>
      <c r="BQ218" s="57" t="s">
        <v>1287</v>
      </c>
      <c r="BR218" s="57" t="s">
        <v>1287</v>
      </c>
      <c r="BS218" s="57" t="s">
        <v>1287</v>
      </c>
      <c r="BT218" s="57" t="s">
        <v>1287</v>
      </c>
      <c r="BU218" s="57" t="s">
        <v>1287</v>
      </c>
      <c r="BV218" s="70">
        <f>E218</f>
        <v>4</v>
      </c>
      <c r="BW218" s="71" t="str">
        <f>I218</f>
        <v>-</v>
      </c>
      <c r="BX218" s="72">
        <f>M218</f>
        <v>39</v>
      </c>
      <c r="BY218" s="71">
        <f>Q218</f>
        <v>71</v>
      </c>
      <c r="BZ218" s="72">
        <f>U218</f>
        <v>75</v>
      </c>
      <c r="CA218" s="71">
        <f>Y218</f>
        <v>111</v>
      </c>
      <c r="CB218" s="72">
        <f>AC218</f>
        <v>119</v>
      </c>
      <c r="CC218" s="71">
        <f>AG218</f>
        <v>170</v>
      </c>
      <c r="CD218" s="72">
        <f>AK218</f>
        <v>175</v>
      </c>
      <c r="CE218" s="71">
        <f>AO218</f>
        <v>2215</v>
      </c>
      <c r="CF218" s="72">
        <f>AS218</f>
        <v>2254</v>
      </c>
      <c r="CG218" s="71" t="str">
        <f>AW218</f>
        <v>-</v>
      </c>
      <c r="CH218" s="70">
        <f>G218</f>
        <v>37</v>
      </c>
      <c r="CI218" s="71" t="str">
        <f>K218</f>
        <v>-</v>
      </c>
      <c r="CJ218" s="72">
        <f>O218</f>
        <v>68</v>
      </c>
      <c r="CK218" s="72">
        <f>S218</f>
        <v>74</v>
      </c>
      <c r="CL218" s="72">
        <f>W218</f>
        <v>110</v>
      </c>
      <c r="CM218" s="72">
        <f>AA218</f>
        <v>118</v>
      </c>
      <c r="CN218" s="72">
        <f>AE218</f>
        <v>146</v>
      </c>
      <c r="CO218" s="72">
        <f>AI218</f>
        <v>172</v>
      </c>
      <c r="CP218" s="72">
        <f>AM218</f>
        <v>211</v>
      </c>
      <c r="CQ218" s="72">
        <f>AQ218</f>
        <v>2250</v>
      </c>
      <c r="CR218" s="72">
        <f>AU218</f>
        <v>2277</v>
      </c>
      <c r="CS218" s="72" t="str">
        <f>AY218</f>
        <v>-</v>
      </c>
      <c r="CT218" s="23" t="e">
        <f>M218-K218</f>
        <v>#VALUE!</v>
      </c>
    </row>
    <row r="219" spans="1:1029" x14ac:dyDescent="0.2">
      <c r="A219" s="3" t="str">
        <f t="shared" si="951"/>
        <v>hrh1_human__wt</v>
      </c>
      <c r="B219" s="3" t="s">
        <v>278</v>
      </c>
      <c r="C219" s="3" t="s">
        <v>100</v>
      </c>
      <c r="D219" s="3" t="str">
        <f>IFERROR(MID(VLOOKUP($B219,Seqs!$A:$B,2,0),E219,1),"")</f>
        <v>P</v>
      </c>
      <c r="E219" s="3">
        <v>29</v>
      </c>
      <c r="F219" s="3" t="str">
        <f>IFERROR(MID(VLOOKUP($B219,Seqs!$A:$B,2,0),G219,1),"")</f>
        <v>E</v>
      </c>
      <c r="G219" s="3">
        <v>55</v>
      </c>
      <c r="H219" s="3" t="str">
        <f>IFERROR(MID(VLOOKUP($B219,Seqs!$A:$B,2,0),I219,1),"")</f>
        <v>R</v>
      </c>
      <c r="I219" s="23">
        <v>56</v>
      </c>
      <c r="J219" s="3" t="str">
        <f>IFERROR(MID(VLOOKUP($B219,Seqs!$A:$B,2,0),K219,1),"")</f>
        <v>H</v>
      </c>
      <c r="K219" s="23">
        <v>59</v>
      </c>
      <c r="L219" s="3" t="str">
        <f>IFERROR(MID(VLOOKUP($B219,Seqs!$A:$B,2,0),M219,1),"")</f>
        <v>T</v>
      </c>
      <c r="M219" s="3">
        <v>60</v>
      </c>
      <c r="N219" s="3" t="str">
        <f>IFERROR(MID(VLOOKUP($B219,Seqs!$A:$B,2,0),O219,1),"")</f>
        <v>M</v>
      </c>
      <c r="O219" s="3">
        <v>90</v>
      </c>
      <c r="P219" s="3" t="str">
        <f>IFERROR(MID(VLOOKUP($B219,Seqs!$A:$B,2,0),Q219,1),"")</f>
        <v>K</v>
      </c>
      <c r="Q219" s="3">
        <v>92</v>
      </c>
      <c r="R219" s="3" t="str">
        <f>IFERROR(MID(VLOOKUP($B219,Seqs!$A:$B,2,0),S219,1),"")</f>
        <v>L</v>
      </c>
      <c r="S219" s="3">
        <v>95</v>
      </c>
      <c r="T219" s="3" t="str">
        <f>IFERROR(MID(VLOOKUP($B219,Seqs!$A:$B,2,0),U219,1),"")</f>
        <v>G</v>
      </c>
      <c r="U219" s="3">
        <v>96</v>
      </c>
      <c r="V219" s="3" t="str">
        <f>IFERROR(MID(VLOOKUP($B219,Seqs!$A:$B,2,0),W219,1),"")</f>
        <v>Q</v>
      </c>
      <c r="W219" s="3">
        <v>131</v>
      </c>
      <c r="X219" s="3" t="str">
        <f>IFERROR(MID(VLOOKUP($B219,Seqs!$A:$B,2,0),Y219,1),"")</f>
        <v>P</v>
      </c>
      <c r="Y219" s="3">
        <v>132</v>
      </c>
      <c r="Z219" s="3" t="str">
        <f>IFERROR(MID(VLOOKUP($B219,Seqs!$A:$B,2,0),AA219,1),"")</f>
        <v>R</v>
      </c>
      <c r="AA219" s="3">
        <v>139</v>
      </c>
      <c r="AB219" s="3" t="str">
        <f>IFERROR(MID(VLOOKUP($B219,Seqs!$A:$B,2,0),AC219,1),"")</f>
        <v>T</v>
      </c>
      <c r="AC219" s="9">
        <v>140</v>
      </c>
      <c r="AD219" s="3" t="str">
        <f>IFERROR(MID(VLOOKUP($B219,Seqs!$A:$B,2,0),AE219,1),"")</f>
        <v>G</v>
      </c>
      <c r="AE219" s="3">
        <v>164</v>
      </c>
      <c r="AF219" s="3" t="str">
        <f>IFERROR(MID(VLOOKUP($B219,Seqs!$A:$B,2,0),AG219,1),"")</f>
        <v>C</v>
      </c>
      <c r="AG219" s="3">
        <v>180</v>
      </c>
      <c r="AH219" s="3" t="str">
        <f>IFERROR(MID(VLOOKUP($B219,Seqs!$A:$B,2,0),AI219,1),"")</f>
        <v>T</v>
      </c>
      <c r="AI219" s="3">
        <v>182</v>
      </c>
      <c r="AJ219" s="3" t="str">
        <f>IFERROR(MID(VLOOKUP($B219,Seqs!$A:$B,2,0),AK219,1),"")</f>
        <v>V</v>
      </c>
      <c r="AK219" s="3">
        <v>187</v>
      </c>
      <c r="AL219" s="3" t="str">
        <f>IFERROR(MID(VLOOKUP($B219,Seqs!$A:$B,2,0),AM219,1),"")</f>
        <v>N</v>
      </c>
      <c r="AM219" s="3">
        <v>228</v>
      </c>
      <c r="AN219" s="3" t="str">
        <f>IFERROR(MID(VLOOKUP($B219,Seqs!$A:$B,2,0),AO219,1),"")</f>
        <v>G</v>
      </c>
      <c r="AO219" s="3">
        <v>404</v>
      </c>
      <c r="AP219" s="3" t="str">
        <f>IFERROR(MID(VLOOKUP($B219,Seqs!$A:$B,2,0),AQ219,1),"")</f>
        <v>C</v>
      </c>
      <c r="AQ219" s="3">
        <v>441</v>
      </c>
      <c r="AR219" s="3" t="str">
        <f>IFERROR(MID(VLOOKUP($B219,Seqs!$A:$B,2,0),AS219,1),"")</f>
        <v>N</v>
      </c>
      <c r="AS219" s="3">
        <v>446</v>
      </c>
      <c r="AT219" s="3" t="str">
        <f>IFERROR(MID(VLOOKUP($B219,Seqs!$A:$B,2,0),AU219,1),"")</f>
        <v>C</v>
      </c>
      <c r="AU219" s="3">
        <v>471</v>
      </c>
      <c r="AV219" s="3" t="str">
        <f>IFERROR(MID(VLOOKUP($B219,Seqs!$A:$B,2,0),AW219,1),"")</f>
        <v>N</v>
      </c>
      <c r="AW219" s="3">
        <v>472</v>
      </c>
      <c r="AX219" s="3" t="str">
        <f>IFERROR(MID(VLOOKUP($B219,Seqs!$A:$B,2,0),AY219,1),"")</f>
        <v>H</v>
      </c>
      <c r="AY219" s="3">
        <v>484</v>
      </c>
      <c r="AZ219" s="77" t="str">
        <f>VLOOKUP(B219,Classification!A:D,2,0)</f>
        <v>A</v>
      </c>
      <c r="BA219" s="94" t="str">
        <f>VLOOKUP(B219,Classification!A:D,4,0)</f>
        <v>Histamine</v>
      </c>
      <c r="BB219" s="27" t="b">
        <f t="shared" si="952"/>
        <v>1</v>
      </c>
      <c r="BC219" s="23">
        <f t="shared" si="1398"/>
        <v>257</v>
      </c>
      <c r="BD219" s="34" t="s">
        <v>23</v>
      </c>
      <c r="BE219" s="3" t="s">
        <v>23</v>
      </c>
      <c r="BF219" s="118" t="s">
        <v>23</v>
      </c>
      <c r="BG219" s="49" t="s">
        <v>1372</v>
      </c>
      <c r="BH219" s="49" t="s">
        <v>1377</v>
      </c>
      <c r="BI219" s="1"/>
      <c r="BJ219" s="70" t="s">
        <v>1287</v>
      </c>
      <c r="BK219" s="57" t="s">
        <v>1287</v>
      </c>
      <c r="BL219" s="57" t="s">
        <v>1287</v>
      </c>
      <c r="BM219" s="57" t="s">
        <v>1287</v>
      </c>
      <c r="BN219" s="57" t="s">
        <v>1287</v>
      </c>
      <c r="BO219" s="57" t="s">
        <v>1287</v>
      </c>
      <c r="BP219" s="57" t="s">
        <v>1287</v>
      </c>
      <c r="BQ219" s="57" t="s">
        <v>1287</v>
      </c>
      <c r="BR219" s="57" t="s">
        <v>1287</v>
      </c>
      <c r="BS219" s="57" t="s">
        <v>1287</v>
      </c>
      <c r="BT219" s="57" t="s">
        <v>1287</v>
      </c>
      <c r="BU219" s="57" t="s">
        <v>1287</v>
      </c>
      <c r="BV219" s="70">
        <f t="shared" si="1399"/>
        <v>29</v>
      </c>
      <c r="BW219" s="71">
        <f t="shared" si="1400"/>
        <v>56</v>
      </c>
      <c r="BX219" s="72">
        <f t="shared" si="1401"/>
        <v>60</v>
      </c>
      <c r="BY219" s="71">
        <f t="shared" si="1402"/>
        <v>92</v>
      </c>
      <c r="BZ219" s="72">
        <f t="shared" si="1403"/>
        <v>96</v>
      </c>
      <c r="CA219" s="71">
        <f t="shared" si="1404"/>
        <v>132</v>
      </c>
      <c r="CB219" s="72">
        <f t="shared" si="1405"/>
        <v>140</v>
      </c>
      <c r="CC219" s="71">
        <f t="shared" si="1406"/>
        <v>180</v>
      </c>
      <c r="CD219" s="72">
        <f t="shared" si="1407"/>
        <v>187</v>
      </c>
      <c r="CE219" s="71">
        <f t="shared" si="1408"/>
        <v>404</v>
      </c>
      <c r="CF219" s="72">
        <f t="shared" si="1409"/>
        <v>446</v>
      </c>
      <c r="CG219" s="71">
        <f t="shared" si="1410"/>
        <v>472</v>
      </c>
      <c r="CH219" s="70">
        <f t="shared" si="1411"/>
        <v>55</v>
      </c>
      <c r="CI219" s="71">
        <f t="shared" si="1412"/>
        <v>59</v>
      </c>
      <c r="CJ219" s="72">
        <f t="shared" si="1413"/>
        <v>90</v>
      </c>
      <c r="CK219" s="72">
        <f t="shared" si="1414"/>
        <v>95</v>
      </c>
      <c r="CL219" s="72">
        <f t="shared" si="1415"/>
        <v>131</v>
      </c>
      <c r="CM219" s="72">
        <f t="shared" si="1416"/>
        <v>139</v>
      </c>
      <c r="CN219" s="72">
        <f t="shared" si="1417"/>
        <v>164</v>
      </c>
      <c r="CO219" s="72">
        <f t="shared" si="1418"/>
        <v>182</v>
      </c>
      <c r="CP219" s="72">
        <f t="shared" si="1419"/>
        <v>228</v>
      </c>
      <c r="CQ219" s="72">
        <f t="shared" si="1420"/>
        <v>441</v>
      </c>
      <c r="CR219" s="72">
        <f t="shared" si="1421"/>
        <v>471</v>
      </c>
      <c r="CS219" s="72">
        <f t="shared" si="1422"/>
        <v>484</v>
      </c>
      <c r="CT219" s="23">
        <f t="shared" si="1423"/>
        <v>1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29" x14ac:dyDescent="0.2">
      <c r="A220" s="3" t="str">
        <f t="shared" si="951"/>
        <v>hrh1_human_3RZE</v>
      </c>
      <c r="B220" s="3" t="s">
        <v>278</v>
      </c>
      <c r="C220" s="3" t="s">
        <v>73</v>
      </c>
      <c r="D220" s="3" t="str">
        <f>IFERROR(MID(VLOOKUP($B220,Seqs!$A:$B,2,0),E220,1),"")</f>
        <v>V</v>
      </c>
      <c r="E220" s="3">
        <v>33</v>
      </c>
      <c r="F220" s="3" t="str">
        <f>IFERROR(MID(VLOOKUP($B220,Seqs!$A:$B,2,0),G220,1),"")</f>
        <v>E</v>
      </c>
      <c r="G220" s="3">
        <v>55</v>
      </c>
      <c r="H220" s="3" t="str">
        <f>IFERROR(MID(VLOOKUP($B220,Seqs!$A:$B,2,0),I220,1),"")</f>
        <v>R</v>
      </c>
      <c r="I220" s="23">
        <v>56</v>
      </c>
      <c r="J220" s="3" t="str">
        <f>IFERROR(MID(VLOOKUP($B220,Seqs!$A:$B,2,0),K220,1),"")</f>
        <v>H</v>
      </c>
      <c r="K220" s="23">
        <v>59</v>
      </c>
      <c r="L220" s="3" t="str">
        <f>IFERROR(MID(VLOOKUP($B220,Seqs!$A:$B,2,0),M220,1),"")</f>
        <v>T</v>
      </c>
      <c r="M220" s="3">
        <v>60</v>
      </c>
      <c r="N220" s="3" t="str">
        <f>IFERROR(MID(VLOOKUP($B220,Seqs!$A:$B,2,0),O220,1),"")</f>
        <v>M</v>
      </c>
      <c r="O220" s="3">
        <v>90</v>
      </c>
      <c r="P220" s="3" t="str">
        <f>IFERROR(MID(VLOOKUP($B220,Seqs!$A:$B,2,0),Q220,1),"")</f>
        <v>K</v>
      </c>
      <c r="Q220" s="3">
        <v>92</v>
      </c>
      <c r="R220" s="3" t="str">
        <f>IFERROR(MID(VLOOKUP($B220,Seqs!$A:$B,2,0),S220,1),"")</f>
        <v>L</v>
      </c>
      <c r="S220" s="3">
        <v>95</v>
      </c>
      <c r="T220" s="3" t="str">
        <f>IFERROR(MID(VLOOKUP($B220,Seqs!$A:$B,2,0),U220,1),"")</f>
        <v>G</v>
      </c>
      <c r="U220" s="3">
        <v>96</v>
      </c>
      <c r="V220" s="3" t="str">
        <f>IFERROR(MID(VLOOKUP($B220,Seqs!$A:$B,2,0),W220,1),"")</f>
        <v>Q</v>
      </c>
      <c r="W220" s="3">
        <v>131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T</v>
      </c>
      <c r="AC220" s="9">
        <v>140</v>
      </c>
      <c r="AD220" s="3" t="str">
        <f>IFERROR(MID(VLOOKUP($B220,Seqs!$A:$B,2,0),AE220,1),"")</f>
        <v>G</v>
      </c>
      <c r="AE220" s="3">
        <v>164</v>
      </c>
      <c r="AF220" s="3" t="str">
        <f>IFERROR(MID(VLOOKUP($B220,Seqs!$A:$B,2,0),AG220,1),"")</f>
        <v>C</v>
      </c>
      <c r="AG220" s="3">
        <v>180</v>
      </c>
      <c r="AH220" s="3" t="str">
        <f>IFERROR(MID(VLOOKUP($B220,Seqs!$A:$B,2,0),AI220,1),"")</f>
        <v>T</v>
      </c>
      <c r="AI220" s="3">
        <v>182</v>
      </c>
      <c r="AJ220" s="3" t="str">
        <f>IFERROR(MID(VLOOKUP($B220,Seqs!$A:$B,2,0),AK220,1),"")</f>
        <v>V</v>
      </c>
      <c r="AK220" s="3">
        <v>187</v>
      </c>
      <c r="AL220" s="3" t="str">
        <f>IFERROR(MID(VLOOKUP($B220,Seqs!$A:$B,2,0),AM220,1),"")</f>
        <v>V</v>
      </c>
      <c r="AM220" s="3">
        <v>217</v>
      </c>
      <c r="AN220" s="3" t="str">
        <f>IFERROR(MID(VLOOKUP($B220,Seqs!$A:$B,2,0),AO220,1),"")</f>
        <v>N</v>
      </c>
      <c r="AO220" s="3">
        <v>408</v>
      </c>
      <c r="AP220" s="3" t="str">
        <f>IFERROR(MID(VLOOKUP($B220,Seqs!$A:$B,2,0),AQ220,1),"")</f>
        <v>C</v>
      </c>
      <c r="AQ220" s="3">
        <v>441</v>
      </c>
      <c r="AR220" s="3" t="str">
        <f>IFERROR(MID(VLOOKUP($B220,Seqs!$A:$B,2,0),AS220,1),"")</f>
        <v>N</v>
      </c>
      <c r="AS220" s="3">
        <v>446</v>
      </c>
      <c r="AT220" s="3" t="str">
        <f>IFERROR(MID(VLOOKUP($B220,Seqs!$A:$B,2,0),AU220,1),"")</f>
        <v>C</v>
      </c>
      <c r="AU220" s="3">
        <v>471</v>
      </c>
      <c r="AV220" s="3" t="str">
        <f>IFERROR(MID(VLOOKUP($B220,Seqs!$A:$B,2,0),AW220,1),"")</f>
        <v>N</v>
      </c>
      <c r="AW220" s="3">
        <v>472</v>
      </c>
      <c r="AX220" s="3" t="str">
        <f>IFERROR(MID(VLOOKUP($B220,Seqs!$A:$B,2,0),AY220,1),"")</f>
        <v>H</v>
      </c>
      <c r="AY220" s="3">
        <v>484</v>
      </c>
      <c r="AZ220" s="77" t="str">
        <f>VLOOKUP(B220,Classification!A:D,2,0)</f>
        <v>A</v>
      </c>
      <c r="BA220" s="94" t="str">
        <f>VLOOKUP(B220,Classification!A:D,4,0)</f>
        <v>Histamine</v>
      </c>
      <c r="BB220" s="27" t="b">
        <f t="shared" si="952"/>
        <v>1</v>
      </c>
      <c r="BC220" s="23">
        <f t="shared" si="1398"/>
        <v>231</v>
      </c>
      <c r="BD220" s="16" t="s">
        <v>1376</v>
      </c>
      <c r="BE220" s="3" t="s">
        <v>1374</v>
      </c>
      <c r="BF220" s="118">
        <v>3.1</v>
      </c>
      <c r="BG220" s="49" t="s">
        <v>1377</v>
      </c>
      <c r="BH220" s="49" t="s">
        <v>1377</v>
      </c>
      <c r="BI220" s="1"/>
      <c r="BJ220" s="70" t="s">
        <v>1287</v>
      </c>
      <c r="BK220" s="57" t="s">
        <v>1287</v>
      </c>
      <c r="BL220" s="57" t="s">
        <v>1287</v>
      </c>
      <c r="BM220" s="57" t="s">
        <v>1287</v>
      </c>
      <c r="BN220" s="57" t="s">
        <v>1287</v>
      </c>
      <c r="BO220" s="57" t="s">
        <v>1287</v>
      </c>
      <c r="BP220" s="57" t="s">
        <v>1287</v>
      </c>
      <c r="BQ220" s="57" t="s">
        <v>1287</v>
      </c>
      <c r="BR220" s="57" t="s">
        <v>1287</v>
      </c>
      <c r="BS220" s="57" t="s">
        <v>1287</v>
      </c>
      <c r="BT220" s="57" t="s">
        <v>1287</v>
      </c>
      <c r="BU220" s="57" t="s">
        <v>1287</v>
      </c>
      <c r="BV220" s="70">
        <f t="shared" si="1399"/>
        <v>33</v>
      </c>
      <c r="BW220" s="71">
        <f t="shared" si="1400"/>
        <v>56</v>
      </c>
      <c r="BX220" s="72">
        <f t="shared" si="1401"/>
        <v>60</v>
      </c>
      <c r="BY220" s="71">
        <f t="shared" si="1402"/>
        <v>92</v>
      </c>
      <c r="BZ220" s="72">
        <f t="shared" si="1403"/>
        <v>96</v>
      </c>
      <c r="CA220" s="71" t="str">
        <f t="shared" si="1404"/>
        <v>-</v>
      </c>
      <c r="CB220" s="72">
        <f t="shared" si="1405"/>
        <v>140</v>
      </c>
      <c r="CC220" s="71">
        <f t="shared" si="1406"/>
        <v>180</v>
      </c>
      <c r="CD220" s="72">
        <f t="shared" si="1407"/>
        <v>187</v>
      </c>
      <c r="CE220" s="71">
        <f t="shared" si="1408"/>
        <v>408</v>
      </c>
      <c r="CF220" s="72">
        <f t="shared" si="1409"/>
        <v>446</v>
      </c>
      <c r="CG220" s="71">
        <f t="shared" si="1410"/>
        <v>472</v>
      </c>
      <c r="CH220" s="70">
        <f t="shared" si="1411"/>
        <v>55</v>
      </c>
      <c r="CI220" s="71">
        <f t="shared" si="1412"/>
        <v>59</v>
      </c>
      <c r="CJ220" s="72">
        <f t="shared" si="1413"/>
        <v>90</v>
      </c>
      <c r="CK220" s="72">
        <f t="shared" si="1414"/>
        <v>95</v>
      </c>
      <c r="CL220" s="72">
        <f t="shared" si="1415"/>
        <v>131</v>
      </c>
      <c r="CM220" s="72" t="str">
        <f t="shared" si="1416"/>
        <v>-</v>
      </c>
      <c r="CN220" s="72">
        <f t="shared" si="1417"/>
        <v>164</v>
      </c>
      <c r="CO220" s="72">
        <f t="shared" si="1418"/>
        <v>182</v>
      </c>
      <c r="CP220" s="72">
        <f t="shared" si="1419"/>
        <v>217</v>
      </c>
      <c r="CQ220" s="72">
        <f t="shared" si="1420"/>
        <v>441</v>
      </c>
      <c r="CR220" s="72">
        <f t="shared" si="1421"/>
        <v>471</v>
      </c>
      <c r="CS220" s="72">
        <f t="shared" si="1422"/>
        <v>484</v>
      </c>
      <c r="CT220" s="23">
        <f t="shared" si="1423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29" x14ac:dyDescent="0.2">
      <c r="A221" s="3" t="str">
        <f t="shared" ref="A221:A281" si="1424">CONCATENATE(B221,"_",C221)</f>
        <v>lpar1_human__wt</v>
      </c>
      <c r="B221" s="3" t="s">
        <v>103</v>
      </c>
      <c r="C221" s="3" t="s">
        <v>100</v>
      </c>
      <c r="D221" s="3" t="str">
        <f>IFERROR(MID(VLOOKUP($B221,Seqs!$A:$B,2,0),E221,1),"")</f>
        <v>T</v>
      </c>
      <c r="E221" s="3">
        <v>47</v>
      </c>
      <c r="F221" s="3" t="str">
        <f>IFERROR(MID(VLOOKUP($B221,Seqs!$A:$B,2,0),G221,1),"")</f>
        <v>N</v>
      </c>
      <c r="G221" s="3">
        <v>77</v>
      </c>
      <c r="H221" s="3" t="str">
        <f>IFERROR(MID(VLOOKUP($B221,Seqs!$A:$B,2,0),I221,1),"")</f>
        <v>R</v>
      </c>
      <c r="I221" s="23">
        <v>78</v>
      </c>
      <c r="J221" s="3" t="str">
        <f>IFERROR(MID(VLOOKUP($B221,Seqs!$A:$B,2,0),K221,1),"")</f>
        <v>H</v>
      </c>
      <c r="K221" s="23">
        <v>81</v>
      </c>
      <c r="L221" s="3" t="str">
        <f>IFERROR(MID(VLOOKUP($B221,Seqs!$A:$B,2,0),M221,1),"")</f>
        <v>F</v>
      </c>
      <c r="M221" s="3">
        <v>82</v>
      </c>
      <c r="N221" s="3" t="str">
        <f>IFERROR(MID(VLOOKUP($B221,Seqs!$A:$B,2,0),O221,1),"")</f>
        <v>N</v>
      </c>
      <c r="O221" s="3">
        <v>108</v>
      </c>
      <c r="P221" s="3" t="str">
        <f>IFERROR(MID(VLOOKUP($B221,Seqs!$A:$B,2,0),Q221,1),"")</f>
        <v>G</v>
      </c>
      <c r="Q221" s="3">
        <v>110</v>
      </c>
      <c r="R221" s="3" t="str">
        <f>IFERROR(MID(VLOOKUP($B221,Seqs!$A:$B,2,0),S221,1),"")</f>
        <v>L</v>
      </c>
      <c r="S221" s="3">
        <v>116</v>
      </c>
      <c r="T221" s="3" t="str">
        <f>IFERROR(MID(VLOOKUP($B221,Seqs!$A:$B,2,0),U221,1),"")</f>
        <v>T</v>
      </c>
      <c r="U221" s="3">
        <v>117</v>
      </c>
      <c r="V221" s="3" t="str">
        <f>IFERROR(MID(VLOOKUP($B221,Seqs!$A:$B,2,0),W221,1),"")</f>
        <v>R</v>
      </c>
      <c r="W221" s="3">
        <v>152</v>
      </c>
      <c r="X221" s="3" t="str">
        <f>IFERROR(MID(VLOOKUP($B221,Seqs!$A:$B,2,0),Y221,1),"")</f>
        <v>M</v>
      </c>
      <c r="Y221" s="105">
        <v>153</v>
      </c>
      <c r="Z221" s="3" t="str">
        <f>IFERROR(MID(VLOOKUP($B221,Seqs!$A:$B,2,0),AA221,1),"")</f>
        <v>M</v>
      </c>
      <c r="AA221" s="105">
        <v>159</v>
      </c>
      <c r="AB221" s="3" t="str">
        <f>IFERROR(MID(VLOOKUP($B221,Seqs!$A:$B,2,0),AC221,1),"")</f>
        <v>S</v>
      </c>
      <c r="AC221" s="105">
        <v>160</v>
      </c>
      <c r="AD221" s="3" t="str">
        <f>IFERROR(MID(VLOOKUP($B221,Seqs!$A:$B,2,0),AE221,1),"")</f>
        <v>G</v>
      </c>
      <c r="AE221" s="3">
        <v>185</v>
      </c>
      <c r="AF221" s="3" t="str">
        <f>IFERROR(MID(VLOOKUP($B221,Seqs!$A:$B,2,0),AG221,1),"")</f>
        <v/>
      </c>
      <c r="AG221" s="3" t="s">
        <v>23</v>
      </c>
      <c r="AH221" s="3" t="str">
        <f>IFERROR(MID(VLOOKUP($B221,Seqs!$A:$B,2,0),AI221,1),"")</f>
        <v/>
      </c>
      <c r="AI221" s="3" t="s">
        <v>23</v>
      </c>
      <c r="AJ221" s="3" t="str">
        <f>IFERROR(MID(VLOOKUP($B221,Seqs!$A:$B,2,0),AK221,1),"")</f>
        <v>S</v>
      </c>
      <c r="AK221" s="3">
        <v>203</v>
      </c>
      <c r="AL221" s="3" t="str">
        <f>IFERROR(MID(VLOOKUP($B221,Seqs!$A:$B,2,0),AM221,1),"")</f>
        <v>S</v>
      </c>
      <c r="AM221" s="3">
        <v>240</v>
      </c>
      <c r="AN221" s="3" t="str">
        <f>IFERROR(MID(VLOOKUP($B221,Seqs!$A:$B,2,0),AO221,1),"")</f>
        <v>G</v>
      </c>
      <c r="AO221" s="3">
        <v>245</v>
      </c>
      <c r="AP221" s="3" t="str">
        <f>IFERROR(MID(VLOOKUP($B221,Seqs!$A:$B,2,0),AQ221,1),"")</f>
        <v>C</v>
      </c>
      <c r="AQ221" s="3">
        <v>284</v>
      </c>
      <c r="AR221" s="3" t="str">
        <f>IFERROR(MID(VLOOKUP($B221,Seqs!$A:$B,2,0),AS221,1),"")</f>
        <v>D</v>
      </c>
      <c r="AS221" s="3">
        <v>288</v>
      </c>
      <c r="AT221" s="3" t="str">
        <f>IFERROR(MID(VLOOKUP($B221,Seqs!$A:$B,2,0),AU221,1),"")</f>
        <v>R</v>
      </c>
      <c r="AU221" s="3">
        <v>314</v>
      </c>
      <c r="AV221" s="3" t="str">
        <f>IFERROR(MID(VLOOKUP($B221,Seqs!$A:$B,2,0),AW221,1),"")</f>
        <v>D</v>
      </c>
      <c r="AW221" s="3">
        <v>315</v>
      </c>
      <c r="AX221" s="3" t="str">
        <f>IFERROR(MID(VLOOKUP($B221,Seqs!$A:$B,2,0),AY221,1),"")</f>
        <v>C</v>
      </c>
      <c r="AY221" s="3">
        <v>327</v>
      </c>
      <c r="AZ221" s="77" t="str">
        <f>VLOOKUP(B221,Classification!A:D,2,0)</f>
        <v>A</v>
      </c>
      <c r="BA221" s="94" t="str">
        <f>VLOOKUP(B221,Classification!A:D,4,0)</f>
        <v>Lysophospholipid(LPA)</v>
      </c>
      <c r="BB221" s="27" t="b">
        <f t="shared" ref="BB221:BB281" si="1425">AND(E221&lt;G221,OR(G221&lt;I221,I221="-"),OR(I221&lt;K221,I221="-"),OR(K221&lt;M221,K221="-"),M221&lt;O221,OR(O221&lt;Q221,Q221="-"),OR(Q221&lt;S221,Q221="-"),OR(S221&lt;U221,S221="-"),U221&lt;W221,OR(W221&lt;Y221,Y221="-"),OR(Y221&lt;AA221,Y221="-"),OR(AA221&lt;AC221,AA221="-"),AC221&lt;AE221,OR(AE221&lt;AG221,AG221="-"),OR(AG221&lt;AI221,AG221="-"),OR(AI221&lt;AK221,AI221="-"),AK221&lt;AM221,AM221&lt;AO221,AO221&lt;AQ221,AQ221&lt;AS221,AS221&lt;AU221,OR(AU221&lt;AW221,AW221="-"),OR(AW221&lt;AY221,AW221="-"))</f>
        <v>1</v>
      </c>
      <c r="BC221" s="23">
        <f t="shared" si="1398"/>
        <v>257</v>
      </c>
      <c r="BD221" s="56" t="s">
        <v>23</v>
      </c>
      <c r="BE221" s="3" t="s">
        <v>23</v>
      </c>
      <c r="BF221" s="118" t="s">
        <v>23</v>
      </c>
      <c r="BG221" s="49" t="s">
        <v>1372</v>
      </c>
      <c r="BH221" s="49" t="s">
        <v>1377</v>
      </c>
      <c r="BI221" s="1"/>
      <c r="BJ221" s="70" t="s">
        <v>1287</v>
      </c>
      <c r="BK221" s="57" t="s">
        <v>1287</v>
      </c>
      <c r="BL221" s="57" t="s">
        <v>1287</v>
      </c>
      <c r="BM221" s="57" t="s">
        <v>1287</v>
      </c>
      <c r="BN221" s="57" t="s">
        <v>1287</v>
      </c>
      <c r="BO221" s="57" t="s">
        <v>1287</v>
      </c>
      <c r="BP221" s="57" t="s">
        <v>1287</v>
      </c>
      <c r="BQ221" s="57" t="s">
        <v>1287</v>
      </c>
      <c r="BR221" s="57" t="s">
        <v>1287</v>
      </c>
      <c r="BS221" s="57" t="s">
        <v>1287</v>
      </c>
      <c r="BT221" s="57" t="s">
        <v>1287</v>
      </c>
      <c r="BU221" s="57" t="s">
        <v>1287</v>
      </c>
      <c r="BV221" s="70">
        <f t="shared" si="1399"/>
        <v>47</v>
      </c>
      <c r="BW221" s="71">
        <f t="shared" si="1400"/>
        <v>78</v>
      </c>
      <c r="BX221" s="72">
        <f t="shared" si="1401"/>
        <v>82</v>
      </c>
      <c r="BY221" s="71">
        <f t="shared" si="1402"/>
        <v>110</v>
      </c>
      <c r="BZ221" s="72">
        <f t="shared" si="1403"/>
        <v>117</v>
      </c>
      <c r="CA221" s="71">
        <f t="shared" si="1404"/>
        <v>153</v>
      </c>
      <c r="CB221" s="72">
        <f t="shared" si="1405"/>
        <v>160</v>
      </c>
      <c r="CC221" s="71" t="str">
        <f t="shared" si="1406"/>
        <v>-</v>
      </c>
      <c r="CD221" s="72">
        <f t="shared" si="1407"/>
        <v>203</v>
      </c>
      <c r="CE221" s="71">
        <f t="shared" si="1408"/>
        <v>245</v>
      </c>
      <c r="CF221" s="72">
        <f t="shared" si="1409"/>
        <v>288</v>
      </c>
      <c r="CG221" s="71">
        <f t="shared" si="1410"/>
        <v>315</v>
      </c>
      <c r="CH221" s="70">
        <f t="shared" si="1411"/>
        <v>77</v>
      </c>
      <c r="CI221" s="71">
        <f t="shared" si="1412"/>
        <v>81</v>
      </c>
      <c r="CJ221" s="72">
        <f t="shared" si="1413"/>
        <v>108</v>
      </c>
      <c r="CK221" s="72">
        <f t="shared" si="1414"/>
        <v>116</v>
      </c>
      <c r="CL221" s="72">
        <f t="shared" si="1415"/>
        <v>152</v>
      </c>
      <c r="CM221" s="72">
        <f t="shared" si="1416"/>
        <v>159</v>
      </c>
      <c r="CN221" s="72">
        <f t="shared" si="1417"/>
        <v>185</v>
      </c>
      <c r="CO221" s="72" t="str">
        <f t="shared" si="1418"/>
        <v>-</v>
      </c>
      <c r="CP221" s="72">
        <f t="shared" si="1419"/>
        <v>240</v>
      </c>
      <c r="CQ221" s="72">
        <f t="shared" si="1420"/>
        <v>284</v>
      </c>
      <c r="CR221" s="72">
        <f t="shared" si="1421"/>
        <v>314</v>
      </c>
      <c r="CS221" s="72">
        <f t="shared" si="1422"/>
        <v>327</v>
      </c>
      <c r="CT221" s="23">
        <f t="shared" si="1423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29" x14ac:dyDescent="0.2">
      <c r="A222" s="3" t="str">
        <f t="shared" si="1424"/>
        <v>lpar1_human_4Z34</v>
      </c>
      <c r="B222" s="3" t="s">
        <v>103</v>
      </c>
      <c r="C222" s="3" t="s">
        <v>1056</v>
      </c>
      <c r="D222" s="3" t="str">
        <f>IFERROR(MID(VLOOKUP($B222,Seqs!$A:$B,2,0),E222,1),"")</f>
        <v>T</v>
      </c>
      <c r="E222" s="3">
        <v>47</v>
      </c>
      <c r="F222" s="3" t="str">
        <f>IFERROR(MID(VLOOKUP($B222,Seqs!$A:$B,2,0),G222,1),"")</f>
        <v>N</v>
      </c>
      <c r="G222" s="3">
        <v>77</v>
      </c>
      <c r="H222" s="3" t="str">
        <f>IFERROR(MID(VLOOKUP($B222,Seqs!$A:$B,2,0),I222,1),"")</f>
        <v>R</v>
      </c>
      <c r="I222" s="23">
        <v>78</v>
      </c>
      <c r="J222" s="3" t="str">
        <f>IFERROR(MID(VLOOKUP($B222,Seqs!$A:$B,2,0),K222,1),"")</f>
        <v>H</v>
      </c>
      <c r="K222" s="23">
        <v>81</v>
      </c>
      <c r="L222" s="3" t="str">
        <f>IFERROR(MID(VLOOKUP($B222,Seqs!$A:$B,2,0),M222,1),"")</f>
        <v>F</v>
      </c>
      <c r="M222" s="3">
        <v>82</v>
      </c>
      <c r="N222" s="3" t="str">
        <f>IFERROR(MID(VLOOKUP($B222,Seqs!$A:$B,2,0),O222,1),"")</f>
        <v>N</v>
      </c>
      <c r="O222" s="3">
        <v>108</v>
      </c>
      <c r="P222" s="3" t="str">
        <f>IFERROR(MID(VLOOKUP($B222,Seqs!$A:$B,2,0),Q222,1),"")</f>
        <v>G</v>
      </c>
      <c r="Q222" s="3">
        <v>110</v>
      </c>
      <c r="R222" s="3" t="str">
        <f>IFERROR(MID(VLOOKUP($B222,Seqs!$A:$B,2,0),S222,1),"")</f>
        <v>L</v>
      </c>
      <c r="S222" s="3">
        <v>116</v>
      </c>
      <c r="T222" s="3" t="str">
        <f>IFERROR(MID(VLOOKUP($B222,Seqs!$A:$B,2,0),U222,1),"")</f>
        <v>T</v>
      </c>
      <c r="U222" s="3">
        <v>117</v>
      </c>
      <c r="V222" s="3" t="str">
        <f>IFERROR(MID(VLOOKUP($B222,Seqs!$A:$B,2,0),W222,1),"")</f>
        <v>R</v>
      </c>
      <c r="W222" s="3">
        <v>152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T</v>
      </c>
      <c r="AC222" s="9">
        <v>157</v>
      </c>
      <c r="AD222" s="3" t="str">
        <f>IFERROR(MID(VLOOKUP($B222,Seqs!$A:$B,2,0),AE222,1),"")</f>
        <v>G</v>
      </c>
      <c r="AE222" s="3">
        <v>185</v>
      </c>
      <c r="AF222" s="3" t="str">
        <f>IFERROR(MID(VLOOKUP($B222,Seqs!$A:$B,2,0),AG222,1),"")</f>
        <v/>
      </c>
      <c r="AG222" s="3" t="s">
        <v>23</v>
      </c>
      <c r="AH222" s="3" t="str">
        <f>IFERROR(MID(VLOOKUP($B222,Seqs!$A:$B,2,0),AI222,1),"")</f>
        <v/>
      </c>
      <c r="AI222" s="3" t="s">
        <v>23</v>
      </c>
      <c r="AJ222" s="3" t="str">
        <f>IFERROR(MID(VLOOKUP($B222,Seqs!$A:$B,2,0),AK222,1),"")</f>
        <v>S</v>
      </c>
      <c r="AK222" s="3">
        <v>203</v>
      </c>
      <c r="AL222" s="3" t="str">
        <f>IFERROR(MID(VLOOKUP($B222,Seqs!$A:$B,2,0),AM222,1),"")</f>
        <v>R</v>
      </c>
      <c r="AM222" s="3">
        <v>235</v>
      </c>
      <c r="AN222" s="3" t="str">
        <f>IFERROR(MID(VLOOKUP($B222,Seqs!$A:$B,2,0),AO222,1),"")</f>
        <v>G</v>
      </c>
      <c r="AO222" s="3">
        <v>245</v>
      </c>
      <c r="AP222" s="3" t="str">
        <f>IFERROR(MID(VLOOKUP($B222,Seqs!$A:$B,2,0),AQ222,1),"")</f>
        <v>C</v>
      </c>
      <c r="AQ222" s="3">
        <v>284</v>
      </c>
      <c r="AR222" s="3" t="str">
        <f>IFERROR(MID(VLOOKUP($B222,Seqs!$A:$B,2,0),AS222,1),"")</f>
        <v>E</v>
      </c>
      <c r="AS222" s="3">
        <v>293</v>
      </c>
      <c r="AT222" s="3" t="str">
        <f>IFERROR(MID(VLOOKUP($B222,Seqs!$A:$B,2,0),AU222,1),"")</f>
        <v>R</v>
      </c>
      <c r="AU222" s="3">
        <v>314</v>
      </c>
      <c r="AV222" s="3" t="str">
        <f>IFERROR(MID(VLOOKUP($B222,Seqs!$A:$B,2,0),AW222,1),"")</f>
        <v>D</v>
      </c>
      <c r="AW222" s="3">
        <v>315</v>
      </c>
      <c r="AX222" s="3" t="str">
        <f>IFERROR(MID(VLOOKUP($B222,Seqs!$A:$B,2,0),AY222,1),"")</f>
        <v>C</v>
      </c>
      <c r="AY222" s="3">
        <v>327</v>
      </c>
      <c r="AZ222" s="77" t="str">
        <f>VLOOKUP(B222,Classification!A:D,2,0)</f>
        <v>A</v>
      </c>
      <c r="BA222" s="94" t="str">
        <f>VLOOKUP(B222,Classification!A:D,4,0)</f>
        <v>Lysophospholipid(LPA)</v>
      </c>
      <c r="BB222" s="27" t="b">
        <f t="shared" si="1425"/>
        <v>1</v>
      </c>
      <c r="BC222" s="23">
        <f t="shared" si="1398"/>
        <v>244</v>
      </c>
      <c r="BD222" s="16" t="s">
        <v>23</v>
      </c>
      <c r="BE222" s="3" t="s">
        <v>1374</v>
      </c>
      <c r="BF222" s="118">
        <v>3</v>
      </c>
      <c r="BG222" s="49" t="s">
        <v>1377</v>
      </c>
      <c r="BH222" s="49" t="s">
        <v>1377</v>
      </c>
      <c r="BI222" s="1"/>
      <c r="BJ222" s="70" t="s">
        <v>1287</v>
      </c>
      <c r="BK222" s="57" t="s">
        <v>1287</v>
      </c>
      <c r="BL222" s="57" t="s">
        <v>1287</v>
      </c>
      <c r="BM222" s="57" t="s">
        <v>1287</v>
      </c>
      <c r="BN222" s="57" t="s">
        <v>1287</v>
      </c>
      <c r="BO222" s="57" t="s">
        <v>1287</v>
      </c>
      <c r="BP222" s="57" t="s">
        <v>1287</v>
      </c>
      <c r="BQ222" s="57" t="s">
        <v>1287</v>
      </c>
      <c r="BR222" s="57" t="s">
        <v>1287</v>
      </c>
      <c r="BS222" s="57" t="s">
        <v>1287</v>
      </c>
      <c r="BT222" s="57" t="s">
        <v>1287</v>
      </c>
      <c r="BU222" s="57" t="s">
        <v>1287</v>
      </c>
      <c r="BV222" s="70">
        <f t="shared" si="1399"/>
        <v>47</v>
      </c>
      <c r="BW222" s="71">
        <f t="shared" si="1400"/>
        <v>78</v>
      </c>
      <c r="BX222" s="72">
        <f t="shared" si="1401"/>
        <v>82</v>
      </c>
      <c r="BY222" s="71">
        <f t="shared" si="1402"/>
        <v>110</v>
      </c>
      <c r="BZ222" s="72">
        <f t="shared" si="1403"/>
        <v>117</v>
      </c>
      <c r="CA222" s="71" t="str">
        <f t="shared" si="1404"/>
        <v>-</v>
      </c>
      <c r="CB222" s="72">
        <f t="shared" si="1405"/>
        <v>157</v>
      </c>
      <c r="CC222" s="71" t="str">
        <f t="shared" si="1406"/>
        <v>-</v>
      </c>
      <c r="CD222" s="72">
        <f t="shared" si="1407"/>
        <v>203</v>
      </c>
      <c r="CE222" s="71">
        <f t="shared" si="1408"/>
        <v>245</v>
      </c>
      <c r="CF222" s="72">
        <f t="shared" si="1409"/>
        <v>293</v>
      </c>
      <c r="CG222" s="71">
        <f t="shared" si="1410"/>
        <v>315</v>
      </c>
      <c r="CH222" s="70">
        <f t="shared" si="1411"/>
        <v>77</v>
      </c>
      <c r="CI222" s="71">
        <f t="shared" si="1412"/>
        <v>81</v>
      </c>
      <c r="CJ222" s="72">
        <f t="shared" si="1413"/>
        <v>108</v>
      </c>
      <c r="CK222" s="72">
        <f t="shared" si="1414"/>
        <v>116</v>
      </c>
      <c r="CL222" s="72">
        <f t="shared" si="1415"/>
        <v>152</v>
      </c>
      <c r="CM222" s="72" t="str">
        <f t="shared" si="1416"/>
        <v>-</v>
      </c>
      <c r="CN222" s="72">
        <f t="shared" si="1417"/>
        <v>185</v>
      </c>
      <c r="CO222" s="72" t="str">
        <f t="shared" si="1418"/>
        <v>-</v>
      </c>
      <c r="CP222" s="72">
        <f t="shared" si="1419"/>
        <v>235</v>
      </c>
      <c r="CQ222" s="72">
        <f t="shared" si="1420"/>
        <v>284</v>
      </c>
      <c r="CR222" s="72">
        <f t="shared" si="1421"/>
        <v>314</v>
      </c>
      <c r="CS222" s="72">
        <f t="shared" si="1422"/>
        <v>327</v>
      </c>
      <c r="CT222" s="23">
        <f t="shared" si="1423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29" x14ac:dyDescent="0.2">
      <c r="A223" s="3" t="str">
        <f t="shared" si="1424"/>
        <v>lpar1_human_4Z35</v>
      </c>
      <c r="B223" s="3" t="s">
        <v>103</v>
      </c>
      <c r="C223" s="3" t="s">
        <v>89</v>
      </c>
      <c r="D223" s="3" t="str">
        <f>IFERROR(MID(VLOOKUP($B223,Seqs!$A:$B,2,0),E223,1),"")</f>
        <v>T</v>
      </c>
      <c r="E223" s="3">
        <v>47</v>
      </c>
      <c r="F223" s="3" t="str">
        <f>IFERROR(MID(VLOOKUP($B223,Seqs!$A:$B,2,0),G223,1),"")</f>
        <v>N</v>
      </c>
      <c r="G223" s="3">
        <v>77</v>
      </c>
      <c r="H223" s="3" t="str">
        <f>IFERROR(MID(VLOOKUP($B223,Seqs!$A:$B,2,0),I223,1),"")</f>
        <v>R</v>
      </c>
      <c r="I223" s="23">
        <v>78</v>
      </c>
      <c r="J223" s="3" t="str">
        <f>IFERROR(MID(VLOOKUP($B223,Seqs!$A:$B,2,0),K223,1),"")</f>
        <v>H</v>
      </c>
      <c r="K223" s="23">
        <v>81</v>
      </c>
      <c r="L223" s="3" t="str">
        <f>IFERROR(MID(VLOOKUP($B223,Seqs!$A:$B,2,0),M223,1),"")</f>
        <v>F</v>
      </c>
      <c r="M223" s="3">
        <v>82</v>
      </c>
      <c r="N223" s="3" t="str">
        <f>IFERROR(MID(VLOOKUP($B223,Seqs!$A:$B,2,0),O223,1),"")</f>
        <v>N</v>
      </c>
      <c r="O223" s="3">
        <v>108</v>
      </c>
      <c r="P223" s="3" t="str">
        <f>IFERROR(MID(VLOOKUP($B223,Seqs!$A:$B,2,0),Q223,1),"")</f>
        <v>G</v>
      </c>
      <c r="Q223" s="3">
        <v>110</v>
      </c>
      <c r="R223" s="3" t="str">
        <f>IFERROR(MID(VLOOKUP($B223,Seqs!$A:$B,2,0),S223,1),"")</f>
        <v>L</v>
      </c>
      <c r="S223" s="3">
        <v>116</v>
      </c>
      <c r="T223" s="3" t="str">
        <f>IFERROR(MID(VLOOKUP($B223,Seqs!$A:$B,2,0),U223,1),"")</f>
        <v>T</v>
      </c>
      <c r="U223" s="3">
        <v>117</v>
      </c>
      <c r="V223" s="3" t="str">
        <f>IFERROR(MID(VLOOKUP($B223,Seqs!$A:$B,2,0),W223,1),"")</f>
        <v>R</v>
      </c>
      <c r="W223" s="3">
        <v>152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T</v>
      </c>
      <c r="AC223" s="9">
        <v>157</v>
      </c>
      <c r="AD223" s="3" t="str">
        <f>IFERROR(MID(VLOOKUP($B223,Seqs!$A:$B,2,0),AE223,1),"")</f>
        <v>G</v>
      </c>
      <c r="AE223" s="3">
        <v>185</v>
      </c>
      <c r="AF223" s="3" t="str">
        <f>IFERROR(MID(VLOOKUP($B223,Seqs!$A:$B,2,0),AG223,1),"")</f>
        <v/>
      </c>
      <c r="AG223" s="3" t="s">
        <v>23</v>
      </c>
      <c r="AH223" s="3" t="str">
        <f>IFERROR(MID(VLOOKUP($B223,Seqs!$A:$B,2,0),AI223,1),"")</f>
        <v/>
      </c>
      <c r="AI223" s="3" t="s">
        <v>23</v>
      </c>
      <c r="AJ223" s="3" t="str">
        <f>IFERROR(MID(VLOOKUP($B223,Seqs!$A:$B,2,0),AK223,1),"")</f>
        <v>S</v>
      </c>
      <c r="AK223" s="3">
        <v>203</v>
      </c>
      <c r="AL223" s="3" t="str">
        <f>IFERROR(MID(VLOOKUP($B223,Seqs!$A:$B,2,0),AM223,1),"")</f>
        <v>R</v>
      </c>
      <c r="AM223" s="3">
        <v>235</v>
      </c>
      <c r="AN223" s="3" t="str">
        <f>IFERROR(MID(VLOOKUP($B223,Seqs!$A:$B,2,0),AO223,1),"")</f>
        <v>G</v>
      </c>
      <c r="AO223" s="3">
        <v>245</v>
      </c>
      <c r="AP223" s="3" t="str">
        <f>IFERROR(MID(VLOOKUP($B223,Seqs!$A:$B,2,0),AQ223,1),"")</f>
        <v>C</v>
      </c>
      <c r="AQ223" s="3">
        <v>284</v>
      </c>
      <c r="AR223" s="3" t="str">
        <f>IFERROR(MID(VLOOKUP($B223,Seqs!$A:$B,2,0),AS223,1),"")</f>
        <v>E</v>
      </c>
      <c r="AS223" s="3">
        <v>293</v>
      </c>
      <c r="AT223" s="3" t="str">
        <f>IFERROR(MID(VLOOKUP($B223,Seqs!$A:$B,2,0),AU223,1),"")</f>
        <v>R</v>
      </c>
      <c r="AU223" s="3">
        <v>314</v>
      </c>
      <c r="AV223" s="3" t="str">
        <f>IFERROR(MID(VLOOKUP($B223,Seqs!$A:$B,2,0),AW223,1),"")</f>
        <v>D</v>
      </c>
      <c r="AW223" s="3">
        <v>315</v>
      </c>
      <c r="AX223" s="3" t="str">
        <f>IFERROR(MID(VLOOKUP($B223,Seqs!$A:$B,2,0),AY223,1),"")</f>
        <v>C</v>
      </c>
      <c r="AY223" s="3">
        <v>327</v>
      </c>
      <c r="AZ223" s="77" t="str">
        <f>VLOOKUP(B223,Classification!A:D,2,0)</f>
        <v>A</v>
      </c>
      <c r="BA223" s="94" t="str">
        <f>VLOOKUP(B223,Classification!A:D,4,0)</f>
        <v>Lysophospholipid(LPA)</v>
      </c>
      <c r="BB223" s="27" t="b">
        <f t="shared" si="1425"/>
        <v>1</v>
      </c>
      <c r="BC223" s="23">
        <f t="shared" si="1398"/>
        <v>244</v>
      </c>
      <c r="BD223" s="5" t="s">
        <v>1376</v>
      </c>
      <c r="BE223" s="3" t="s">
        <v>1374</v>
      </c>
      <c r="BF223" s="118">
        <v>2.9</v>
      </c>
      <c r="BG223" s="49" t="s">
        <v>1377</v>
      </c>
      <c r="BH223" s="49" t="s">
        <v>1377</v>
      </c>
      <c r="BI223" s="1"/>
      <c r="BJ223" s="70" t="s">
        <v>1287</v>
      </c>
      <c r="BK223" s="57" t="s">
        <v>1287</v>
      </c>
      <c r="BL223" s="57" t="s">
        <v>1287</v>
      </c>
      <c r="BM223" s="57" t="s">
        <v>1287</v>
      </c>
      <c r="BN223" s="57" t="s">
        <v>1287</v>
      </c>
      <c r="BO223" s="57" t="s">
        <v>1287</v>
      </c>
      <c r="BP223" s="57" t="s">
        <v>1287</v>
      </c>
      <c r="BQ223" s="57" t="s">
        <v>1287</v>
      </c>
      <c r="BR223" s="57" t="s">
        <v>1287</v>
      </c>
      <c r="BS223" s="57" t="s">
        <v>1287</v>
      </c>
      <c r="BT223" s="57" t="s">
        <v>1287</v>
      </c>
      <c r="BU223" s="57" t="s">
        <v>1287</v>
      </c>
      <c r="BV223" s="70">
        <f t="shared" si="1399"/>
        <v>47</v>
      </c>
      <c r="BW223" s="71">
        <f t="shared" si="1400"/>
        <v>78</v>
      </c>
      <c r="BX223" s="72">
        <f t="shared" si="1401"/>
        <v>82</v>
      </c>
      <c r="BY223" s="71">
        <f t="shared" si="1402"/>
        <v>110</v>
      </c>
      <c r="BZ223" s="72">
        <f t="shared" si="1403"/>
        <v>117</v>
      </c>
      <c r="CA223" s="71" t="str">
        <f t="shared" si="1404"/>
        <v>-</v>
      </c>
      <c r="CB223" s="72">
        <f t="shared" si="1405"/>
        <v>157</v>
      </c>
      <c r="CC223" s="71" t="str">
        <f t="shared" si="1406"/>
        <v>-</v>
      </c>
      <c r="CD223" s="72">
        <f t="shared" si="1407"/>
        <v>203</v>
      </c>
      <c r="CE223" s="71">
        <f t="shared" si="1408"/>
        <v>245</v>
      </c>
      <c r="CF223" s="72">
        <f t="shared" si="1409"/>
        <v>293</v>
      </c>
      <c r="CG223" s="71">
        <f t="shared" si="1410"/>
        <v>315</v>
      </c>
      <c r="CH223" s="70">
        <f t="shared" si="1411"/>
        <v>77</v>
      </c>
      <c r="CI223" s="71">
        <f t="shared" si="1412"/>
        <v>81</v>
      </c>
      <c r="CJ223" s="72">
        <f t="shared" si="1413"/>
        <v>108</v>
      </c>
      <c r="CK223" s="72">
        <f t="shared" si="1414"/>
        <v>116</v>
      </c>
      <c r="CL223" s="72">
        <f t="shared" si="1415"/>
        <v>152</v>
      </c>
      <c r="CM223" s="72" t="str">
        <f t="shared" si="1416"/>
        <v>-</v>
      </c>
      <c r="CN223" s="72">
        <f t="shared" si="1417"/>
        <v>185</v>
      </c>
      <c r="CO223" s="72" t="str">
        <f t="shared" si="1418"/>
        <v>-</v>
      </c>
      <c r="CP223" s="72">
        <f t="shared" si="1419"/>
        <v>235</v>
      </c>
      <c r="CQ223" s="72">
        <f t="shared" si="1420"/>
        <v>284</v>
      </c>
      <c r="CR223" s="72">
        <f t="shared" si="1421"/>
        <v>314</v>
      </c>
      <c r="CS223" s="72">
        <f t="shared" si="1422"/>
        <v>327</v>
      </c>
      <c r="CT223" s="23">
        <f t="shared" si="1423"/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29" x14ac:dyDescent="0.2">
      <c r="A224" s="3" t="str">
        <f t="shared" si="1424"/>
        <v>lpar1_human_4Z36</v>
      </c>
      <c r="B224" s="3" t="s">
        <v>103</v>
      </c>
      <c r="C224" s="3" t="s">
        <v>1057</v>
      </c>
      <c r="D224" s="3" t="str">
        <f>IFERROR(MID(VLOOKUP($B224,Seqs!$A:$B,2,0),E224,1),"")</f>
        <v>T</v>
      </c>
      <c r="E224" s="3">
        <v>47</v>
      </c>
      <c r="F224" s="3" t="str">
        <f>IFERROR(MID(VLOOKUP($B224,Seqs!$A:$B,2,0),G224,1),"")</f>
        <v>N</v>
      </c>
      <c r="G224" s="3">
        <v>77</v>
      </c>
      <c r="H224" s="3" t="str">
        <f>IFERROR(MID(VLOOKUP($B224,Seqs!$A:$B,2,0),I224,1),"")</f>
        <v>R</v>
      </c>
      <c r="I224" s="23">
        <v>78</v>
      </c>
      <c r="J224" s="3" t="str">
        <f>IFERROR(MID(VLOOKUP($B224,Seqs!$A:$B,2,0),K224,1),"")</f>
        <v>H</v>
      </c>
      <c r="K224" s="23">
        <v>81</v>
      </c>
      <c r="L224" s="3" t="str">
        <f>IFERROR(MID(VLOOKUP($B224,Seqs!$A:$B,2,0),M224,1),"")</f>
        <v>F</v>
      </c>
      <c r="M224" s="3">
        <v>82</v>
      </c>
      <c r="N224" s="3" t="str">
        <f>IFERROR(MID(VLOOKUP($B224,Seqs!$A:$B,2,0),O224,1),"")</f>
        <v>N</v>
      </c>
      <c r="O224" s="3">
        <v>108</v>
      </c>
      <c r="P224" s="3" t="str">
        <f>IFERROR(MID(VLOOKUP($B224,Seqs!$A:$B,2,0),Q224,1),"")</f>
        <v>G</v>
      </c>
      <c r="Q224" s="3">
        <v>110</v>
      </c>
      <c r="R224" s="3" t="str">
        <f>IFERROR(MID(VLOOKUP($B224,Seqs!$A:$B,2,0),S224,1),"")</f>
        <v>L</v>
      </c>
      <c r="S224" s="3">
        <v>116</v>
      </c>
      <c r="T224" s="3" t="str">
        <f>IFERROR(MID(VLOOKUP($B224,Seqs!$A:$B,2,0),U224,1),"")</f>
        <v>T</v>
      </c>
      <c r="U224" s="3">
        <v>117</v>
      </c>
      <c r="V224" s="3" t="str">
        <f>IFERROR(MID(VLOOKUP($B224,Seqs!$A:$B,2,0),W224,1),"")</f>
        <v>R</v>
      </c>
      <c r="W224" s="3">
        <v>152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T</v>
      </c>
      <c r="AC224" s="9">
        <v>157</v>
      </c>
      <c r="AD224" s="3" t="str">
        <f>IFERROR(MID(VLOOKUP($B224,Seqs!$A:$B,2,0),AE224,1),"")</f>
        <v>G</v>
      </c>
      <c r="AE224" s="3">
        <v>185</v>
      </c>
      <c r="AF224" s="3" t="str">
        <f>IFERROR(MID(VLOOKUP($B224,Seqs!$A:$B,2,0),AG224,1),"")</f>
        <v/>
      </c>
      <c r="AG224" s="3" t="s">
        <v>23</v>
      </c>
      <c r="AH224" s="3" t="str">
        <f>IFERROR(MID(VLOOKUP($B224,Seqs!$A:$B,2,0),AI224,1),"")</f>
        <v/>
      </c>
      <c r="AI224" s="3" t="s">
        <v>23</v>
      </c>
      <c r="AJ224" s="3" t="str">
        <f>IFERROR(MID(VLOOKUP($B224,Seqs!$A:$B,2,0),AK224,1),"")</f>
        <v>S</v>
      </c>
      <c r="AK224" s="3">
        <v>203</v>
      </c>
      <c r="AL224" s="3" t="str">
        <f>IFERROR(MID(VLOOKUP($B224,Seqs!$A:$B,2,0),AM224,1),"")</f>
        <v>R</v>
      </c>
      <c r="AM224" s="3">
        <v>235</v>
      </c>
      <c r="AN224" s="3" t="str">
        <f>IFERROR(MID(VLOOKUP($B224,Seqs!$A:$B,2,0),AO224,1),"")</f>
        <v>G</v>
      </c>
      <c r="AO224" s="3">
        <v>245</v>
      </c>
      <c r="AP224" s="3" t="str">
        <f>IFERROR(MID(VLOOKUP($B224,Seqs!$A:$B,2,0),AQ224,1),"")</f>
        <v>C</v>
      </c>
      <c r="AQ224" s="3">
        <v>284</v>
      </c>
      <c r="AR224" s="3" t="str">
        <f>IFERROR(MID(VLOOKUP($B224,Seqs!$A:$B,2,0),AS224,1),"")</f>
        <v>E</v>
      </c>
      <c r="AS224" s="3">
        <v>293</v>
      </c>
      <c r="AT224" s="3" t="str">
        <f>IFERROR(MID(VLOOKUP($B224,Seqs!$A:$B,2,0),AU224,1),"")</f>
        <v>R</v>
      </c>
      <c r="AU224" s="3">
        <v>314</v>
      </c>
      <c r="AV224" s="3" t="str">
        <f>IFERROR(MID(VLOOKUP($B224,Seqs!$A:$B,2,0),AW224,1),"")</f>
        <v>D</v>
      </c>
      <c r="AW224" s="3">
        <v>315</v>
      </c>
      <c r="AX224" s="3" t="str">
        <f>IFERROR(MID(VLOOKUP($B224,Seqs!$A:$B,2,0),AY224,1),"")</f>
        <v>C</v>
      </c>
      <c r="AY224" s="3">
        <v>327</v>
      </c>
      <c r="AZ224" s="77" t="str">
        <f>VLOOKUP(B224,Classification!A:D,2,0)</f>
        <v>A</v>
      </c>
      <c r="BA224" s="94" t="str">
        <f>VLOOKUP(B224,Classification!A:D,4,0)</f>
        <v>Lysophospholipid(LPA)</v>
      </c>
      <c r="BB224" s="27" t="b">
        <f t="shared" si="1425"/>
        <v>1</v>
      </c>
      <c r="BC224" s="23">
        <f t="shared" si="1398"/>
        <v>244</v>
      </c>
      <c r="BD224" s="5" t="s">
        <v>23</v>
      </c>
      <c r="BE224" s="3" t="s">
        <v>1374</v>
      </c>
      <c r="BF224" s="118">
        <v>2.9</v>
      </c>
      <c r="BG224" s="49" t="s">
        <v>1377</v>
      </c>
      <c r="BH224" s="49" t="s">
        <v>1377</v>
      </c>
      <c r="BI224" s="1"/>
      <c r="BJ224" s="70" t="s">
        <v>1287</v>
      </c>
      <c r="BK224" s="57" t="s">
        <v>1287</v>
      </c>
      <c r="BL224" s="57" t="s">
        <v>1287</v>
      </c>
      <c r="BM224" s="57" t="s">
        <v>1287</v>
      </c>
      <c r="BN224" s="57" t="s">
        <v>1287</v>
      </c>
      <c r="BO224" s="57" t="s">
        <v>1287</v>
      </c>
      <c r="BP224" s="57" t="s">
        <v>1287</v>
      </c>
      <c r="BQ224" s="57" t="s">
        <v>1287</v>
      </c>
      <c r="BR224" s="57" t="s">
        <v>1287</v>
      </c>
      <c r="BS224" s="57" t="s">
        <v>1287</v>
      </c>
      <c r="BT224" s="57" t="s">
        <v>1287</v>
      </c>
      <c r="BU224" s="57" t="s">
        <v>1287</v>
      </c>
      <c r="BV224" s="70">
        <f t="shared" si="1399"/>
        <v>47</v>
      </c>
      <c r="BW224" s="71">
        <f t="shared" si="1400"/>
        <v>78</v>
      </c>
      <c r="BX224" s="72">
        <f t="shared" si="1401"/>
        <v>82</v>
      </c>
      <c r="BY224" s="71">
        <f t="shared" si="1402"/>
        <v>110</v>
      </c>
      <c r="BZ224" s="72">
        <f t="shared" si="1403"/>
        <v>117</v>
      </c>
      <c r="CA224" s="71" t="str">
        <f t="shared" si="1404"/>
        <v>-</v>
      </c>
      <c r="CB224" s="72">
        <f t="shared" si="1405"/>
        <v>157</v>
      </c>
      <c r="CC224" s="71" t="str">
        <f t="shared" si="1406"/>
        <v>-</v>
      </c>
      <c r="CD224" s="72">
        <f t="shared" si="1407"/>
        <v>203</v>
      </c>
      <c r="CE224" s="71">
        <f t="shared" si="1408"/>
        <v>245</v>
      </c>
      <c r="CF224" s="72">
        <f t="shared" si="1409"/>
        <v>293</v>
      </c>
      <c r="CG224" s="71">
        <f t="shared" si="1410"/>
        <v>315</v>
      </c>
      <c r="CH224" s="70">
        <f t="shared" si="1411"/>
        <v>77</v>
      </c>
      <c r="CI224" s="71">
        <f t="shared" si="1412"/>
        <v>81</v>
      </c>
      <c r="CJ224" s="72">
        <f t="shared" si="1413"/>
        <v>108</v>
      </c>
      <c r="CK224" s="72">
        <f t="shared" si="1414"/>
        <v>116</v>
      </c>
      <c r="CL224" s="72">
        <f t="shared" si="1415"/>
        <v>152</v>
      </c>
      <c r="CM224" s="72" t="str">
        <f t="shared" si="1416"/>
        <v>-</v>
      </c>
      <c r="CN224" s="72">
        <f t="shared" si="1417"/>
        <v>185</v>
      </c>
      <c r="CO224" s="72" t="str">
        <f t="shared" si="1418"/>
        <v>-</v>
      </c>
      <c r="CP224" s="72">
        <f t="shared" si="1419"/>
        <v>235</v>
      </c>
      <c r="CQ224" s="72">
        <f t="shared" si="1420"/>
        <v>284</v>
      </c>
      <c r="CR224" s="72">
        <f t="shared" si="1421"/>
        <v>314</v>
      </c>
      <c r="CS224" s="72">
        <f t="shared" si="1422"/>
        <v>327</v>
      </c>
      <c r="CT224" s="23">
        <f t="shared" si="1423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ref="A225:A226" si="1426">CONCATENATE(B225,"_",C225)</f>
        <v>mtr1a_human__wt</v>
      </c>
      <c r="B225" s="3" t="s">
        <v>311</v>
      </c>
      <c r="C225" s="3" t="s">
        <v>100</v>
      </c>
      <c r="D225" s="3" t="str">
        <f>IFERROR(MID(VLOOKUP($B225,Seqs!$A:$B,2,0),E225,1),"")</f>
        <v>P</v>
      </c>
      <c r="E225" s="3">
        <v>23</v>
      </c>
      <c r="F225" s="3" t="str">
        <f>IFERROR(MID(VLOOKUP($B225,Seqs!$A:$B,2,0),G225,1),"")</f>
        <v>N</v>
      </c>
      <c r="G225" s="3">
        <v>55</v>
      </c>
      <c r="H225" s="3" t="str">
        <f>IFERROR(MID(VLOOKUP($B225,Seqs!$A:$B,2,0),I225,1),"")</f>
        <v>K</v>
      </c>
      <c r="I225" s="23">
        <v>56</v>
      </c>
      <c r="J225" s="3" t="str">
        <f>IFERROR(MID(VLOOKUP($B225,Seqs!$A:$B,2,0),K225,1),"")</f>
        <v>R</v>
      </c>
      <c r="K225" s="23">
        <v>59</v>
      </c>
      <c r="L225" s="3" t="str">
        <f>IFERROR(MID(VLOOKUP($B225,Seqs!$A:$B,2,0),M225,1),"")</f>
        <v>N</v>
      </c>
      <c r="M225" s="3">
        <v>60</v>
      </c>
      <c r="N225" s="3" t="str">
        <f>IFERROR(MID(VLOOKUP($B225,Seqs!$A:$B,2,0),O225,1),"")</f>
        <v>N</v>
      </c>
      <c r="O225" s="3">
        <v>91</v>
      </c>
      <c r="P225" s="3" t="str">
        <f>IFERROR(MID(VLOOKUP($B225,Seqs!$A:$B,2,0),Q225,1),"")</f>
        <v>G</v>
      </c>
      <c r="Q225" s="3">
        <v>92</v>
      </c>
      <c r="R225" s="3" t="str">
        <f>IFERROR(MID(VLOOKUP($B225,Seqs!$A:$B,2,0),S225,1),"")</f>
        <v>L</v>
      </c>
      <c r="S225" s="3">
        <v>95</v>
      </c>
      <c r="T225" s="3" t="str">
        <f>IFERROR(MID(VLOOKUP($B225,Seqs!$A:$B,2,0),U225,1),"")</f>
        <v>G</v>
      </c>
      <c r="U225" s="3">
        <v>96</v>
      </c>
      <c r="V225" s="3" t="str">
        <f>IFERROR(MID(VLOOKUP($B225,Seqs!$A:$B,2,0),W225,1),"")</f>
        <v>H</v>
      </c>
      <c r="W225" s="3">
        <v>131</v>
      </c>
      <c r="X225" s="3" t="str">
        <f>IFERROR(MID(VLOOKUP($B225,Seqs!$A:$B,2,0),Y225,1),"")</f>
        <v>S</v>
      </c>
      <c r="Y225" s="3">
        <v>132</v>
      </c>
      <c r="Z225" s="3" t="str">
        <f>IFERROR(MID(VLOOKUP($B225,Seqs!$A:$B,2,0),AA225,1),"")</f>
        <v>Y</v>
      </c>
      <c r="AA225" s="3">
        <v>139</v>
      </c>
      <c r="AB225" s="3" t="str">
        <f>IFERROR(MID(VLOOKUP($B225,Seqs!$A:$B,2,0),AC225,1),"")</f>
        <v>S</v>
      </c>
      <c r="AC225" s="3">
        <v>140</v>
      </c>
      <c r="AD225" s="3" t="str">
        <f>IFERROR(MID(VLOOKUP($B225,Seqs!$A:$B,2,0),AE225,1),"")</f>
        <v>G</v>
      </c>
      <c r="AE225" s="3">
        <v>166</v>
      </c>
      <c r="AF225" s="3" t="str">
        <f>IFERROR(MID(VLOOKUP($B225,Seqs!$A:$B,2,0),AG225,1),"")</f>
        <v>C</v>
      </c>
      <c r="AG225" s="3">
        <v>177</v>
      </c>
      <c r="AH225" s="3" t="str">
        <f>IFERROR(MID(VLOOKUP($B225,Seqs!$A:$B,2,0),AI225,1),"")</f>
        <v>F</v>
      </c>
      <c r="AI225" s="3">
        <v>179</v>
      </c>
      <c r="AJ225" s="3" t="str">
        <f>IFERROR(MID(VLOOKUP($B225,Seqs!$A:$B,2,0),AK225,1),"")</f>
        <v>S</v>
      </c>
      <c r="AK225" s="3">
        <v>184</v>
      </c>
      <c r="AL225" s="3" t="str">
        <f>IFERROR(MID(VLOOKUP($B225,Seqs!$A:$B,2,0),AM225,1),"")</f>
        <v>V</v>
      </c>
      <c r="AM225" s="3">
        <v>221</v>
      </c>
      <c r="AN225" s="3" t="str">
        <f>IFERROR(MID(VLOOKUP($B225,Seqs!$A:$B,2,0),AO225,1),"")</f>
        <v>P</v>
      </c>
      <c r="AO225" s="3">
        <v>227</v>
      </c>
      <c r="AP225" s="3" t="str">
        <f>IFERROR(MID(VLOOKUP($B225,Seqs!$A:$B,2,0),AQ225,1),"")</f>
        <v>D</v>
      </c>
      <c r="AQ225" s="3">
        <v>264</v>
      </c>
      <c r="AR225" s="3" t="str">
        <f>IFERROR(MID(VLOOKUP($B225,Seqs!$A:$B,2,0),AS225,1),"")</f>
        <v>P</v>
      </c>
      <c r="AS225" s="3">
        <v>273</v>
      </c>
      <c r="AT225" s="3" t="str">
        <f>IFERROR(MID(VLOOKUP($B225,Seqs!$A:$B,2,0),AU225,1),"")</f>
        <v>L</v>
      </c>
      <c r="AU225" s="3">
        <v>298</v>
      </c>
      <c r="AV225" s="3" t="str">
        <f>IFERROR(MID(VLOOKUP($B225,Seqs!$A:$B,2,0),AW225,1),"")</f>
        <v>N</v>
      </c>
      <c r="AW225" s="3">
        <v>299</v>
      </c>
      <c r="AX225" s="3" t="str">
        <f>IFERROR(MID(VLOOKUP($B225,Seqs!$A:$B,2,0),AY225,1),"")</f>
        <v>T</v>
      </c>
      <c r="AY225" s="3">
        <v>315</v>
      </c>
      <c r="AZ225" s="77" t="str">
        <f>VLOOKUP(B225,Classification!A:D,2,0)</f>
        <v>A</v>
      </c>
      <c r="BA225" s="94" t="str">
        <f>VLOOKUP(B225,Classification!A:D,4,0)</f>
        <v>Melatonin</v>
      </c>
      <c r="BB225" s="27" t="b">
        <f t="shared" ref="BB225:BB226" si="1427">AND(E225&lt;G225,OR(G225&lt;I225,I225="-"),OR(I225&lt;K225,I225="-"),OR(K225&lt;M225,K225="-"),M225&lt;O225,OR(O225&lt;Q225,Q225="-"),OR(Q225&lt;S225,Q225="-"),OR(S225&lt;U225,S225="-"),U225&lt;W225,OR(W225&lt;Y225,Y225="-"),OR(Y225&lt;AA225,Y225="-"),OR(AA225&lt;AC225,AA225="-"),AC225&lt;AE225,OR(AE225&lt;AG225,AG225="-"),OR(AG225&lt;AI225,AG225="-"),OR(AI225&lt;AK225,AI225="-"),AK225&lt;AM225,AM225&lt;AO225,AO225&lt;AQ225,AQ225&lt;AS225,AS225&lt;AU225,OR(AU225&lt;AW225,AW225="-"),OR(AW225&lt;AY225,AW225="-"))</f>
        <v>1</v>
      </c>
      <c r="BC225" s="23">
        <f t="shared" ref="BC225:BC227" si="1428">_xlfn.AGGREGATE(9,6,CH225:CS225)-_xlfn.AGGREGATE(9,6,BV225:CG225)+12</f>
        <v>266</v>
      </c>
      <c r="BD225" s="5" t="s">
        <v>23</v>
      </c>
      <c r="BE225" s="3" t="s">
        <v>23</v>
      </c>
      <c r="BF225" s="118" t="s">
        <v>23</v>
      </c>
      <c r="BG225" s="49" t="s">
        <v>1377</v>
      </c>
      <c r="BH225" s="49" t="s">
        <v>1377</v>
      </c>
      <c r="BI225" s="1"/>
      <c r="BJ225" s="70" t="s">
        <v>1287</v>
      </c>
      <c r="BK225" s="57" t="s">
        <v>1287</v>
      </c>
      <c r="BL225" s="57" t="s">
        <v>1287</v>
      </c>
      <c r="BM225" s="57" t="s">
        <v>1287</v>
      </c>
      <c r="BN225" s="57" t="s">
        <v>1287</v>
      </c>
      <c r="BO225" s="57" t="s">
        <v>1287</v>
      </c>
      <c r="BP225" s="57" t="s">
        <v>1287</v>
      </c>
      <c r="BQ225" s="57" t="s">
        <v>1287</v>
      </c>
      <c r="BR225" s="57" t="s">
        <v>1287</v>
      </c>
      <c r="BS225" s="57" t="s">
        <v>1287</v>
      </c>
      <c r="BT225" s="57" t="s">
        <v>1287</v>
      </c>
      <c r="BU225" s="57" t="s">
        <v>1287</v>
      </c>
      <c r="BV225" s="70">
        <f t="shared" ref="BV225:BV226" si="1429">E225</f>
        <v>23</v>
      </c>
      <c r="BW225" s="71">
        <f t="shared" ref="BW225:BW226" si="1430">I225</f>
        <v>56</v>
      </c>
      <c r="BX225" s="72">
        <f t="shared" ref="BX225:BX226" si="1431">M225</f>
        <v>60</v>
      </c>
      <c r="BY225" s="71">
        <f t="shared" ref="BY225:BY226" si="1432">Q225</f>
        <v>92</v>
      </c>
      <c r="BZ225" s="72">
        <f t="shared" ref="BZ225:BZ226" si="1433">U225</f>
        <v>96</v>
      </c>
      <c r="CA225" s="71">
        <f t="shared" ref="CA225:CA226" si="1434">Y225</f>
        <v>132</v>
      </c>
      <c r="CB225" s="72">
        <f t="shared" ref="CB225:CB226" si="1435">AC225</f>
        <v>140</v>
      </c>
      <c r="CC225" s="71">
        <f t="shared" ref="CC225:CC226" si="1436">AG225</f>
        <v>177</v>
      </c>
      <c r="CD225" s="72">
        <f t="shared" ref="CD225:CD226" si="1437">AK225</f>
        <v>184</v>
      </c>
      <c r="CE225" s="71">
        <f t="shared" ref="CE225:CE226" si="1438">AO225</f>
        <v>227</v>
      </c>
      <c r="CF225" s="72">
        <f t="shared" ref="CF225:CF226" si="1439">AS225</f>
        <v>273</v>
      </c>
      <c r="CG225" s="71">
        <f t="shared" ref="CG225:CG226" si="1440">AW225</f>
        <v>299</v>
      </c>
      <c r="CH225" s="70">
        <f t="shared" ref="CH225:CH226" si="1441">G225</f>
        <v>55</v>
      </c>
      <c r="CI225" s="71">
        <f t="shared" ref="CI225:CI226" si="1442">K225</f>
        <v>59</v>
      </c>
      <c r="CJ225" s="72">
        <f t="shared" ref="CJ225:CJ226" si="1443">O225</f>
        <v>91</v>
      </c>
      <c r="CK225" s="72">
        <f t="shared" ref="CK225:CK226" si="1444">S225</f>
        <v>95</v>
      </c>
      <c r="CL225" s="72">
        <f t="shared" ref="CL225:CL226" si="1445">W225</f>
        <v>131</v>
      </c>
      <c r="CM225" s="72">
        <f t="shared" ref="CM225:CM226" si="1446">AA225</f>
        <v>139</v>
      </c>
      <c r="CN225" s="72">
        <f t="shared" ref="CN225:CN226" si="1447">AE225</f>
        <v>166</v>
      </c>
      <c r="CO225" s="72">
        <f t="shared" ref="CO225:CO226" si="1448">AI225</f>
        <v>179</v>
      </c>
      <c r="CP225" s="72">
        <f t="shared" ref="CP225:CP226" si="1449">AM225</f>
        <v>221</v>
      </c>
      <c r="CQ225" s="72">
        <f t="shared" ref="CQ225:CQ226" si="1450">AQ225</f>
        <v>264</v>
      </c>
      <c r="CR225" s="72">
        <f t="shared" ref="CR225:CR226" si="1451">AU225</f>
        <v>298</v>
      </c>
      <c r="CS225" s="72">
        <f t="shared" ref="CS225:CS226" si="1452">AY225</f>
        <v>315</v>
      </c>
      <c r="CT225" s="23">
        <f t="shared" ref="CT225:CT226" si="1453">M225-K225</f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1426"/>
        <v>mtr1a_human_6ME2</v>
      </c>
      <c r="B226" s="3" t="s">
        <v>311</v>
      </c>
      <c r="C226" s="3" t="s">
        <v>1564</v>
      </c>
      <c r="D226" s="3" t="str">
        <f>IFERROR(MID(VLOOKUP($B226,Seqs!$A:$B,2,0),E226,1),"")</f>
        <v>P</v>
      </c>
      <c r="E226" s="3">
        <v>23</v>
      </c>
      <c r="F226" s="3" t="str">
        <f>IFERROR(MID(VLOOKUP($B226,Seqs!$A:$B,2,0),G226,1),"")</f>
        <v>N</v>
      </c>
      <c r="G226" s="3">
        <v>55</v>
      </c>
      <c r="H226" s="3" t="str">
        <f>IFERROR(MID(VLOOKUP($B226,Seqs!$A:$B,2,0),I226,1),"")</f>
        <v>K</v>
      </c>
      <c r="I226" s="23">
        <v>56</v>
      </c>
      <c r="J226" s="3" t="str">
        <f>IFERROR(MID(VLOOKUP($B226,Seqs!$A:$B,2,0),K226,1),"")</f>
        <v>R</v>
      </c>
      <c r="K226" s="23">
        <v>59</v>
      </c>
      <c r="L226" s="3" t="str">
        <f>IFERROR(MID(VLOOKUP($B226,Seqs!$A:$B,2,0),M226,1),"")</f>
        <v>N</v>
      </c>
      <c r="M226" s="3">
        <v>60</v>
      </c>
      <c r="N226" s="3" t="str">
        <f>IFERROR(MID(VLOOKUP($B226,Seqs!$A:$B,2,0),O226,1),"")</f>
        <v>N</v>
      </c>
      <c r="O226" s="3">
        <v>91</v>
      </c>
      <c r="P226" s="3" t="str">
        <f>IFERROR(MID(VLOOKUP($B226,Seqs!$A:$B,2,0),Q226,1),"")</f>
        <v>G</v>
      </c>
      <c r="Q226" s="3">
        <v>92</v>
      </c>
      <c r="R226" s="3" t="str">
        <f>IFERROR(MID(VLOOKUP($B226,Seqs!$A:$B,2,0),S226,1),"")</f>
        <v>L</v>
      </c>
      <c r="S226" s="3">
        <v>95</v>
      </c>
      <c r="T226" s="3" t="str">
        <f>IFERROR(MID(VLOOKUP($B226,Seqs!$A:$B,2,0),U226,1),"")</f>
        <v>G</v>
      </c>
      <c r="U226" s="3">
        <v>96</v>
      </c>
      <c r="V226" s="3" t="str">
        <f>IFERROR(MID(VLOOKUP($B226,Seqs!$A:$B,2,0),W226,1),"")</f>
        <v>Y</v>
      </c>
      <c r="W226" s="3">
        <v>135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N</v>
      </c>
      <c r="AC226" s="3">
        <v>143</v>
      </c>
      <c r="AD226" s="3" t="str">
        <f>IFERROR(MID(VLOOKUP($B226,Seqs!$A:$B,2,0),AE226,1),"")</f>
        <v>G</v>
      </c>
      <c r="AE226" s="3">
        <v>166</v>
      </c>
      <c r="AF226" s="3" t="str">
        <f>IFERROR(MID(VLOOKUP($B226,Seqs!$A:$B,2,0),AG226,1),"")</f>
        <v>C</v>
      </c>
      <c r="AG226" s="3">
        <v>177</v>
      </c>
      <c r="AH226" s="3" t="str">
        <f>IFERROR(MID(VLOOKUP($B226,Seqs!$A:$B,2,0),AI226,1),"")</f>
        <v>F</v>
      </c>
      <c r="AI226" s="3">
        <v>179</v>
      </c>
      <c r="AJ226" s="3" t="str">
        <f>IFERROR(MID(VLOOKUP($B226,Seqs!$A:$B,2,0),AK226,1),"")</f>
        <v>S</v>
      </c>
      <c r="AK226" s="3">
        <v>184</v>
      </c>
      <c r="AL226" s="3" t="str">
        <f>IFERROR(MID(VLOOKUP($B226,Seqs!$A:$B,2,0),AM226,1),"")</f>
        <v>R</v>
      </c>
      <c r="AM226" s="3">
        <v>218</v>
      </c>
      <c r="AN226" s="3" t="str">
        <f>IFERROR(MID(VLOOKUP($B226,Seqs!$A:$B,2,0),AO226,1),"")</f>
        <v>R</v>
      </c>
      <c r="AO226" s="3">
        <v>235</v>
      </c>
      <c r="AP226" s="3" t="str">
        <f>IFERROR(MID(VLOOKUP($B226,Seqs!$A:$B,2,0),AQ226,1),"")</f>
        <v>D</v>
      </c>
      <c r="AQ226" s="3">
        <v>264</v>
      </c>
      <c r="AR226" s="3" t="str">
        <f>IFERROR(MID(VLOOKUP($B226,Seqs!$A:$B,2,0),AS226,1),"")</f>
        <v>P</v>
      </c>
      <c r="AS226" s="3">
        <v>273</v>
      </c>
      <c r="AT226" s="3" t="str">
        <f>IFERROR(MID(VLOOKUP($B226,Seqs!$A:$B,2,0),AU226,1),"")</f>
        <v>L</v>
      </c>
      <c r="AU226" s="3">
        <v>298</v>
      </c>
      <c r="AV226" s="3" t="str">
        <f>IFERROR(MID(VLOOKUP($B226,Seqs!$A:$B,2,0),AW226,1),"")</f>
        <v>N</v>
      </c>
      <c r="AW226" s="3">
        <v>299</v>
      </c>
      <c r="AX226" s="3" t="str">
        <f>IFERROR(MID(VLOOKUP($B226,Seqs!$A:$B,2,0),AY226,1),"")</f>
        <v>T</v>
      </c>
      <c r="AY226" s="3">
        <v>315</v>
      </c>
      <c r="AZ226" s="77" t="str">
        <f>VLOOKUP(B226,Classification!A:D,2,0)</f>
        <v>A</v>
      </c>
      <c r="BA226" s="94" t="str">
        <f>VLOOKUP(B226,Classification!A:D,4,0)</f>
        <v>Melatonin</v>
      </c>
      <c r="BB226" s="27" t="b">
        <f t="shared" si="1427"/>
        <v>1</v>
      </c>
      <c r="BC226" s="23">
        <f t="shared" si="1428"/>
        <v>249</v>
      </c>
      <c r="BD226" s="5" t="s">
        <v>1376</v>
      </c>
      <c r="BE226" s="3" t="s">
        <v>1374</v>
      </c>
      <c r="BF226" s="118">
        <v>2.8</v>
      </c>
      <c r="BG226" s="49" t="s">
        <v>1</v>
      </c>
      <c r="BH226" s="49" t="s">
        <v>1</v>
      </c>
      <c r="BI226" s="1"/>
      <c r="BJ226" s="70" t="s">
        <v>1287</v>
      </c>
      <c r="BK226" s="57" t="s">
        <v>1287</v>
      </c>
      <c r="BL226" s="57" t="s">
        <v>1287</v>
      </c>
      <c r="BM226" s="57" t="s">
        <v>1287</v>
      </c>
      <c r="BN226" s="57" t="s">
        <v>1287</v>
      </c>
      <c r="BO226" s="57" t="s">
        <v>1287</v>
      </c>
      <c r="BP226" s="57" t="s">
        <v>1287</v>
      </c>
      <c r="BQ226" s="57" t="s">
        <v>1287</v>
      </c>
      <c r="BR226" s="57" t="s">
        <v>1287</v>
      </c>
      <c r="BS226" s="57" t="s">
        <v>1287</v>
      </c>
      <c r="BT226" s="57" t="s">
        <v>1287</v>
      </c>
      <c r="BU226" s="57" t="s">
        <v>1287</v>
      </c>
      <c r="BV226" s="70">
        <f t="shared" si="1429"/>
        <v>23</v>
      </c>
      <c r="BW226" s="71">
        <f t="shared" si="1430"/>
        <v>56</v>
      </c>
      <c r="BX226" s="72">
        <f t="shared" si="1431"/>
        <v>60</v>
      </c>
      <c r="BY226" s="71">
        <f t="shared" si="1432"/>
        <v>92</v>
      </c>
      <c r="BZ226" s="72">
        <f t="shared" si="1433"/>
        <v>96</v>
      </c>
      <c r="CA226" s="71" t="str">
        <f t="shared" si="1434"/>
        <v>-</v>
      </c>
      <c r="CB226" s="72">
        <f t="shared" si="1435"/>
        <v>143</v>
      </c>
      <c r="CC226" s="71">
        <f t="shared" si="1436"/>
        <v>177</v>
      </c>
      <c r="CD226" s="72">
        <f t="shared" si="1437"/>
        <v>184</v>
      </c>
      <c r="CE226" s="71">
        <f t="shared" si="1438"/>
        <v>235</v>
      </c>
      <c r="CF226" s="72">
        <f t="shared" si="1439"/>
        <v>273</v>
      </c>
      <c r="CG226" s="71">
        <f t="shared" si="1440"/>
        <v>299</v>
      </c>
      <c r="CH226" s="70">
        <f t="shared" si="1441"/>
        <v>55</v>
      </c>
      <c r="CI226" s="71">
        <f t="shared" si="1442"/>
        <v>59</v>
      </c>
      <c r="CJ226" s="72">
        <f t="shared" si="1443"/>
        <v>91</v>
      </c>
      <c r="CK226" s="72">
        <f t="shared" si="1444"/>
        <v>95</v>
      </c>
      <c r="CL226" s="72">
        <f t="shared" si="1445"/>
        <v>135</v>
      </c>
      <c r="CM226" s="72" t="str">
        <f t="shared" si="1446"/>
        <v>-</v>
      </c>
      <c r="CN226" s="72">
        <f t="shared" si="1447"/>
        <v>166</v>
      </c>
      <c r="CO226" s="72">
        <f t="shared" si="1448"/>
        <v>179</v>
      </c>
      <c r="CP226" s="72">
        <f t="shared" si="1449"/>
        <v>218</v>
      </c>
      <c r="CQ226" s="72">
        <f t="shared" si="1450"/>
        <v>264</v>
      </c>
      <c r="CR226" s="72">
        <f t="shared" si="1451"/>
        <v>298</v>
      </c>
      <c r="CS226" s="72">
        <f t="shared" si="1452"/>
        <v>315</v>
      </c>
      <c r="CT226" s="23">
        <f t="shared" si="1453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ref="A227" si="1454">CONCATENATE(B227,"_",C227)</f>
        <v>mtr1a_human_6ME3</v>
      </c>
      <c r="B227" s="3" t="s">
        <v>311</v>
      </c>
      <c r="C227" s="3" t="s">
        <v>1565</v>
      </c>
      <c r="D227" s="3" t="str">
        <f>IFERROR(MID(VLOOKUP($B227,Seqs!$A:$B,2,0),E227,1),"")</f>
        <v>P</v>
      </c>
      <c r="E227" s="3">
        <v>23</v>
      </c>
      <c r="F227" s="3" t="str">
        <f>IFERROR(MID(VLOOKUP($B227,Seqs!$A:$B,2,0),G227,1),"")</f>
        <v>N</v>
      </c>
      <c r="G227" s="3">
        <v>55</v>
      </c>
      <c r="H227" s="3" t="str">
        <f>IFERROR(MID(VLOOKUP($B227,Seqs!$A:$B,2,0),I227,1),"")</f>
        <v>K</v>
      </c>
      <c r="I227" s="23">
        <v>56</v>
      </c>
      <c r="J227" s="3" t="str">
        <f>IFERROR(MID(VLOOKUP($B227,Seqs!$A:$B,2,0),K227,1),"")</f>
        <v>R</v>
      </c>
      <c r="K227" s="23">
        <v>59</v>
      </c>
      <c r="L227" s="3" t="str">
        <f>IFERROR(MID(VLOOKUP($B227,Seqs!$A:$B,2,0),M227,1),"")</f>
        <v>N</v>
      </c>
      <c r="M227" s="3">
        <v>60</v>
      </c>
      <c r="N227" s="3" t="str">
        <f>IFERROR(MID(VLOOKUP($B227,Seqs!$A:$B,2,0),O227,1),"")</f>
        <v>N</v>
      </c>
      <c r="O227" s="3">
        <v>91</v>
      </c>
      <c r="P227" s="3" t="str">
        <f>IFERROR(MID(VLOOKUP($B227,Seqs!$A:$B,2,0),Q227,1),"")</f>
        <v>G</v>
      </c>
      <c r="Q227" s="3">
        <v>92</v>
      </c>
      <c r="R227" s="3" t="str">
        <f>IFERROR(MID(VLOOKUP($B227,Seqs!$A:$B,2,0),S227,1),"")</f>
        <v>L</v>
      </c>
      <c r="S227" s="3">
        <v>95</v>
      </c>
      <c r="T227" s="3" t="str">
        <f>IFERROR(MID(VLOOKUP($B227,Seqs!$A:$B,2,0),U227,1),"")</f>
        <v>G</v>
      </c>
      <c r="U227" s="3">
        <v>96</v>
      </c>
      <c r="V227" s="3" t="str">
        <f>IFERROR(MID(VLOOKUP($B227,Seqs!$A:$B,2,0),W227,1),"")</f>
        <v>Y</v>
      </c>
      <c r="W227" s="3">
        <v>135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N</v>
      </c>
      <c r="AC227" s="3">
        <v>143</v>
      </c>
      <c r="AD227" s="3" t="str">
        <f>IFERROR(MID(VLOOKUP($B227,Seqs!$A:$B,2,0),AE227,1),"")</f>
        <v>G</v>
      </c>
      <c r="AE227" s="3">
        <v>166</v>
      </c>
      <c r="AF227" s="3" t="str">
        <f>IFERROR(MID(VLOOKUP($B227,Seqs!$A:$B,2,0),AG227,1),"")</f>
        <v>C</v>
      </c>
      <c r="AG227" s="3">
        <v>177</v>
      </c>
      <c r="AH227" s="3" t="str">
        <f>IFERROR(MID(VLOOKUP($B227,Seqs!$A:$B,2,0),AI227,1),"")</f>
        <v>F</v>
      </c>
      <c r="AI227" s="3">
        <v>179</v>
      </c>
      <c r="AJ227" s="3" t="str">
        <f>IFERROR(MID(VLOOKUP($B227,Seqs!$A:$B,2,0),AK227,1),"")</f>
        <v>S</v>
      </c>
      <c r="AK227" s="3">
        <v>184</v>
      </c>
      <c r="AL227" s="3" t="str">
        <f>IFERROR(MID(VLOOKUP($B227,Seqs!$A:$B,2,0),AM227,1),"")</f>
        <v>R</v>
      </c>
      <c r="AM227" s="3">
        <v>218</v>
      </c>
      <c r="AN227" s="3" t="str">
        <f>IFERROR(MID(VLOOKUP($B227,Seqs!$A:$B,2,0),AO227,1),"")</f>
        <v>R</v>
      </c>
      <c r="AO227" s="3">
        <v>235</v>
      </c>
      <c r="AP227" s="3" t="str">
        <f>IFERROR(MID(VLOOKUP($B227,Seqs!$A:$B,2,0),AQ227,1),"")</f>
        <v>D</v>
      </c>
      <c r="AQ227" s="3">
        <v>264</v>
      </c>
      <c r="AR227" s="3" t="str">
        <f>IFERROR(MID(VLOOKUP($B227,Seqs!$A:$B,2,0),AS227,1),"")</f>
        <v>P</v>
      </c>
      <c r="AS227" s="3">
        <v>273</v>
      </c>
      <c r="AT227" s="3" t="str">
        <f>IFERROR(MID(VLOOKUP($B227,Seqs!$A:$B,2,0),AU227,1),"")</f>
        <v>L</v>
      </c>
      <c r="AU227" s="3">
        <v>298</v>
      </c>
      <c r="AV227" s="3" t="str">
        <f>IFERROR(MID(VLOOKUP($B227,Seqs!$A:$B,2,0),AW227,1),"")</f>
        <v>N</v>
      </c>
      <c r="AW227" s="3">
        <v>299</v>
      </c>
      <c r="AX227" s="3" t="str">
        <f>IFERROR(MID(VLOOKUP($B227,Seqs!$A:$B,2,0),AY227,1),"")</f>
        <v>T</v>
      </c>
      <c r="AY227" s="3">
        <v>315</v>
      </c>
      <c r="AZ227" s="77" t="str">
        <f>VLOOKUP(B227,Classification!A:D,2,0)</f>
        <v>A</v>
      </c>
      <c r="BA227" s="94" t="str">
        <f>VLOOKUP(B227,Classification!A:D,4,0)</f>
        <v>Melatonin</v>
      </c>
      <c r="BB227" s="27" t="b">
        <f t="shared" ref="BB227" si="1455"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 t="shared" si="1428"/>
        <v>249</v>
      </c>
      <c r="BD227" s="5" t="s">
        <v>23</v>
      </c>
      <c r="BE227" s="3" t="s">
        <v>1374</v>
      </c>
      <c r="BF227" s="118">
        <v>2.9</v>
      </c>
      <c r="BG227" s="49" t="s">
        <v>1</v>
      </c>
      <c r="BH227" s="49" t="s">
        <v>1</v>
      </c>
      <c r="BI227" s="1"/>
      <c r="BJ227" s="70" t="s">
        <v>1287</v>
      </c>
      <c r="BK227" s="57" t="s">
        <v>1287</v>
      </c>
      <c r="BL227" s="57" t="s">
        <v>1287</v>
      </c>
      <c r="BM227" s="57" t="s">
        <v>1287</v>
      </c>
      <c r="BN227" s="57" t="s">
        <v>1287</v>
      </c>
      <c r="BO227" s="57" t="s">
        <v>1287</v>
      </c>
      <c r="BP227" s="57" t="s">
        <v>1287</v>
      </c>
      <c r="BQ227" s="57" t="s">
        <v>1287</v>
      </c>
      <c r="BR227" s="57" t="s">
        <v>1287</v>
      </c>
      <c r="BS227" s="57" t="s">
        <v>1287</v>
      </c>
      <c r="BT227" s="57" t="s">
        <v>1287</v>
      </c>
      <c r="BU227" s="57" t="s">
        <v>1287</v>
      </c>
      <c r="BV227" s="70">
        <f t="shared" ref="BV227" si="1456">E227</f>
        <v>23</v>
      </c>
      <c r="BW227" s="71">
        <f t="shared" ref="BW227" si="1457">I227</f>
        <v>56</v>
      </c>
      <c r="BX227" s="72">
        <f t="shared" ref="BX227" si="1458">M227</f>
        <v>60</v>
      </c>
      <c r="BY227" s="71">
        <f t="shared" ref="BY227" si="1459">Q227</f>
        <v>92</v>
      </c>
      <c r="BZ227" s="72">
        <f t="shared" ref="BZ227" si="1460">U227</f>
        <v>96</v>
      </c>
      <c r="CA227" s="71" t="str">
        <f t="shared" ref="CA227" si="1461">Y227</f>
        <v>-</v>
      </c>
      <c r="CB227" s="72">
        <f t="shared" ref="CB227" si="1462">AC227</f>
        <v>143</v>
      </c>
      <c r="CC227" s="71">
        <f t="shared" ref="CC227" si="1463">AG227</f>
        <v>177</v>
      </c>
      <c r="CD227" s="72">
        <f t="shared" ref="CD227" si="1464">AK227</f>
        <v>184</v>
      </c>
      <c r="CE227" s="71">
        <f t="shared" ref="CE227" si="1465">AO227</f>
        <v>235</v>
      </c>
      <c r="CF227" s="72">
        <f t="shared" ref="CF227" si="1466">AS227</f>
        <v>273</v>
      </c>
      <c r="CG227" s="71">
        <f t="shared" ref="CG227" si="1467">AW227</f>
        <v>299</v>
      </c>
      <c r="CH227" s="70">
        <f t="shared" ref="CH227" si="1468">G227</f>
        <v>55</v>
      </c>
      <c r="CI227" s="71">
        <f t="shared" ref="CI227" si="1469">K227</f>
        <v>59</v>
      </c>
      <c r="CJ227" s="72">
        <f t="shared" ref="CJ227" si="1470">O227</f>
        <v>91</v>
      </c>
      <c r="CK227" s="72">
        <f t="shared" ref="CK227" si="1471">S227</f>
        <v>95</v>
      </c>
      <c r="CL227" s="72">
        <f t="shared" ref="CL227" si="1472">W227</f>
        <v>135</v>
      </c>
      <c r="CM227" s="72" t="str">
        <f t="shared" ref="CM227" si="1473">AA227</f>
        <v>-</v>
      </c>
      <c r="CN227" s="72">
        <f t="shared" ref="CN227" si="1474">AE227</f>
        <v>166</v>
      </c>
      <c r="CO227" s="72">
        <f t="shared" ref="CO227" si="1475">AI227</f>
        <v>179</v>
      </c>
      <c r="CP227" s="72">
        <f t="shared" ref="CP227" si="1476">AM227</f>
        <v>218</v>
      </c>
      <c r="CQ227" s="72">
        <f t="shared" ref="CQ227" si="1477">AQ227</f>
        <v>264</v>
      </c>
      <c r="CR227" s="72">
        <f t="shared" ref="CR227" si="1478">AU227</f>
        <v>298</v>
      </c>
      <c r="CS227" s="72">
        <f t="shared" ref="CS227" si="1479">AY227</f>
        <v>315</v>
      </c>
      <c r="CT227" s="23">
        <f t="shared" ref="CT227" si="1480">M227-K227</f>
        <v>1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ref="A228" si="1481">CONCATENATE(B228,"_",C228)</f>
        <v>mtr1a_human_6ME4</v>
      </c>
      <c r="B228" s="3" t="s">
        <v>311</v>
      </c>
      <c r="C228" s="3" t="s">
        <v>1566</v>
      </c>
      <c r="D228" s="3" t="str">
        <f>IFERROR(MID(VLOOKUP($B228,Seqs!$A:$B,2,0),E228,1),"")</f>
        <v>P</v>
      </c>
      <c r="E228" s="3">
        <v>23</v>
      </c>
      <c r="F228" s="3" t="str">
        <f>IFERROR(MID(VLOOKUP($B228,Seqs!$A:$B,2,0),G228,1),"")</f>
        <v>N</v>
      </c>
      <c r="G228" s="3">
        <v>55</v>
      </c>
      <c r="H228" s="3" t="str">
        <f>IFERROR(MID(VLOOKUP($B228,Seqs!$A:$B,2,0),I228,1),"")</f>
        <v>K</v>
      </c>
      <c r="I228" s="23">
        <v>56</v>
      </c>
      <c r="J228" s="3" t="str">
        <f>IFERROR(MID(VLOOKUP($B228,Seqs!$A:$B,2,0),K228,1),"")</f>
        <v>R</v>
      </c>
      <c r="K228" s="23">
        <v>59</v>
      </c>
      <c r="L228" s="3" t="str">
        <f>IFERROR(MID(VLOOKUP($B228,Seqs!$A:$B,2,0),M228,1),"")</f>
        <v>N</v>
      </c>
      <c r="M228" s="3">
        <v>60</v>
      </c>
      <c r="N228" s="3" t="str">
        <f>IFERROR(MID(VLOOKUP($B228,Seqs!$A:$B,2,0),O228,1),"")</f>
        <v>N</v>
      </c>
      <c r="O228" s="3">
        <v>91</v>
      </c>
      <c r="P228" s="3" t="str">
        <f>IFERROR(MID(VLOOKUP($B228,Seqs!$A:$B,2,0),Q228,1),"")</f>
        <v>G</v>
      </c>
      <c r="Q228" s="3">
        <v>92</v>
      </c>
      <c r="R228" s="3" t="str">
        <f>IFERROR(MID(VLOOKUP($B228,Seqs!$A:$B,2,0),S228,1),"")</f>
        <v>L</v>
      </c>
      <c r="S228" s="3">
        <v>95</v>
      </c>
      <c r="T228" s="3" t="str">
        <f>IFERROR(MID(VLOOKUP($B228,Seqs!$A:$B,2,0),U228,1),"")</f>
        <v>G</v>
      </c>
      <c r="U228" s="3">
        <v>96</v>
      </c>
      <c r="V228" s="3" t="str">
        <f>IFERROR(MID(VLOOKUP($B228,Seqs!$A:$B,2,0),W228,1),"")</f>
        <v>Y</v>
      </c>
      <c r="W228" s="3">
        <v>135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N</v>
      </c>
      <c r="AC228" s="3">
        <v>143</v>
      </c>
      <c r="AD228" s="3" t="str">
        <f>IFERROR(MID(VLOOKUP($B228,Seqs!$A:$B,2,0),AE228,1),"")</f>
        <v>G</v>
      </c>
      <c r="AE228" s="3">
        <v>166</v>
      </c>
      <c r="AF228" s="3" t="str">
        <f>IFERROR(MID(VLOOKUP($B228,Seqs!$A:$B,2,0),AG228,1),"")</f>
        <v>C</v>
      </c>
      <c r="AG228" s="3">
        <v>177</v>
      </c>
      <c r="AH228" s="3" t="str">
        <f>IFERROR(MID(VLOOKUP($B228,Seqs!$A:$B,2,0),AI228,1),"")</f>
        <v>F</v>
      </c>
      <c r="AI228" s="3">
        <v>179</v>
      </c>
      <c r="AJ228" s="3" t="str">
        <f>IFERROR(MID(VLOOKUP($B228,Seqs!$A:$B,2,0),AK228,1),"")</f>
        <v>S</v>
      </c>
      <c r="AK228" s="3">
        <v>184</v>
      </c>
      <c r="AL228" s="3" t="str">
        <f>IFERROR(MID(VLOOKUP($B228,Seqs!$A:$B,2,0),AM228,1),"")</f>
        <v>R</v>
      </c>
      <c r="AM228" s="3">
        <v>218</v>
      </c>
      <c r="AN228" s="3" t="str">
        <f>IFERROR(MID(VLOOKUP($B228,Seqs!$A:$B,2,0),AO228,1),"")</f>
        <v>R</v>
      </c>
      <c r="AO228" s="3">
        <v>235</v>
      </c>
      <c r="AP228" s="3" t="str">
        <f>IFERROR(MID(VLOOKUP($B228,Seqs!$A:$B,2,0),AQ228,1),"")</f>
        <v>D</v>
      </c>
      <c r="AQ228" s="3">
        <v>264</v>
      </c>
      <c r="AR228" s="3" t="str">
        <f>IFERROR(MID(VLOOKUP($B228,Seqs!$A:$B,2,0),AS228,1),"")</f>
        <v>P</v>
      </c>
      <c r="AS228" s="3">
        <v>273</v>
      </c>
      <c r="AT228" s="3" t="str">
        <f>IFERROR(MID(VLOOKUP($B228,Seqs!$A:$B,2,0),AU228,1),"")</f>
        <v>L</v>
      </c>
      <c r="AU228" s="3">
        <v>298</v>
      </c>
      <c r="AV228" s="3" t="str">
        <f>IFERROR(MID(VLOOKUP($B228,Seqs!$A:$B,2,0),AW228,1),"")</f>
        <v>N</v>
      </c>
      <c r="AW228" s="3">
        <v>299</v>
      </c>
      <c r="AX228" s="3" t="str">
        <f>IFERROR(MID(VLOOKUP($B228,Seqs!$A:$B,2,0),AY228,1),"")</f>
        <v>T</v>
      </c>
      <c r="AY228" s="3">
        <v>315</v>
      </c>
      <c r="AZ228" s="77" t="str">
        <f>VLOOKUP(B228,Classification!A:D,2,0)</f>
        <v>A</v>
      </c>
      <c r="BA228" s="94" t="str">
        <f>VLOOKUP(B228,Classification!A:D,4,0)</f>
        <v>Melatonin</v>
      </c>
      <c r="BB228" s="27" t="b">
        <f t="shared" ref="BB228" si="1482">AND(E228&lt;G228,OR(G228&lt;I228,I228="-"),OR(I228&lt;K228,I228="-"),OR(K228&lt;M228,K228="-"),M228&lt;O228,OR(O228&lt;Q228,Q228="-"),OR(Q228&lt;S228,Q228="-"),OR(S228&lt;U228,S228="-"),U228&lt;W228,OR(W228&lt;Y228,Y228="-"),OR(Y228&lt;AA228,Y228="-"),OR(AA228&lt;AC228,AA228="-"),AC228&lt;AE228,OR(AE228&lt;AG228,AG228="-"),OR(AG228&lt;AI228,AG228="-"),OR(AI228&lt;AK228,AI228="-"),AK228&lt;AM228,AM228&lt;AO228,AO228&lt;AQ228,AQ228&lt;AS228,AS228&lt;AU228,OR(AU228&lt;AW228,AW228="-"),OR(AW228&lt;AY228,AW228="-"))</f>
        <v>1</v>
      </c>
      <c r="BC228" s="23">
        <f t="shared" ref="BC228" si="1483">_xlfn.AGGREGATE(9,6,CH228:CS228)-_xlfn.AGGREGATE(9,6,BV228:CG228)+12</f>
        <v>249</v>
      </c>
      <c r="BD228" s="5" t="s">
        <v>23</v>
      </c>
      <c r="BE228" s="3" t="s">
        <v>1374</v>
      </c>
      <c r="BF228" s="118">
        <v>3.2</v>
      </c>
      <c r="BG228" s="49" t="s">
        <v>1</v>
      </c>
      <c r="BH228" s="49" t="s">
        <v>1</v>
      </c>
      <c r="BI228" s="1"/>
      <c r="BJ228" s="70" t="s">
        <v>1287</v>
      </c>
      <c r="BK228" s="57" t="s">
        <v>1287</v>
      </c>
      <c r="BL228" s="57" t="s">
        <v>1287</v>
      </c>
      <c r="BM228" s="57" t="s">
        <v>1287</v>
      </c>
      <c r="BN228" s="57" t="s">
        <v>1287</v>
      </c>
      <c r="BO228" s="57" t="s">
        <v>1287</v>
      </c>
      <c r="BP228" s="57" t="s">
        <v>1287</v>
      </c>
      <c r="BQ228" s="57" t="s">
        <v>1287</v>
      </c>
      <c r="BR228" s="57" t="s">
        <v>1287</v>
      </c>
      <c r="BS228" s="57" t="s">
        <v>1287</v>
      </c>
      <c r="BT228" s="57" t="s">
        <v>1287</v>
      </c>
      <c r="BU228" s="57" t="s">
        <v>1287</v>
      </c>
      <c r="BV228" s="70">
        <f t="shared" ref="BV228" si="1484">E228</f>
        <v>23</v>
      </c>
      <c r="BW228" s="71">
        <f t="shared" ref="BW228" si="1485">I228</f>
        <v>56</v>
      </c>
      <c r="BX228" s="72">
        <f t="shared" ref="BX228" si="1486">M228</f>
        <v>60</v>
      </c>
      <c r="BY228" s="71">
        <f t="shared" ref="BY228" si="1487">Q228</f>
        <v>92</v>
      </c>
      <c r="BZ228" s="72">
        <f t="shared" ref="BZ228" si="1488">U228</f>
        <v>96</v>
      </c>
      <c r="CA228" s="71" t="str">
        <f t="shared" ref="CA228" si="1489">Y228</f>
        <v>-</v>
      </c>
      <c r="CB228" s="72">
        <f t="shared" ref="CB228" si="1490">AC228</f>
        <v>143</v>
      </c>
      <c r="CC228" s="71">
        <f t="shared" ref="CC228" si="1491">AG228</f>
        <v>177</v>
      </c>
      <c r="CD228" s="72">
        <f t="shared" ref="CD228" si="1492">AK228</f>
        <v>184</v>
      </c>
      <c r="CE228" s="71">
        <f t="shared" ref="CE228" si="1493">AO228</f>
        <v>235</v>
      </c>
      <c r="CF228" s="72">
        <f t="shared" ref="CF228" si="1494">AS228</f>
        <v>273</v>
      </c>
      <c r="CG228" s="71">
        <f t="shared" ref="CG228" si="1495">AW228</f>
        <v>299</v>
      </c>
      <c r="CH228" s="70">
        <f t="shared" ref="CH228" si="1496">G228</f>
        <v>55</v>
      </c>
      <c r="CI228" s="71">
        <f t="shared" ref="CI228" si="1497">K228</f>
        <v>59</v>
      </c>
      <c r="CJ228" s="72">
        <f t="shared" ref="CJ228" si="1498">O228</f>
        <v>91</v>
      </c>
      <c r="CK228" s="72">
        <f t="shared" ref="CK228" si="1499">S228</f>
        <v>95</v>
      </c>
      <c r="CL228" s="72">
        <f t="shared" ref="CL228" si="1500">W228</f>
        <v>135</v>
      </c>
      <c r="CM228" s="72" t="str">
        <f t="shared" ref="CM228" si="1501">AA228</f>
        <v>-</v>
      </c>
      <c r="CN228" s="72">
        <f t="shared" ref="CN228" si="1502">AE228</f>
        <v>166</v>
      </c>
      <c r="CO228" s="72">
        <f t="shared" ref="CO228" si="1503">AI228</f>
        <v>179</v>
      </c>
      <c r="CP228" s="72">
        <f t="shared" ref="CP228" si="1504">AM228</f>
        <v>218</v>
      </c>
      <c r="CQ228" s="72">
        <f t="shared" ref="CQ228" si="1505">AQ228</f>
        <v>264</v>
      </c>
      <c r="CR228" s="72">
        <f t="shared" ref="CR228" si="1506">AU228</f>
        <v>298</v>
      </c>
      <c r="CS228" s="72">
        <f t="shared" ref="CS228" si="1507">AY228</f>
        <v>315</v>
      </c>
      <c r="CT228" s="23">
        <f t="shared" ref="CT228" si="1508"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ref="A229" si="1509">CONCATENATE(B229,"_",C229)</f>
        <v>mtr1a_human_6ME5</v>
      </c>
      <c r="B229" s="3" t="s">
        <v>311</v>
      </c>
      <c r="C229" s="3" t="s">
        <v>1567</v>
      </c>
      <c r="D229" s="3" t="str">
        <f>IFERROR(MID(VLOOKUP($B229,Seqs!$A:$B,2,0),E229,1),"")</f>
        <v>P</v>
      </c>
      <c r="E229" s="3">
        <v>23</v>
      </c>
      <c r="F229" s="3" t="str">
        <f>IFERROR(MID(VLOOKUP($B229,Seqs!$A:$B,2,0),G229,1),"")</f>
        <v>N</v>
      </c>
      <c r="G229" s="3">
        <v>55</v>
      </c>
      <c r="H229" s="3" t="str">
        <f>IFERROR(MID(VLOOKUP($B229,Seqs!$A:$B,2,0),I229,1),"")</f>
        <v>K</v>
      </c>
      <c r="I229" s="23">
        <v>56</v>
      </c>
      <c r="J229" s="3" t="str">
        <f>IFERROR(MID(VLOOKUP($B229,Seqs!$A:$B,2,0),K229,1),"")</f>
        <v>R</v>
      </c>
      <c r="K229" s="23">
        <v>59</v>
      </c>
      <c r="L229" s="3" t="str">
        <f>IFERROR(MID(VLOOKUP($B229,Seqs!$A:$B,2,0),M229,1),"")</f>
        <v>N</v>
      </c>
      <c r="M229" s="3">
        <v>60</v>
      </c>
      <c r="N229" s="3" t="str">
        <f>IFERROR(MID(VLOOKUP($B229,Seqs!$A:$B,2,0),O229,1),"")</f>
        <v>N</v>
      </c>
      <c r="O229" s="3">
        <v>91</v>
      </c>
      <c r="P229" s="3" t="str">
        <f>IFERROR(MID(VLOOKUP($B229,Seqs!$A:$B,2,0),Q229,1),"")</f>
        <v>G</v>
      </c>
      <c r="Q229" s="3">
        <v>92</v>
      </c>
      <c r="R229" s="3" t="str">
        <f>IFERROR(MID(VLOOKUP($B229,Seqs!$A:$B,2,0),S229,1),"")</f>
        <v>L</v>
      </c>
      <c r="S229" s="3">
        <v>95</v>
      </c>
      <c r="T229" s="3" t="str">
        <f>IFERROR(MID(VLOOKUP($B229,Seqs!$A:$B,2,0),U229,1),"")</f>
        <v>G</v>
      </c>
      <c r="U229" s="3">
        <v>96</v>
      </c>
      <c r="V229" s="3" t="str">
        <f>IFERROR(MID(VLOOKUP($B229,Seqs!$A:$B,2,0),W229,1),"")</f>
        <v>Y</v>
      </c>
      <c r="W229" s="3">
        <v>135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N</v>
      </c>
      <c r="AC229" s="3">
        <v>143</v>
      </c>
      <c r="AD229" s="3" t="str">
        <f>IFERROR(MID(VLOOKUP($B229,Seqs!$A:$B,2,0),AE229,1),"")</f>
        <v>G</v>
      </c>
      <c r="AE229" s="3">
        <v>166</v>
      </c>
      <c r="AF229" s="3" t="str">
        <f>IFERROR(MID(VLOOKUP($B229,Seqs!$A:$B,2,0),AG229,1),"")</f>
        <v>C</v>
      </c>
      <c r="AG229" s="3">
        <v>177</v>
      </c>
      <c r="AH229" s="3" t="str">
        <f>IFERROR(MID(VLOOKUP($B229,Seqs!$A:$B,2,0),AI229,1),"")</f>
        <v>F</v>
      </c>
      <c r="AI229" s="3">
        <v>179</v>
      </c>
      <c r="AJ229" s="3" t="str">
        <f>IFERROR(MID(VLOOKUP($B229,Seqs!$A:$B,2,0),AK229,1),"")</f>
        <v>S</v>
      </c>
      <c r="AK229" s="3">
        <v>184</v>
      </c>
      <c r="AL229" s="3" t="str">
        <f>IFERROR(MID(VLOOKUP($B229,Seqs!$A:$B,2,0),AM229,1),"")</f>
        <v>R</v>
      </c>
      <c r="AM229" s="3">
        <v>218</v>
      </c>
      <c r="AN229" s="3" t="str">
        <f>IFERROR(MID(VLOOKUP($B229,Seqs!$A:$B,2,0),AO229,1),"")</f>
        <v>R</v>
      </c>
      <c r="AO229" s="3">
        <v>235</v>
      </c>
      <c r="AP229" s="3" t="str">
        <f>IFERROR(MID(VLOOKUP($B229,Seqs!$A:$B,2,0),AQ229,1),"")</f>
        <v>D</v>
      </c>
      <c r="AQ229" s="3">
        <v>264</v>
      </c>
      <c r="AR229" s="3" t="str">
        <f>IFERROR(MID(VLOOKUP($B229,Seqs!$A:$B,2,0),AS229,1),"")</f>
        <v>P</v>
      </c>
      <c r="AS229" s="3">
        <v>273</v>
      </c>
      <c r="AT229" s="3" t="str">
        <f>IFERROR(MID(VLOOKUP($B229,Seqs!$A:$B,2,0),AU229,1),"")</f>
        <v>L</v>
      </c>
      <c r="AU229" s="3">
        <v>298</v>
      </c>
      <c r="AV229" s="3" t="str">
        <f>IFERROR(MID(VLOOKUP($B229,Seqs!$A:$B,2,0),AW229,1),"")</f>
        <v>N</v>
      </c>
      <c r="AW229" s="3">
        <v>299</v>
      </c>
      <c r="AX229" s="3" t="str">
        <f>IFERROR(MID(VLOOKUP($B229,Seqs!$A:$B,2,0),AY229,1),"")</f>
        <v>T</v>
      </c>
      <c r="AY229" s="3">
        <v>315</v>
      </c>
      <c r="AZ229" s="77" t="str">
        <f>VLOOKUP(B229,Classification!A:D,2,0)</f>
        <v>A</v>
      </c>
      <c r="BA229" s="94" t="str">
        <f>VLOOKUP(B229,Classification!A:D,4,0)</f>
        <v>Melatonin</v>
      </c>
      <c r="BB229" s="27" t="b">
        <f t="shared" ref="BB229" si="1510">AND(E229&lt;G229,OR(G229&lt;I229,I229="-"),OR(I229&lt;K229,I229="-"),OR(K229&lt;M229,K229="-"),M229&lt;O229,OR(O229&lt;Q229,Q229="-"),OR(Q229&lt;S229,Q229="-"),OR(S229&lt;U229,S229="-"),U229&lt;W229,OR(W229&lt;Y229,Y229="-"),OR(Y229&lt;AA229,Y229="-"),OR(AA229&lt;AC229,AA229="-"),AC229&lt;AE229,OR(AE229&lt;AG229,AG229="-"),OR(AG229&lt;AI229,AG229="-"),OR(AI229&lt;AK229,AI229="-"),AK229&lt;AM229,AM229&lt;AO229,AO229&lt;AQ229,AQ229&lt;AS229,AS229&lt;AU229,OR(AU229&lt;AW229,AW229="-"),OR(AW229&lt;AY229,AW229="-"))</f>
        <v>1</v>
      </c>
      <c r="BC229" s="23">
        <f t="shared" ref="BC229" si="1511">_xlfn.AGGREGATE(9,6,CH229:CS229)-_xlfn.AGGREGATE(9,6,BV229:CG229)+12</f>
        <v>249</v>
      </c>
      <c r="BD229" s="5" t="s">
        <v>23</v>
      </c>
      <c r="BE229" s="3" t="s">
        <v>1374</v>
      </c>
      <c r="BF229" s="118">
        <v>3.2</v>
      </c>
      <c r="BG229" s="49" t="s">
        <v>1</v>
      </c>
      <c r="BH229" s="49" t="s">
        <v>1</v>
      </c>
      <c r="BI229" s="1"/>
      <c r="BJ229" s="70" t="s">
        <v>1287</v>
      </c>
      <c r="BK229" s="57" t="s">
        <v>1287</v>
      </c>
      <c r="BL229" s="57" t="s">
        <v>1287</v>
      </c>
      <c r="BM229" s="57" t="s">
        <v>1287</v>
      </c>
      <c r="BN229" s="57" t="s">
        <v>1287</v>
      </c>
      <c r="BO229" s="57" t="s">
        <v>1287</v>
      </c>
      <c r="BP229" s="57" t="s">
        <v>1287</v>
      </c>
      <c r="BQ229" s="57" t="s">
        <v>1287</v>
      </c>
      <c r="BR229" s="57" t="s">
        <v>1287</v>
      </c>
      <c r="BS229" s="57" t="s">
        <v>1287</v>
      </c>
      <c r="BT229" s="57" t="s">
        <v>1287</v>
      </c>
      <c r="BU229" s="57" t="s">
        <v>1287</v>
      </c>
      <c r="BV229" s="70">
        <f t="shared" ref="BV229" si="1512">E229</f>
        <v>23</v>
      </c>
      <c r="BW229" s="71">
        <f t="shared" ref="BW229" si="1513">I229</f>
        <v>56</v>
      </c>
      <c r="BX229" s="72">
        <f t="shared" ref="BX229" si="1514">M229</f>
        <v>60</v>
      </c>
      <c r="BY229" s="71">
        <f t="shared" ref="BY229" si="1515">Q229</f>
        <v>92</v>
      </c>
      <c r="BZ229" s="72">
        <f t="shared" ref="BZ229" si="1516">U229</f>
        <v>96</v>
      </c>
      <c r="CA229" s="71" t="str">
        <f t="shared" ref="CA229" si="1517">Y229</f>
        <v>-</v>
      </c>
      <c r="CB229" s="72">
        <f t="shared" ref="CB229" si="1518">AC229</f>
        <v>143</v>
      </c>
      <c r="CC229" s="71">
        <f t="shared" ref="CC229" si="1519">AG229</f>
        <v>177</v>
      </c>
      <c r="CD229" s="72">
        <f t="shared" ref="CD229" si="1520">AK229</f>
        <v>184</v>
      </c>
      <c r="CE229" s="71">
        <f t="shared" ref="CE229" si="1521">AO229</f>
        <v>235</v>
      </c>
      <c r="CF229" s="72">
        <f t="shared" ref="CF229" si="1522">AS229</f>
        <v>273</v>
      </c>
      <c r="CG229" s="71">
        <f t="shared" ref="CG229" si="1523">AW229</f>
        <v>299</v>
      </c>
      <c r="CH229" s="70">
        <f t="shared" ref="CH229" si="1524">G229</f>
        <v>55</v>
      </c>
      <c r="CI229" s="71">
        <f t="shared" ref="CI229" si="1525">K229</f>
        <v>59</v>
      </c>
      <c r="CJ229" s="72">
        <f t="shared" ref="CJ229" si="1526">O229</f>
        <v>91</v>
      </c>
      <c r="CK229" s="72">
        <f t="shared" ref="CK229" si="1527">S229</f>
        <v>95</v>
      </c>
      <c r="CL229" s="72">
        <f t="shared" ref="CL229" si="1528">W229</f>
        <v>135</v>
      </c>
      <c r="CM229" s="72" t="str">
        <f t="shared" ref="CM229" si="1529">AA229</f>
        <v>-</v>
      </c>
      <c r="CN229" s="72">
        <f t="shared" ref="CN229" si="1530">AE229</f>
        <v>166</v>
      </c>
      <c r="CO229" s="72">
        <f t="shared" ref="CO229" si="1531">AI229</f>
        <v>179</v>
      </c>
      <c r="CP229" s="72">
        <f t="shared" ref="CP229" si="1532">AM229</f>
        <v>218</v>
      </c>
      <c r="CQ229" s="72">
        <f t="shared" ref="CQ229" si="1533">AQ229</f>
        <v>264</v>
      </c>
      <c r="CR229" s="72">
        <f t="shared" ref="CR229" si="1534">AU229</f>
        <v>298</v>
      </c>
      <c r="CS229" s="72">
        <f t="shared" ref="CS229" si="1535">AY229</f>
        <v>315</v>
      </c>
      <c r="CT229" s="23">
        <f t="shared" ref="CT229" si="1536"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s="12" customFormat="1" x14ac:dyDescent="0.2">
      <c r="A230" s="9" t="str">
        <f>CONCATENATE(B230,"_",C230)</f>
        <v>mtr1a_human_6PS8</v>
      </c>
      <c r="B230" s="9" t="s">
        <v>311</v>
      </c>
      <c r="C230" s="9" t="s">
        <v>1616</v>
      </c>
      <c r="D230" s="9" t="str">
        <f>IFERROR(MID(VLOOKUP($B230,Seqs!$A:$B,2,0),E230,1),"")</f>
        <v>S</v>
      </c>
      <c r="E230" s="9">
        <v>24</v>
      </c>
      <c r="F230" s="9" t="str">
        <f>IFERROR(MID(VLOOKUP($B230,Seqs!$A:$B,2,0),G230,1),"")</f>
        <v>N</v>
      </c>
      <c r="G230" s="9">
        <v>55</v>
      </c>
      <c r="H230" s="9" t="str">
        <f>IFERROR(MID(VLOOKUP($B230,Seqs!$A:$B,2,0),I230,1),"")</f>
        <v>K</v>
      </c>
      <c r="I230" s="109">
        <v>56</v>
      </c>
      <c r="J230" s="9" t="str">
        <f>IFERROR(MID(VLOOKUP($B230,Seqs!$A:$B,2,0),K230,1),"")</f>
        <v>R</v>
      </c>
      <c r="K230" s="109">
        <v>59</v>
      </c>
      <c r="L230" s="9" t="str">
        <f>IFERROR(MID(VLOOKUP($B230,Seqs!$A:$B,2,0),M230,1),"")</f>
        <v>N</v>
      </c>
      <c r="M230" s="9">
        <v>60</v>
      </c>
      <c r="N230" s="9" t="str">
        <f>IFERROR(MID(VLOOKUP($B230,Seqs!$A:$B,2,0),O230,1),"")</f>
        <v>N</v>
      </c>
      <c r="O230" s="9">
        <v>91</v>
      </c>
      <c r="P230" s="9" t="str">
        <f>IFERROR(MID(VLOOKUP($B230,Seqs!$A:$B,2,0),Q230,1),"")</f>
        <v>G</v>
      </c>
      <c r="Q230" s="9">
        <v>92</v>
      </c>
      <c r="R230" s="9" t="str">
        <f>IFERROR(MID(VLOOKUP($B230,Seqs!$A:$B,2,0),S230,1),"")</f>
        <v>L</v>
      </c>
      <c r="S230" s="9">
        <v>95</v>
      </c>
      <c r="T230" s="9" t="str">
        <f>IFERROR(MID(VLOOKUP($B230,Seqs!$A:$B,2,0),U230,1),"")</f>
        <v>G</v>
      </c>
      <c r="U230" s="9">
        <v>96</v>
      </c>
      <c r="V230" s="9" t="str">
        <f>IFERROR(MID(VLOOKUP($B230,Seqs!$A:$B,2,0),W230,1),"")</f>
        <v>Y</v>
      </c>
      <c r="W230" s="9">
        <v>135</v>
      </c>
      <c r="X230" s="9" t="str">
        <f>IFERROR(MID(VLOOKUP($B230,Seqs!$A:$B,2,0),Y230,1),"")</f>
        <v/>
      </c>
      <c r="Y230" s="9" t="s">
        <v>23</v>
      </c>
      <c r="Z230" s="9" t="str">
        <f>IFERROR(MID(VLOOKUP($B230,Seqs!$A:$B,2,0),AA230,1),"")</f>
        <v/>
      </c>
      <c r="AA230" s="9" t="s">
        <v>23</v>
      </c>
      <c r="AB230" s="9" t="str">
        <f>IFERROR(MID(VLOOKUP($B230,Seqs!$A:$B,2,0),AC230,1),"")</f>
        <v>N</v>
      </c>
      <c r="AC230" s="9">
        <v>143</v>
      </c>
      <c r="AD230" s="9" t="str">
        <f>IFERROR(MID(VLOOKUP($B230,Seqs!$A:$B,2,0),AE230,1),"")</f>
        <v>G</v>
      </c>
      <c r="AE230" s="9">
        <v>166</v>
      </c>
      <c r="AF230" s="9" t="str">
        <f>IFERROR(MID(VLOOKUP($B230,Seqs!$A:$B,2,0),AG230,1),"")</f>
        <v>C</v>
      </c>
      <c r="AG230" s="9">
        <v>177</v>
      </c>
      <c r="AH230" s="9" t="str">
        <f>IFERROR(MID(VLOOKUP($B230,Seqs!$A:$B,2,0),AI230,1),"")</f>
        <v>F</v>
      </c>
      <c r="AI230" s="9">
        <v>179</v>
      </c>
      <c r="AJ230" s="9" t="str">
        <f>IFERROR(MID(VLOOKUP($B230,Seqs!$A:$B,2,0),AK230,1),"")</f>
        <v>S</v>
      </c>
      <c r="AK230" s="9">
        <v>184</v>
      </c>
      <c r="AL230" s="9" t="str">
        <f>IFERROR(MID(VLOOKUP($B230,Seqs!$A:$B,2,0),AM230,1),"")</f>
        <v>R</v>
      </c>
      <c r="AM230" s="9">
        <v>218</v>
      </c>
      <c r="AN230" s="9" t="str">
        <f>IFERROR(MID(VLOOKUP($B230,Seqs!$A:$B,2,0),AO230,1),"")</f>
        <v>F</v>
      </c>
      <c r="AO230" s="9">
        <v>234</v>
      </c>
      <c r="AP230" s="9" t="str">
        <f>IFERROR(MID(VLOOKUP($B230,Seqs!$A:$B,2,0),AQ230,1),"")</f>
        <v>S</v>
      </c>
      <c r="AQ230" s="9">
        <v>263</v>
      </c>
      <c r="AR230" s="9" t="str">
        <f>IFERROR(MID(VLOOKUP($B230,Seqs!$A:$B,2,0),AS230,1),"")</f>
        <v>P</v>
      </c>
      <c r="AS230" s="9">
        <v>273</v>
      </c>
      <c r="AT230" s="9" t="str">
        <f>IFERROR(MID(VLOOKUP($B230,Seqs!$A:$B,2,0),AU230,1),"")</f>
        <v>L</v>
      </c>
      <c r="AU230" s="9">
        <v>298</v>
      </c>
      <c r="AV230" s="9" t="str">
        <f>IFERROR(MID(VLOOKUP($B230,Seqs!$A:$B,2,0),AW230,1),"")</f>
        <v>N</v>
      </c>
      <c r="AW230" s="9">
        <v>299</v>
      </c>
      <c r="AX230" s="9" t="str">
        <f>IFERROR(MID(VLOOKUP($B230,Seqs!$A:$B,2,0),AY230,1),"")</f>
        <v>T</v>
      </c>
      <c r="AY230" s="9">
        <v>315</v>
      </c>
      <c r="AZ230" s="110" t="str">
        <f>VLOOKUP(B230,Classification!A:D,2,0)</f>
        <v>A</v>
      </c>
      <c r="BA230" s="98" t="str">
        <f>VLOOKUP(B230,Classification!A:D,4,0)</f>
        <v>Melatonin</v>
      </c>
      <c r="BB230" s="36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109">
        <f>_xlfn.AGGREGATE(9,6,CH230:CS230)-_xlfn.AGGREGATE(9,6,BV230:CG230)+12</f>
        <v>248</v>
      </c>
      <c r="BD230" s="123" t="s">
        <v>23</v>
      </c>
      <c r="BE230" s="9" t="s">
        <v>1374</v>
      </c>
      <c r="BF230" s="119">
        <v>3.3</v>
      </c>
      <c r="BG230" s="51" t="s">
        <v>1</v>
      </c>
      <c r="BH230" s="51" t="s">
        <v>1</v>
      </c>
      <c r="BJ230" s="111" t="s">
        <v>1287</v>
      </c>
      <c r="BK230" s="112" t="s">
        <v>1287</v>
      </c>
      <c r="BL230" s="112" t="s">
        <v>1287</v>
      </c>
      <c r="BM230" s="112" t="s">
        <v>1287</v>
      </c>
      <c r="BN230" s="112" t="s">
        <v>1287</v>
      </c>
      <c r="BO230" s="112" t="s">
        <v>1287</v>
      </c>
      <c r="BP230" s="112" t="s">
        <v>1287</v>
      </c>
      <c r="BQ230" s="112" t="s">
        <v>1287</v>
      </c>
      <c r="BR230" s="112" t="s">
        <v>1287</v>
      </c>
      <c r="BS230" s="112" t="s">
        <v>1287</v>
      </c>
      <c r="BT230" s="112" t="s">
        <v>1287</v>
      </c>
      <c r="BU230" s="112" t="s">
        <v>1287</v>
      </c>
      <c r="BV230" s="111">
        <f>E230</f>
        <v>24</v>
      </c>
      <c r="BW230" s="113">
        <f>I230</f>
        <v>56</v>
      </c>
      <c r="BX230" s="114">
        <f>M230</f>
        <v>60</v>
      </c>
      <c r="BY230" s="113">
        <f>Q230</f>
        <v>92</v>
      </c>
      <c r="BZ230" s="114">
        <f>U230</f>
        <v>96</v>
      </c>
      <c r="CA230" s="113" t="str">
        <f>Y230</f>
        <v>-</v>
      </c>
      <c r="CB230" s="114">
        <f>AC230</f>
        <v>143</v>
      </c>
      <c r="CC230" s="113">
        <f>AG230</f>
        <v>177</v>
      </c>
      <c r="CD230" s="114">
        <f>AK230</f>
        <v>184</v>
      </c>
      <c r="CE230" s="113">
        <f>AO230</f>
        <v>234</v>
      </c>
      <c r="CF230" s="114">
        <f>AS230</f>
        <v>273</v>
      </c>
      <c r="CG230" s="113">
        <f>AW230</f>
        <v>299</v>
      </c>
      <c r="CH230" s="111">
        <f>G230</f>
        <v>55</v>
      </c>
      <c r="CI230" s="113">
        <f>K230</f>
        <v>59</v>
      </c>
      <c r="CJ230" s="114">
        <f>O230</f>
        <v>91</v>
      </c>
      <c r="CK230" s="114">
        <f>S230</f>
        <v>95</v>
      </c>
      <c r="CL230" s="114">
        <f>W230</f>
        <v>135</v>
      </c>
      <c r="CM230" s="114" t="str">
        <f>AA230</f>
        <v>-</v>
      </c>
      <c r="CN230" s="114">
        <f>AE230</f>
        <v>166</v>
      </c>
      <c r="CO230" s="114">
        <f>AI230</f>
        <v>179</v>
      </c>
      <c r="CP230" s="114">
        <f>AM230</f>
        <v>218</v>
      </c>
      <c r="CQ230" s="114">
        <f>AQ230</f>
        <v>263</v>
      </c>
      <c r="CR230" s="114">
        <f>AU230</f>
        <v>298</v>
      </c>
      <c r="CS230" s="114">
        <f>AY230</f>
        <v>315</v>
      </c>
      <c r="CT230" s="109">
        <f>M230-K230</f>
        <v>1</v>
      </c>
    </row>
    <row r="231" spans="1:1029" x14ac:dyDescent="0.2">
      <c r="A231" s="3" t="str">
        <f t="shared" ref="A231:A232" si="1537">CONCATENATE(B231,"_",C231)</f>
        <v>mtr1b_human__wt</v>
      </c>
      <c r="B231" s="3" t="s">
        <v>312</v>
      </c>
      <c r="C231" s="3" t="s">
        <v>100</v>
      </c>
      <c r="D231" s="3" t="str">
        <f>IFERROR(MID(VLOOKUP($B231,Seqs!$A:$B,2,0),E231,1),"")</f>
        <v>W</v>
      </c>
      <c r="E231" s="3">
        <v>38</v>
      </c>
      <c r="F231" s="3" t="str">
        <f>IFERROR(MID(VLOOKUP($B231,Seqs!$A:$B,2,0),G231,1),"")</f>
        <v>N</v>
      </c>
      <c r="G231" s="3">
        <v>68</v>
      </c>
      <c r="H231" s="3" t="str">
        <f>IFERROR(MID(VLOOKUP($B231,Seqs!$A:$B,2,0),I231,1),"")</f>
        <v>R</v>
      </c>
      <c r="I231" s="23">
        <v>69</v>
      </c>
      <c r="J231" s="3" t="str">
        <f>IFERROR(MID(VLOOKUP($B231,Seqs!$A:$B,2,0),K231,1),"")</f>
        <v>R</v>
      </c>
      <c r="K231" s="23">
        <v>72</v>
      </c>
      <c r="L231" s="3" t="str">
        <f>IFERROR(MID(VLOOKUP($B231,Seqs!$A:$B,2,0),M231,1),"")</f>
        <v>N</v>
      </c>
      <c r="M231" s="3">
        <v>73</v>
      </c>
      <c r="N231" s="3" t="str">
        <f>IFERROR(MID(VLOOKUP($B231,Seqs!$A:$B,2,0),O231,1),"")</f>
        <v>D</v>
      </c>
      <c r="O231" s="3">
        <v>104</v>
      </c>
      <c r="P231" s="3" t="str">
        <f>IFERROR(MID(VLOOKUP($B231,Seqs!$A:$B,2,0),Q231,1),"")</f>
        <v>G</v>
      </c>
      <c r="Q231" s="3">
        <v>105</v>
      </c>
      <c r="R231" s="3" t="str">
        <f>IFERROR(MID(VLOOKUP($B231,Seqs!$A:$B,2,0),S231,1),"")</f>
        <v>L</v>
      </c>
      <c r="S231" s="3">
        <v>108</v>
      </c>
      <c r="T231" s="3" t="str">
        <f>IFERROR(MID(VLOOKUP($B231,Seqs!$A:$B,2,0),U231,1),"")</f>
        <v>G</v>
      </c>
      <c r="U231" s="3">
        <v>109</v>
      </c>
      <c r="V231" s="3" t="str">
        <f>IFERROR(MID(VLOOKUP($B231,Seqs!$A:$B,2,0),W231,1),"")</f>
        <v>H</v>
      </c>
      <c r="W231" s="3">
        <v>144</v>
      </c>
      <c r="X231" s="3" t="str">
        <f>IFERROR(MID(VLOOKUP($B231,Seqs!$A:$B,2,0),Y231,1),"")</f>
        <v>S</v>
      </c>
      <c r="Y231" s="3">
        <v>145</v>
      </c>
      <c r="Z231" s="3" t="str">
        <f>IFERROR(MID(VLOOKUP($B231,Seqs!$A:$B,2,0),AA231,1),"")</f>
        <v>Y</v>
      </c>
      <c r="AA231" s="3">
        <v>152</v>
      </c>
      <c r="AB231" s="3" t="str">
        <f>IFERROR(MID(VLOOKUP($B231,Seqs!$A:$B,2,0),AC231,1),"")</f>
        <v>R</v>
      </c>
      <c r="AC231" s="3">
        <v>153</v>
      </c>
      <c r="AD231" s="3" t="str">
        <f>IFERROR(MID(VLOOKUP($B231,Seqs!$A:$B,2,0),AE231,1),"")</f>
        <v>G</v>
      </c>
      <c r="AE231" s="3">
        <v>179</v>
      </c>
      <c r="AF231" s="3" t="str">
        <f>IFERROR(MID(VLOOKUP($B231,Seqs!$A:$B,2,0),AG231,1),"")</f>
        <v>C</v>
      </c>
      <c r="AG231" s="3">
        <v>190</v>
      </c>
      <c r="AH231" s="3" t="str">
        <f>IFERROR(MID(VLOOKUP($B231,Seqs!$A:$B,2,0),AI231,1),"")</f>
        <v>F</v>
      </c>
      <c r="AI231" s="3">
        <v>192</v>
      </c>
      <c r="AJ231" s="3" t="str">
        <f>IFERROR(MID(VLOOKUP($B231,Seqs!$A:$B,2,0),AK231,1),"")</f>
        <v>S</v>
      </c>
      <c r="AK231" s="3">
        <v>197</v>
      </c>
      <c r="AL231" s="3" t="str">
        <f>IFERROR(MID(VLOOKUP($B231,Seqs!$A:$B,2,0),AM231,1),"")</f>
        <v>A</v>
      </c>
      <c r="AM231" s="3">
        <v>234</v>
      </c>
      <c r="AN231" s="3" t="str">
        <f>IFERROR(MID(VLOOKUP($B231,Seqs!$A:$B,2,0),AO231,1),"")</f>
        <v>L</v>
      </c>
      <c r="AO231" s="3">
        <v>240</v>
      </c>
      <c r="AP231" s="3" t="str">
        <f>IFERROR(MID(VLOOKUP($B231,Seqs!$A:$B,2,0),AQ231,1),"")</f>
        <v>N</v>
      </c>
      <c r="AQ231" s="3">
        <v>277</v>
      </c>
      <c r="AR231" s="3" t="str">
        <f>IFERROR(MID(VLOOKUP($B231,Seqs!$A:$B,2,0),AS231,1),"")</f>
        <v>P</v>
      </c>
      <c r="AS231" s="3">
        <v>286</v>
      </c>
      <c r="AT231" s="3" t="str">
        <f>IFERROR(MID(VLOOKUP($B231,Seqs!$A:$B,2,0),AU231,1),"")</f>
        <v>L</v>
      </c>
      <c r="AU231" s="3">
        <v>311</v>
      </c>
      <c r="AV231" s="3" t="str">
        <f>IFERROR(MID(VLOOKUP($B231,Seqs!$A:$B,2,0),AW231,1),"")</f>
        <v>N</v>
      </c>
      <c r="AW231" s="3">
        <v>312</v>
      </c>
      <c r="AX231" s="3" t="str">
        <f>IFERROR(MID(VLOOKUP($B231,Seqs!$A:$B,2,0),AY231,1),"")</f>
        <v>N</v>
      </c>
      <c r="AY231" s="3">
        <v>328</v>
      </c>
      <c r="AZ231" s="77" t="str">
        <f>VLOOKUP(B231,Classification!A:D,2,0)</f>
        <v>A</v>
      </c>
      <c r="BA231" s="94" t="str">
        <f>VLOOKUP(B231,Classification!A:D,4,0)</f>
        <v>Melatonin</v>
      </c>
      <c r="BB231" s="27" t="b">
        <f t="shared" ref="BB231:BB232" si="1538">AND(E231&lt;G231,OR(G231&lt;I231,I231="-"),OR(I231&lt;K231,I231="-"),OR(K231&lt;M231,K231="-"),M231&lt;O231,OR(O231&lt;Q231,Q231="-"),OR(Q231&lt;S231,Q231="-"),OR(S231&lt;U231,S231="-"),U231&lt;W231,OR(W231&lt;Y231,Y231="-"),OR(Y231&lt;AA231,Y231="-"),OR(AA231&lt;AC231,AA231="-"),AC231&lt;AE231,OR(AE231&lt;AG231,AG231="-"),OR(AG231&lt;AI231,AG231="-"),OR(AI231&lt;AK231,AI231="-"),AK231&lt;AM231,AM231&lt;AO231,AO231&lt;AQ231,AQ231&lt;AS231,AS231&lt;AU231,OR(AU231&lt;AW231,AW231="-"),OR(AW231&lt;AY231,AW231="-"))</f>
        <v>1</v>
      </c>
      <c r="BC231" s="23">
        <f t="shared" ref="BC231:BC232" si="1539">_xlfn.AGGREGATE(9,6,CH231:CS231)-_xlfn.AGGREGATE(9,6,BV231:CG231)+12</f>
        <v>264</v>
      </c>
      <c r="BD231" s="5" t="s">
        <v>23</v>
      </c>
      <c r="BE231" s="3" t="s">
        <v>23</v>
      </c>
      <c r="BF231" s="118" t="s">
        <v>23</v>
      </c>
      <c r="BI231" s="1"/>
      <c r="BJ231" s="70" t="s">
        <v>1287</v>
      </c>
      <c r="BK231" s="57" t="s">
        <v>1287</v>
      </c>
      <c r="BL231" s="57" t="s">
        <v>1287</v>
      </c>
      <c r="BM231" s="57" t="s">
        <v>1287</v>
      </c>
      <c r="BN231" s="57" t="s">
        <v>1287</v>
      </c>
      <c r="BO231" s="57" t="s">
        <v>1287</v>
      </c>
      <c r="BP231" s="57" t="s">
        <v>1287</v>
      </c>
      <c r="BQ231" s="57" t="s">
        <v>1287</v>
      </c>
      <c r="BR231" s="57" t="s">
        <v>1287</v>
      </c>
      <c r="BS231" s="57" t="s">
        <v>1287</v>
      </c>
      <c r="BT231" s="57" t="s">
        <v>1287</v>
      </c>
      <c r="BU231" s="57" t="s">
        <v>1287</v>
      </c>
      <c r="BV231" s="70">
        <f t="shared" ref="BV231:BV232" si="1540">E231</f>
        <v>38</v>
      </c>
      <c r="BW231" s="71">
        <f t="shared" ref="BW231:BW232" si="1541">I231</f>
        <v>69</v>
      </c>
      <c r="BX231" s="72">
        <f t="shared" ref="BX231:BX232" si="1542">M231</f>
        <v>73</v>
      </c>
      <c r="BY231" s="71">
        <f t="shared" ref="BY231:BY232" si="1543">Q231</f>
        <v>105</v>
      </c>
      <c r="BZ231" s="72">
        <f t="shared" ref="BZ231:BZ232" si="1544">U231</f>
        <v>109</v>
      </c>
      <c r="CA231" s="71">
        <f t="shared" ref="CA231:CA232" si="1545">Y231</f>
        <v>145</v>
      </c>
      <c r="CB231" s="72">
        <f t="shared" ref="CB231:CB232" si="1546">AC231</f>
        <v>153</v>
      </c>
      <c r="CC231" s="71">
        <f t="shared" ref="CC231:CC232" si="1547">AG231</f>
        <v>190</v>
      </c>
      <c r="CD231" s="72">
        <f t="shared" ref="CD231:CD232" si="1548">AK231</f>
        <v>197</v>
      </c>
      <c r="CE231" s="71">
        <f t="shared" ref="CE231:CE232" si="1549">AO231</f>
        <v>240</v>
      </c>
      <c r="CF231" s="72">
        <f t="shared" ref="CF231:CF232" si="1550">AS231</f>
        <v>286</v>
      </c>
      <c r="CG231" s="71">
        <f t="shared" ref="CG231:CG232" si="1551">AW231</f>
        <v>312</v>
      </c>
      <c r="CH231" s="70">
        <f t="shared" ref="CH231:CH232" si="1552">G231</f>
        <v>68</v>
      </c>
      <c r="CI231" s="71">
        <f t="shared" ref="CI231:CI232" si="1553">K231</f>
        <v>72</v>
      </c>
      <c r="CJ231" s="72">
        <f t="shared" ref="CJ231:CJ232" si="1554">O231</f>
        <v>104</v>
      </c>
      <c r="CK231" s="72">
        <f t="shared" ref="CK231:CK232" si="1555">S231</f>
        <v>108</v>
      </c>
      <c r="CL231" s="72">
        <f t="shared" ref="CL231:CL232" si="1556">W231</f>
        <v>144</v>
      </c>
      <c r="CM231" s="72">
        <f t="shared" ref="CM231:CM232" si="1557">AA231</f>
        <v>152</v>
      </c>
      <c r="CN231" s="72">
        <f t="shared" ref="CN231:CN232" si="1558">AE231</f>
        <v>179</v>
      </c>
      <c r="CO231" s="72">
        <f t="shared" ref="CO231:CO232" si="1559">AI231</f>
        <v>192</v>
      </c>
      <c r="CP231" s="72">
        <f t="shared" ref="CP231:CP232" si="1560">AM231</f>
        <v>234</v>
      </c>
      <c r="CQ231" s="72">
        <f t="shared" ref="CQ231:CQ232" si="1561">AQ231</f>
        <v>277</v>
      </c>
      <c r="CR231" s="72">
        <f t="shared" ref="CR231:CR232" si="1562">AU231</f>
        <v>311</v>
      </c>
      <c r="CS231" s="72">
        <f t="shared" ref="CS231:CS232" si="1563">AY231</f>
        <v>328</v>
      </c>
      <c r="CT231" s="23">
        <f t="shared" ref="CT231:CT232" si="1564"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 t="shared" si="1537"/>
        <v>mtr1b_human_6ME6</v>
      </c>
      <c r="B232" s="3" t="s">
        <v>312</v>
      </c>
      <c r="C232" s="3" t="s">
        <v>1568</v>
      </c>
      <c r="D232" s="3" t="str">
        <f>IFERROR(MID(VLOOKUP($B232,Seqs!$A:$B,2,0),E232,1),"")</f>
        <v>W</v>
      </c>
      <c r="E232" s="3">
        <v>38</v>
      </c>
      <c r="F232" s="3" t="str">
        <f>IFERROR(MID(VLOOKUP($B232,Seqs!$A:$B,2,0),G232,1),"")</f>
        <v>R</v>
      </c>
      <c r="G232" s="3">
        <v>67</v>
      </c>
      <c r="H232" s="3" t="str">
        <f>IFERROR(MID(VLOOKUP($B232,Seqs!$A:$B,2,0),I232,1),"")</f>
        <v>R</v>
      </c>
      <c r="I232" s="23">
        <v>69</v>
      </c>
      <c r="J232" s="3" t="str">
        <f>IFERROR(MID(VLOOKUP($B232,Seqs!$A:$B,2,0),K232,1),"")</f>
        <v>R</v>
      </c>
      <c r="K232" s="23">
        <v>72</v>
      </c>
      <c r="L232" s="3" t="str">
        <f>IFERROR(MID(VLOOKUP($B232,Seqs!$A:$B,2,0),M232,1),"")</f>
        <v>N</v>
      </c>
      <c r="M232" s="3">
        <v>73</v>
      </c>
      <c r="N232" s="3" t="str">
        <f>IFERROR(MID(VLOOKUP($B232,Seqs!$A:$B,2,0),O232,1),"")</f>
        <v>D</v>
      </c>
      <c r="O232" s="3">
        <v>104</v>
      </c>
      <c r="P232" s="3" t="str">
        <f>IFERROR(MID(VLOOKUP($B232,Seqs!$A:$B,2,0),Q232,1),"")</f>
        <v>G</v>
      </c>
      <c r="Q232" s="3">
        <v>105</v>
      </c>
      <c r="R232" s="3" t="str">
        <f>IFERROR(MID(VLOOKUP($B232,Seqs!$A:$B,2,0),S232,1),"")</f>
        <v>L</v>
      </c>
      <c r="S232" s="3">
        <v>108</v>
      </c>
      <c r="T232" s="3" t="str">
        <f>IFERROR(MID(VLOOKUP($B232,Seqs!$A:$B,2,0),U232,1),"")</f>
        <v>E</v>
      </c>
      <c r="U232" s="3">
        <v>110</v>
      </c>
      <c r="V232" s="3" t="str">
        <f>IFERROR(MID(VLOOKUP($B232,Seqs!$A:$B,2,0),W232,1),"")</f>
        <v>H</v>
      </c>
      <c r="W232" s="3">
        <v>144</v>
      </c>
      <c r="X232" s="3" t="str">
        <f>IFERROR(MID(VLOOKUP($B232,Seqs!$A:$B,2,0),Y232,1),"")</f>
        <v>S</v>
      </c>
      <c r="Y232" s="3">
        <v>145</v>
      </c>
      <c r="Z232" s="3" t="str">
        <f>IFERROR(MID(VLOOKUP($B232,Seqs!$A:$B,2,0),AA232,1),"")</f>
        <v>Y</v>
      </c>
      <c r="AA232" s="3">
        <v>152</v>
      </c>
      <c r="AB232" s="3" t="str">
        <f>IFERROR(MID(VLOOKUP($B232,Seqs!$A:$B,2,0),AC232,1),"")</f>
        <v>R</v>
      </c>
      <c r="AC232" s="3">
        <v>153</v>
      </c>
      <c r="AD232" s="3" t="str">
        <f>IFERROR(MID(VLOOKUP($B232,Seqs!$A:$B,2,0),AE232,1),"")</f>
        <v>V</v>
      </c>
      <c r="AE232" s="3">
        <v>178</v>
      </c>
      <c r="AF232" s="3" t="str">
        <f>IFERROR(MID(VLOOKUP($B232,Seqs!$A:$B,2,0),AG232,1),"")</f>
        <v>C</v>
      </c>
      <c r="AG232" s="3">
        <v>190</v>
      </c>
      <c r="AH232" s="3" t="str">
        <f>IFERROR(MID(VLOOKUP($B232,Seqs!$A:$B,2,0),AI232,1),"")</f>
        <v>F</v>
      </c>
      <c r="AI232" s="3">
        <v>192</v>
      </c>
      <c r="AJ232" s="3" t="str">
        <f>IFERROR(MID(VLOOKUP($B232,Seqs!$A:$B,2,0),AK232,1),"")</f>
        <v>S</v>
      </c>
      <c r="AK232" s="3">
        <v>197</v>
      </c>
      <c r="AL232" s="3" t="str">
        <f>IFERROR(MID(VLOOKUP($B232,Seqs!$A:$B,2,0),AM232,1),"")</f>
        <v>R</v>
      </c>
      <c r="AM232" s="3">
        <v>231</v>
      </c>
      <c r="AN232" s="3" t="str">
        <f>IFERROR(MID(VLOOKUP($B232,Seqs!$A:$B,2,0),AO232,1),"")</f>
        <v>F</v>
      </c>
      <c r="AO232" s="3">
        <v>250</v>
      </c>
      <c r="AP232" s="3" t="str">
        <f>IFERROR(MID(VLOOKUP($B232,Seqs!$A:$B,2,0),AQ232,1),"")</f>
        <v>N</v>
      </c>
      <c r="AQ232" s="3">
        <v>277</v>
      </c>
      <c r="AR232" s="3" t="str">
        <f>IFERROR(MID(VLOOKUP($B232,Seqs!$A:$B,2,0),AS232,1),"")</f>
        <v>P</v>
      </c>
      <c r="AS232" s="3">
        <v>286</v>
      </c>
      <c r="AT232" s="3" t="str">
        <f>IFERROR(MID(VLOOKUP($B232,Seqs!$A:$B,2,0),AU232,1),"")</f>
        <v>L</v>
      </c>
      <c r="AU232" s="3">
        <v>311</v>
      </c>
      <c r="AV232" s="3" t="str">
        <f>IFERROR(MID(VLOOKUP($B232,Seqs!$A:$B,2,0),AW232,1),"")</f>
        <v>N</v>
      </c>
      <c r="AW232" s="3">
        <v>312</v>
      </c>
      <c r="AX232" s="3" t="str">
        <f>IFERROR(MID(VLOOKUP($B232,Seqs!$A:$B,2,0),AY232,1),"")</f>
        <v>N</v>
      </c>
      <c r="AY232" s="3">
        <v>328</v>
      </c>
      <c r="AZ232" s="77" t="str">
        <f>VLOOKUP(B232,Classification!A:D,2,0)</f>
        <v>A</v>
      </c>
      <c r="BA232" s="94" t="str">
        <f>VLOOKUP(B232,Classification!A:D,4,0)</f>
        <v>Melatonin</v>
      </c>
      <c r="BB232" s="27" t="b">
        <f t="shared" si="1538"/>
        <v>1</v>
      </c>
      <c r="BC232" s="23">
        <f t="shared" si="1539"/>
        <v>248</v>
      </c>
      <c r="BD232" s="5" t="s">
        <v>23</v>
      </c>
      <c r="BE232" s="3" t="s">
        <v>1374</v>
      </c>
      <c r="BF232" s="118">
        <v>2.8</v>
      </c>
      <c r="BG232" s="49" t="s">
        <v>1281</v>
      </c>
      <c r="BH232" s="49" t="s">
        <v>1281</v>
      </c>
      <c r="BI232" s="1"/>
      <c r="BJ232" s="70" t="s">
        <v>1287</v>
      </c>
      <c r="BK232" s="57" t="s">
        <v>1287</v>
      </c>
      <c r="BL232" s="57" t="s">
        <v>1287</v>
      </c>
      <c r="BM232" s="57" t="s">
        <v>1287</v>
      </c>
      <c r="BN232" s="57" t="s">
        <v>1287</v>
      </c>
      <c r="BO232" s="57" t="s">
        <v>1287</v>
      </c>
      <c r="BP232" s="57" t="s">
        <v>1287</v>
      </c>
      <c r="BQ232" s="57" t="s">
        <v>1287</v>
      </c>
      <c r="BR232" s="57" t="s">
        <v>1287</v>
      </c>
      <c r="BS232" s="57" t="s">
        <v>1287</v>
      </c>
      <c r="BT232" s="57" t="s">
        <v>1287</v>
      </c>
      <c r="BU232" s="57" t="s">
        <v>1287</v>
      </c>
      <c r="BV232" s="70">
        <f t="shared" si="1540"/>
        <v>38</v>
      </c>
      <c r="BW232" s="71">
        <f t="shared" si="1541"/>
        <v>69</v>
      </c>
      <c r="BX232" s="72">
        <f t="shared" si="1542"/>
        <v>73</v>
      </c>
      <c r="BY232" s="71">
        <f t="shared" si="1543"/>
        <v>105</v>
      </c>
      <c r="BZ232" s="72">
        <f t="shared" si="1544"/>
        <v>110</v>
      </c>
      <c r="CA232" s="71">
        <f t="shared" si="1545"/>
        <v>145</v>
      </c>
      <c r="CB232" s="72">
        <f t="shared" si="1546"/>
        <v>153</v>
      </c>
      <c r="CC232" s="71">
        <f t="shared" si="1547"/>
        <v>190</v>
      </c>
      <c r="CD232" s="72">
        <f t="shared" si="1548"/>
        <v>197</v>
      </c>
      <c r="CE232" s="71">
        <f t="shared" si="1549"/>
        <v>250</v>
      </c>
      <c r="CF232" s="72">
        <f t="shared" si="1550"/>
        <v>286</v>
      </c>
      <c r="CG232" s="71">
        <f t="shared" si="1551"/>
        <v>312</v>
      </c>
      <c r="CH232" s="70">
        <f t="shared" si="1552"/>
        <v>67</v>
      </c>
      <c r="CI232" s="71">
        <f t="shared" si="1553"/>
        <v>72</v>
      </c>
      <c r="CJ232" s="72">
        <f t="shared" si="1554"/>
        <v>104</v>
      </c>
      <c r="CK232" s="72">
        <f t="shared" si="1555"/>
        <v>108</v>
      </c>
      <c r="CL232" s="72">
        <f t="shared" si="1556"/>
        <v>144</v>
      </c>
      <c r="CM232" s="72">
        <f t="shared" si="1557"/>
        <v>152</v>
      </c>
      <c r="CN232" s="72">
        <f t="shared" si="1558"/>
        <v>178</v>
      </c>
      <c r="CO232" s="72">
        <f t="shared" si="1559"/>
        <v>192</v>
      </c>
      <c r="CP232" s="72">
        <f t="shared" si="1560"/>
        <v>231</v>
      </c>
      <c r="CQ232" s="72">
        <f t="shared" si="1561"/>
        <v>277</v>
      </c>
      <c r="CR232" s="72">
        <f t="shared" si="1562"/>
        <v>311</v>
      </c>
      <c r="CS232" s="72">
        <f t="shared" si="1563"/>
        <v>328</v>
      </c>
      <c r="CT232" s="23">
        <f t="shared" si="1564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ref="A233" si="1565">CONCATENATE(B233,"_",C233)</f>
        <v>mtr1b_human_6ME7</v>
      </c>
      <c r="B233" s="3" t="s">
        <v>312</v>
      </c>
      <c r="C233" s="3" t="s">
        <v>1569</v>
      </c>
      <c r="D233" s="3" t="str">
        <f>IFERROR(MID(VLOOKUP($B233,Seqs!$A:$B,2,0),E233,1),"")</f>
        <v>W</v>
      </c>
      <c r="E233" s="3">
        <v>38</v>
      </c>
      <c r="F233" s="3" t="str">
        <f>IFERROR(MID(VLOOKUP($B233,Seqs!$A:$B,2,0),G233,1),"")</f>
        <v>N</v>
      </c>
      <c r="G233" s="3">
        <v>68</v>
      </c>
      <c r="H233" s="3" t="str">
        <f>IFERROR(MID(VLOOKUP($B233,Seqs!$A:$B,2,0),I233,1),"")</f>
        <v>R</v>
      </c>
      <c r="I233" s="23">
        <v>69</v>
      </c>
      <c r="J233" s="3" t="str">
        <f>IFERROR(MID(VLOOKUP($B233,Seqs!$A:$B,2,0),K233,1),"")</f>
        <v>R</v>
      </c>
      <c r="K233" s="23">
        <v>72</v>
      </c>
      <c r="L233" s="3" t="str">
        <f>IFERROR(MID(VLOOKUP($B233,Seqs!$A:$B,2,0),M233,1),"")</f>
        <v>G</v>
      </c>
      <c r="M233" s="3">
        <v>75</v>
      </c>
      <c r="N233" s="3" t="str">
        <f>IFERROR(MID(VLOOKUP($B233,Seqs!$A:$B,2,0),O233,1),"")</f>
        <v>D</v>
      </c>
      <c r="O233" s="3">
        <v>104</v>
      </c>
      <c r="P233" s="3" t="str">
        <f>IFERROR(MID(VLOOKUP($B233,Seqs!$A:$B,2,0),Q233,1),"")</f>
        <v>G</v>
      </c>
      <c r="Q233" s="3">
        <v>105</v>
      </c>
      <c r="R233" s="3" t="str">
        <f>IFERROR(MID(VLOOKUP($B233,Seqs!$A:$B,2,0),S233,1),"")</f>
        <v>L</v>
      </c>
      <c r="S233" s="3">
        <v>108</v>
      </c>
      <c r="T233" s="3" t="str">
        <f>IFERROR(MID(VLOOKUP($B233,Seqs!$A:$B,2,0),U233,1),"")</f>
        <v>G</v>
      </c>
      <c r="U233" s="3">
        <v>109</v>
      </c>
      <c r="V233" s="3" t="str">
        <f>IFERROR(MID(VLOOKUP($B233,Seqs!$A:$B,2,0),W233,1),"")</f>
        <v>H</v>
      </c>
      <c r="W233" s="3">
        <v>144</v>
      </c>
      <c r="X233" s="3" t="str">
        <f>IFERROR(MID(VLOOKUP($B233,Seqs!$A:$B,2,0),Y233,1),"")</f>
        <v>S</v>
      </c>
      <c r="Y233" s="3">
        <v>145</v>
      </c>
      <c r="Z233" s="3" t="str">
        <f>IFERROR(MID(VLOOKUP($B233,Seqs!$A:$B,2,0),AA233,1),"")</f>
        <v>Y</v>
      </c>
      <c r="AA233" s="3">
        <v>152</v>
      </c>
      <c r="AB233" s="3" t="str">
        <f>IFERROR(MID(VLOOKUP($B233,Seqs!$A:$B,2,0),AC233,1),"")</f>
        <v>R</v>
      </c>
      <c r="AC233" s="3">
        <v>153</v>
      </c>
      <c r="AD233" s="3" t="str">
        <f>IFERROR(MID(VLOOKUP($B233,Seqs!$A:$B,2,0),AE233,1),"")</f>
        <v>G</v>
      </c>
      <c r="AE233" s="3">
        <v>179</v>
      </c>
      <c r="AF233" s="3" t="str">
        <f>IFERROR(MID(VLOOKUP($B233,Seqs!$A:$B,2,0),AG233,1),"")</f>
        <v>C</v>
      </c>
      <c r="AG233" s="3">
        <v>190</v>
      </c>
      <c r="AH233" s="3" t="str">
        <f>IFERROR(MID(VLOOKUP($B233,Seqs!$A:$B,2,0),AI233,1),"")</f>
        <v>F</v>
      </c>
      <c r="AI233" s="3">
        <v>192</v>
      </c>
      <c r="AJ233" s="3" t="str">
        <f>IFERROR(MID(VLOOKUP($B233,Seqs!$A:$B,2,0),AK233,1),"")</f>
        <v>S</v>
      </c>
      <c r="AK233" s="3">
        <v>197</v>
      </c>
      <c r="AL233" s="3" t="str">
        <f>IFERROR(MID(VLOOKUP($B233,Seqs!$A:$B,2,0),AM233,1),"")</f>
        <v>A</v>
      </c>
      <c r="AM233" s="3">
        <v>230</v>
      </c>
      <c r="AN233" s="3" t="str">
        <f>IFERROR(MID(VLOOKUP($B233,Seqs!$A:$B,2,0),AO233,1),"")</f>
        <v>S</v>
      </c>
      <c r="AO233" s="3">
        <v>249</v>
      </c>
      <c r="AP233" s="3" t="str">
        <f>IFERROR(MID(VLOOKUP($B233,Seqs!$A:$B,2,0),AQ233,1),"")</f>
        <v>N</v>
      </c>
      <c r="AQ233" s="3">
        <v>277</v>
      </c>
      <c r="AR233" s="3" t="str">
        <f>IFERROR(MID(VLOOKUP($B233,Seqs!$A:$B,2,0),AS233,1),"")</f>
        <v>P</v>
      </c>
      <c r="AS233" s="3">
        <v>286</v>
      </c>
      <c r="AT233" s="3" t="str">
        <f>IFERROR(MID(VLOOKUP($B233,Seqs!$A:$B,2,0),AU233,1),"")</f>
        <v>L</v>
      </c>
      <c r="AU233" s="3">
        <v>311</v>
      </c>
      <c r="AV233" s="3" t="str">
        <f>IFERROR(MID(VLOOKUP($B233,Seqs!$A:$B,2,0),AW233,1),"")</f>
        <v>N</v>
      </c>
      <c r="AW233" s="3">
        <v>312</v>
      </c>
      <c r="AX233" s="3" t="str">
        <f>IFERROR(MID(VLOOKUP($B233,Seqs!$A:$B,2,0),AY233,1),"")</f>
        <v>N</v>
      </c>
      <c r="AY233" s="3">
        <v>328</v>
      </c>
      <c r="AZ233" s="77" t="str">
        <f>VLOOKUP(B233,Classification!A:D,2,0)</f>
        <v>A</v>
      </c>
      <c r="BA233" s="94" t="str">
        <f>VLOOKUP(B233,Classification!A:D,4,0)</f>
        <v>Melatonin</v>
      </c>
      <c r="BB233" s="27" t="b">
        <f t="shared" ref="BB233" si="1566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ref="BC233" si="1567">_xlfn.AGGREGATE(9,6,CH233:CS233)-_xlfn.AGGREGATE(9,6,BV233:CG233)+12</f>
        <v>249</v>
      </c>
      <c r="BD233" s="5" t="s">
        <v>1376</v>
      </c>
      <c r="BE233" s="3" t="s">
        <v>1374</v>
      </c>
      <c r="BF233" s="118">
        <v>3.2</v>
      </c>
      <c r="BG233" s="49" t="s">
        <v>1</v>
      </c>
      <c r="BH233" s="49" t="s">
        <v>1</v>
      </c>
      <c r="BI233" s="1"/>
      <c r="BJ233" s="70" t="s">
        <v>1287</v>
      </c>
      <c r="BK233" s="57" t="s">
        <v>1287</v>
      </c>
      <c r="BL233" s="57" t="s">
        <v>1287</v>
      </c>
      <c r="BM233" s="57" t="s">
        <v>1287</v>
      </c>
      <c r="BN233" s="57" t="s">
        <v>1287</v>
      </c>
      <c r="BO233" s="57" t="s">
        <v>1287</v>
      </c>
      <c r="BP233" s="57" t="s">
        <v>1287</v>
      </c>
      <c r="BQ233" s="57" t="s">
        <v>1287</v>
      </c>
      <c r="BR233" s="57" t="s">
        <v>1287</v>
      </c>
      <c r="BS233" s="57" t="s">
        <v>1287</v>
      </c>
      <c r="BT233" s="57" t="s">
        <v>1287</v>
      </c>
      <c r="BU233" s="57" t="s">
        <v>1287</v>
      </c>
      <c r="BV233" s="70">
        <f t="shared" ref="BV233" si="1568">E233</f>
        <v>38</v>
      </c>
      <c r="BW233" s="71">
        <f t="shared" ref="BW233" si="1569">I233</f>
        <v>69</v>
      </c>
      <c r="BX233" s="72">
        <f t="shared" ref="BX233" si="1570">M233</f>
        <v>75</v>
      </c>
      <c r="BY233" s="71">
        <f t="shared" ref="BY233" si="1571">Q233</f>
        <v>105</v>
      </c>
      <c r="BZ233" s="72">
        <f t="shared" ref="BZ233" si="1572">U233</f>
        <v>109</v>
      </c>
      <c r="CA233" s="71">
        <f t="shared" ref="CA233" si="1573">Y233</f>
        <v>145</v>
      </c>
      <c r="CB233" s="72">
        <f t="shared" ref="CB233" si="1574">AC233</f>
        <v>153</v>
      </c>
      <c r="CC233" s="71">
        <f t="shared" ref="CC233" si="1575">AG233</f>
        <v>190</v>
      </c>
      <c r="CD233" s="72">
        <f t="shared" ref="CD233" si="1576">AK233</f>
        <v>197</v>
      </c>
      <c r="CE233" s="71">
        <f t="shared" ref="CE233" si="1577">AO233</f>
        <v>249</v>
      </c>
      <c r="CF233" s="72">
        <f t="shared" ref="CF233" si="1578">AS233</f>
        <v>286</v>
      </c>
      <c r="CG233" s="71">
        <f t="shared" ref="CG233" si="1579">AW233</f>
        <v>312</v>
      </c>
      <c r="CH233" s="70">
        <f t="shared" ref="CH233" si="1580">G233</f>
        <v>68</v>
      </c>
      <c r="CI233" s="71">
        <f t="shared" ref="CI233" si="1581">K233</f>
        <v>72</v>
      </c>
      <c r="CJ233" s="72">
        <f t="shared" ref="CJ233" si="1582">O233</f>
        <v>104</v>
      </c>
      <c r="CK233" s="72">
        <f t="shared" ref="CK233" si="1583">S233</f>
        <v>108</v>
      </c>
      <c r="CL233" s="72">
        <f t="shared" ref="CL233" si="1584">W233</f>
        <v>144</v>
      </c>
      <c r="CM233" s="72">
        <f t="shared" ref="CM233" si="1585">AA233</f>
        <v>152</v>
      </c>
      <c r="CN233" s="72">
        <f t="shared" ref="CN233" si="1586">AE233</f>
        <v>179</v>
      </c>
      <c r="CO233" s="72">
        <f t="shared" ref="CO233" si="1587">AI233</f>
        <v>192</v>
      </c>
      <c r="CP233" s="72">
        <f t="shared" ref="CP233" si="1588">AM233</f>
        <v>230</v>
      </c>
      <c r="CQ233" s="72">
        <f t="shared" ref="CQ233" si="1589">AQ233</f>
        <v>277</v>
      </c>
      <c r="CR233" s="72">
        <f t="shared" ref="CR233" si="1590">AU233</f>
        <v>311</v>
      </c>
      <c r="CS233" s="72">
        <f t="shared" ref="CS233" si="1591">AY233</f>
        <v>328</v>
      </c>
      <c r="CT233" s="23">
        <f t="shared" ref="CT233" si="1592">M233-K233</f>
        <v>3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x14ac:dyDescent="0.2">
      <c r="A234" s="3" t="str">
        <f t="shared" ref="A234" si="1593">CONCATENATE(B234,"_",C234)</f>
        <v>mtr1b_human_6ME8</v>
      </c>
      <c r="B234" s="3" t="s">
        <v>312</v>
      </c>
      <c r="C234" s="3" t="s">
        <v>1570</v>
      </c>
      <c r="D234" s="3" t="str">
        <f>IFERROR(MID(VLOOKUP($B234,Seqs!$A:$B,2,0),E234,1),"")</f>
        <v>W</v>
      </c>
      <c r="E234" s="3">
        <v>38</v>
      </c>
      <c r="F234" s="3" t="str">
        <f>IFERROR(MID(VLOOKUP($B234,Seqs!$A:$B,2,0),G234,1),"")</f>
        <v>R</v>
      </c>
      <c r="G234" s="3">
        <v>67</v>
      </c>
      <c r="H234" s="3" t="str">
        <f>IFERROR(MID(VLOOKUP($B234,Seqs!$A:$B,2,0),I234,1),"")</f>
        <v>R</v>
      </c>
      <c r="I234" s="23">
        <v>69</v>
      </c>
      <c r="J234" s="3" t="str">
        <f>IFERROR(MID(VLOOKUP($B234,Seqs!$A:$B,2,0),K234,1),"")</f>
        <v>R</v>
      </c>
      <c r="K234" s="23">
        <v>72</v>
      </c>
      <c r="L234" s="3" t="str">
        <f>IFERROR(MID(VLOOKUP($B234,Seqs!$A:$B,2,0),M234,1),"")</f>
        <v>N</v>
      </c>
      <c r="M234" s="3">
        <v>73</v>
      </c>
      <c r="N234" s="3" t="str">
        <f>IFERROR(MID(VLOOKUP($B234,Seqs!$A:$B,2,0),O234,1),"")</f>
        <v>D</v>
      </c>
      <c r="O234" s="3">
        <v>104</v>
      </c>
      <c r="P234" s="3" t="str">
        <f>IFERROR(MID(VLOOKUP($B234,Seqs!$A:$B,2,0),Q234,1),"")</f>
        <v>G</v>
      </c>
      <c r="Q234" s="3">
        <v>105</v>
      </c>
      <c r="R234" s="3" t="str">
        <f>IFERROR(MID(VLOOKUP($B234,Seqs!$A:$B,2,0),S234,1),"")</f>
        <v>L</v>
      </c>
      <c r="S234" s="3">
        <v>108</v>
      </c>
      <c r="T234" s="3" t="str">
        <f>IFERROR(MID(VLOOKUP($B234,Seqs!$A:$B,2,0),U234,1),"")</f>
        <v>G</v>
      </c>
      <c r="U234" s="3">
        <v>109</v>
      </c>
      <c r="V234" s="3" t="str">
        <f>IFERROR(MID(VLOOKUP($B234,Seqs!$A:$B,2,0),W234,1),"")</f>
        <v>C</v>
      </c>
      <c r="W234" s="3">
        <v>143</v>
      </c>
      <c r="X234" s="3" t="str">
        <f>IFERROR(MID(VLOOKUP($B234,Seqs!$A:$B,2,0),Y234,1),"")</f>
        <v>S</v>
      </c>
      <c r="Y234" s="3">
        <v>145</v>
      </c>
      <c r="Z234" s="3" t="str">
        <f>IFERROR(MID(VLOOKUP($B234,Seqs!$A:$B,2,0),AA234,1),"")</f>
        <v>Y</v>
      </c>
      <c r="AA234" s="3">
        <v>152</v>
      </c>
      <c r="AB234" s="3" t="str">
        <f>IFERROR(MID(VLOOKUP($B234,Seqs!$A:$B,2,0),AC234,1),"")</f>
        <v>H</v>
      </c>
      <c r="AC234" s="3">
        <v>156</v>
      </c>
      <c r="AD234" s="3" t="str">
        <f>IFERROR(MID(VLOOKUP($B234,Seqs!$A:$B,2,0),AE234,1),"")</f>
        <v>G</v>
      </c>
      <c r="AE234" s="3">
        <v>179</v>
      </c>
      <c r="AF234" s="3" t="str">
        <f>IFERROR(MID(VLOOKUP($B234,Seqs!$A:$B,2,0),AG234,1),"")</f>
        <v>C</v>
      </c>
      <c r="AG234" s="3">
        <v>190</v>
      </c>
      <c r="AH234" s="3" t="str">
        <f>IFERROR(MID(VLOOKUP($B234,Seqs!$A:$B,2,0),AI234,1),"")</f>
        <v>F</v>
      </c>
      <c r="AI234" s="3">
        <v>192</v>
      </c>
      <c r="AJ234" s="3" t="str">
        <f>IFERROR(MID(VLOOKUP($B234,Seqs!$A:$B,2,0),AK234,1),"")</f>
        <v>S</v>
      </c>
      <c r="AK234" s="3">
        <v>197</v>
      </c>
      <c r="AL234" s="3" t="str">
        <f>IFERROR(MID(VLOOKUP($B234,Seqs!$A:$B,2,0),AM234,1),"")</f>
        <v>A</v>
      </c>
      <c r="AM234" s="3">
        <v>230</v>
      </c>
      <c r="AN234" s="3" t="str">
        <f>IFERROR(MID(VLOOKUP($B234,Seqs!$A:$B,2,0),AO234,1),"")</f>
        <v>F</v>
      </c>
      <c r="AO234" s="3">
        <v>250</v>
      </c>
      <c r="AP234" s="3" t="str">
        <f>IFERROR(MID(VLOOKUP($B234,Seqs!$A:$B,2,0),AQ234,1),"")</f>
        <v>N</v>
      </c>
      <c r="AQ234" s="3">
        <v>277</v>
      </c>
      <c r="AR234" s="3" t="str">
        <f>IFERROR(MID(VLOOKUP($B234,Seqs!$A:$B,2,0),AS234,1),"")</f>
        <v>P</v>
      </c>
      <c r="AS234" s="3">
        <v>286</v>
      </c>
      <c r="AT234" s="3" t="str">
        <f>IFERROR(MID(VLOOKUP($B234,Seqs!$A:$B,2,0),AU234,1),"")</f>
        <v>L</v>
      </c>
      <c r="AU234" s="3">
        <v>311</v>
      </c>
      <c r="AV234" s="3" t="str">
        <f>IFERROR(MID(VLOOKUP($B234,Seqs!$A:$B,2,0),AW234,1),"")</f>
        <v>N</v>
      </c>
      <c r="AW234" s="3">
        <v>312</v>
      </c>
      <c r="AX234" s="3" t="str">
        <f>IFERROR(MID(VLOOKUP($B234,Seqs!$A:$B,2,0),AY234,1),"")</f>
        <v>N</v>
      </c>
      <c r="AY234" s="3">
        <v>328</v>
      </c>
      <c r="AZ234" s="77" t="str">
        <f>VLOOKUP(B234,Classification!A:D,2,0)</f>
        <v>A</v>
      </c>
      <c r="BA234" s="94" t="str">
        <f>VLOOKUP(B234,Classification!A:D,4,0)</f>
        <v>Melatonin</v>
      </c>
      <c r="BB234" s="27" t="b">
        <f t="shared" ref="BB234" si="1594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" si="1595">_xlfn.AGGREGATE(9,6,CH234:CS234)-_xlfn.AGGREGATE(9,6,BV234:CG234)+12</f>
        <v>245</v>
      </c>
      <c r="BD234" s="5" t="s">
        <v>23</v>
      </c>
      <c r="BE234" s="3" t="s">
        <v>1374</v>
      </c>
      <c r="BF234" s="118">
        <v>3.1</v>
      </c>
      <c r="BG234" s="49" t="s">
        <v>1281</v>
      </c>
      <c r="BH234" s="49" t="s">
        <v>1281</v>
      </c>
      <c r="BI234" s="1"/>
      <c r="BJ234" s="70" t="s">
        <v>1287</v>
      </c>
      <c r="BK234" s="57" t="s">
        <v>1287</v>
      </c>
      <c r="BL234" s="57" t="s">
        <v>1287</v>
      </c>
      <c r="BM234" s="57" t="s">
        <v>1287</v>
      </c>
      <c r="BN234" s="57" t="s">
        <v>1287</v>
      </c>
      <c r="BO234" s="57" t="s">
        <v>1287</v>
      </c>
      <c r="BP234" s="57" t="s">
        <v>1287</v>
      </c>
      <c r="BQ234" s="57" t="s">
        <v>1287</v>
      </c>
      <c r="BR234" s="57" t="s">
        <v>1287</v>
      </c>
      <c r="BS234" s="57" t="s">
        <v>1287</v>
      </c>
      <c r="BT234" s="57" t="s">
        <v>1287</v>
      </c>
      <c r="BU234" s="57" t="s">
        <v>1287</v>
      </c>
      <c r="BV234" s="70">
        <f t="shared" ref="BV234" si="1596">E234</f>
        <v>38</v>
      </c>
      <c r="BW234" s="71">
        <f t="shared" ref="BW234" si="1597">I234</f>
        <v>69</v>
      </c>
      <c r="BX234" s="72">
        <f t="shared" ref="BX234" si="1598">M234</f>
        <v>73</v>
      </c>
      <c r="BY234" s="71">
        <f t="shared" ref="BY234" si="1599">Q234</f>
        <v>105</v>
      </c>
      <c r="BZ234" s="72">
        <f t="shared" ref="BZ234" si="1600">U234</f>
        <v>109</v>
      </c>
      <c r="CA234" s="71">
        <f t="shared" ref="CA234" si="1601">Y234</f>
        <v>145</v>
      </c>
      <c r="CB234" s="72">
        <f t="shared" ref="CB234" si="1602">AC234</f>
        <v>156</v>
      </c>
      <c r="CC234" s="71">
        <f t="shared" ref="CC234" si="1603">AG234</f>
        <v>190</v>
      </c>
      <c r="CD234" s="72">
        <f t="shared" ref="CD234" si="1604">AK234</f>
        <v>197</v>
      </c>
      <c r="CE234" s="71">
        <f t="shared" ref="CE234" si="1605">AO234</f>
        <v>250</v>
      </c>
      <c r="CF234" s="72">
        <f t="shared" ref="CF234" si="1606">AS234</f>
        <v>286</v>
      </c>
      <c r="CG234" s="71">
        <f t="shared" ref="CG234" si="1607">AW234</f>
        <v>312</v>
      </c>
      <c r="CH234" s="70">
        <f t="shared" ref="CH234" si="1608">G234</f>
        <v>67</v>
      </c>
      <c r="CI234" s="71">
        <f t="shared" ref="CI234" si="1609">K234</f>
        <v>72</v>
      </c>
      <c r="CJ234" s="72">
        <f t="shared" ref="CJ234" si="1610">O234</f>
        <v>104</v>
      </c>
      <c r="CK234" s="72">
        <f t="shared" ref="CK234" si="1611">S234</f>
        <v>108</v>
      </c>
      <c r="CL234" s="72">
        <f t="shared" ref="CL234" si="1612">W234</f>
        <v>143</v>
      </c>
      <c r="CM234" s="72">
        <f t="shared" ref="CM234" si="1613">AA234</f>
        <v>152</v>
      </c>
      <c r="CN234" s="72">
        <f t="shared" ref="CN234" si="1614">AE234</f>
        <v>179</v>
      </c>
      <c r="CO234" s="72">
        <f t="shared" ref="CO234" si="1615">AI234</f>
        <v>192</v>
      </c>
      <c r="CP234" s="72">
        <f t="shared" ref="CP234" si="1616">AM234</f>
        <v>230</v>
      </c>
      <c r="CQ234" s="72">
        <f t="shared" ref="CQ234" si="1617">AQ234</f>
        <v>277</v>
      </c>
      <c r="CR234" s="72">
        <f t="shared" ref="CR234" si="1618">AU234</f>
        <v>311</v>
      </c>
      <c r="CS234" s="72">
        <f t="shared" ref="CS234" si="1619">AY234</f>
        <v>328</v>
      </c>
      <c r="CT234" s="23">
        <f t="shared" ref="CT234" si="1620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29" x14ac:dyDescent="0.2">
      <c r="A235" s="3" t="str">
        <f t="shared" ref="A235" si="1621">CONCATENATE(B235,"_",C235)</f>
        <v>mtr1b_human_6ME9</v>
      </c>
      <c r="B235" s="3" t="s">
        <v>312</v>
      </c>
      <c r="C235" s="3" t="s">
        <v>1571</v>
      </c>
      <c r="D235" s="3" t="str">
        <f>IFERROR(MID(VLOOKUP($B235,Seqs!$A:$B,2,0),E235,1),"")</f>
        <v>W</v>
      </c>
      <c r="E235" s="3">
        <v>38</v>
      </c>
      <c r="F235" s="3" t="str">
        <f>IFERROR(MID(VLOOKUP($B235,Seqs!$A:$B,2,0),G235,1),"")</f>
        <v>R</v>
      </c>
      <c r="G235" s="3">
        <v>67</v>
      </c>
      <c r="H235" s="3" t="str">
        <f>IFERROR(MID(VLOOKUP($B235,Seqs!$A:$B,2,0),I235,1),"")</f>
        <v>R</v>
      </c>
      <c r="I235" s="23">
        <v>69</v>
      </c>
      <c r="J235" s="3" t="str">
        <f>IFERROR(MID(VLOOKUP($B235,Seqs!$A:$B,2,0),K235,1),"")</f>
        <v>R</v>
      </c>
      <c r="K235" s="23">
        <v>72</v>
      </c>
      <c r="L235" s="3" t="str">
        <f>IFERROR(MID(VLOOKUP($B235,Seqs!$A:$B,2,0),M235,1),"")</f>
        <v>N</v>
      </c>
      <c r="M235" s="3">
        <v>73</v>
      </c>
      <c r="N235" s="3" t="str">
        <f>IFERROR(MID(VLOOKUP($B235,Seqs!$A:$B,2,0),O235,1),"")</f>
        <v>D</v>
      </c>
      <c r="O235" s="3">
        <v>104</v>
      </c>
      <c r="P235" s="3" t="str">
        <f>IFERROR(MID(VLOOKUP($B235,Seqs!$A:$B,2,0),Q235,1),"")</f>
        <v>G</v>
      </c>
      <c r="Q235" s="3">
        <v>105</v>
      </c>
      <c r="R235" s="3" t="str">
        <f>IFERROR(MID(VLOOKUP($B235,Seqs!$A:$B,2,0),S235,1),"")</f>
        <v>L</v>
      </c>
      <c r="S235" s="3">
        <v>108</v>
      </c>
      <c r="T235" s="3" t="str">
        <f>IFERROR(MID(VLOOKUP($B235,Seqs!$A:$B,2,0),U235,1),"")</f>
        <v>G</v>
      </c>
      <c r="U235" s="3">
        <v>109</v>
      </c>
      <c r="V235" s="3" t="str">
        <f>IFERROR(MID(VLOOKUP($B235,Seqs!$A:$B,2,0),W235,1),"")</f>
        <v>C</v>
      </c>
      <c r="W235" s="3">
        <v>143</v>
      </c>
      <c r="X235" s="3" t="str">
        <f>IFERROR(MID(VLOOKUP($B235,Seqs!$A:$B,2,0),Y235,1),"")</f>
        <v>S</v>
      </c>
      <c r="Y235" s="3">
        <v>145</v>
      </c>
      <c r="Z235" s="3" t="str">
        <f>IFERROR(MID(VLOOKUP($B235,Seqs!$A:$B,2,0),AA235,1),"")</f>
        <v>Y</v>
      </c>
      <c r="AA235" s="3">
        <v>152</v>
      </c>
      <c r="AB235" s="3" t="str">
        <f>IFERROR(MID(VLOOKUP($B235,Seqs!$A:$B,2,0),AC235,1),"")</f>
        <v>H</v>
      </c>
      <c r="AC235" s="3">
        <v>156</v>
      </c>
      <c r="AD235" s="3" t="str">
        <f>IFERROR(MID(VLOOKUP($B235,Seqs!$A:$B,2,0),AE235,1),"")</f>
        <v>G</v>
      </c>
      <c r="AE235" s="3">
        <v>179</v>
      </c>
      <c r="AF235" s="3" t="str">
        <f>IFERROR(MID(VLOOKUP($B235,Seqs!$A:$B,2,0),AG235,1),"")</f>
        <v>C</v>
      </c>
      <c r="AG235" s="3">
        <v>190</v>
      </c>
      <c r="AH235" s="3" t="str">
        <f>IFERROR(MID(VLOOKUP($B235,Seqs!$A:$B,2,0),AI235,1),"")</f>
        <v>F</v>
      </c>
      <c r="AI235" s="3">
        <v>192</v>
      </c>
      <c r="AJ235" s="3" t="str">
        <f>IFERROR(MID(VLOOKUP($B235,Seqs!$A:$B,2,0),AK235,1),"")</f>
        <v>S</v>
      </c>
      <c r="AK235" s="3">
        <v>197</v>
      </c>
      <c r="AL235" s="3" t="str">
        <f>IFERROR(MID(VLOOKUP($B235,Seqs!$A:$B,2,0),AM235,1),"")</f>
        <v>A</v>
      </c>
      <c r="AM235" s="3">
        <v>230</v>
      </c>
      <c r="AN235" s="3" t="str">
        <f>IFERROR(MID(VLOOKUP($B235,Seqs!$A:$B,2,0),AO235,1),"")</f>
        <v>F</v>
      </c>
      <c r="AO235" s="3">
        <v>250</v>
      </c>
      <c r="AP235" s="3" t="str">
        <f>IFERROR(MID(VLOOKUP($B235,Seqs!$A:$B,2,0),AQ235,1),"")</f>
        <v>N</v>
      </c>
      <c r="AQ235" s="3">
        <v>277</v>
      </c>
      <c r="AR235" s="3" t="str">
        <f>IFERROR(MID(VLOOKUP($B235,Seqs!$A:$B,2,0),AS235,1),"")</f>
        <v>P</v>
      </c>
      <c r="AS235" s="3">
        <v>286</v>
      </c>
      <c r="AT235" s="3" t="str">
        <f>IFERROR(MID(VLOOKUP($B235,Seqs!$A:$B,2,0),AU235,1),"")</f>
        <v>L</v>
      </c>
      <c r="AU235" s="3">
        <v>311</v>
      </c>
      <c r="AV235" s="3" t="str">
        <f>IFERROR(MID(VLOOKUP($B235,Seqs!$A:$B,2,0),AW235,1),"")</f>
        <v>N</v>
      </c>
      <c r="AW235" s="3">
        <v>312</v>
      </c>
      <c r="AX235" s="3" t="str">
        <f>IFERROR(MID(VLOOKUP($B235,Seqs!$A:$B,2,0),AY235,1),"")</f>
        <v>N</v>
      </c>
      <c r="AY235" s="3">
        <v>328</v>
      </c>
      <c r="AZ235" s="77" t="str">
        <f>VLOOKUP(B235,Classification!A:D,2,0)</f>
        <v>A</v>
      </c>
      <c r="BA235" s="94" t="str">
        <f>VLOOKUP(B235,Classification!A:D,4,0)</f>
        <v>Melatonin</v>
      </c>
      <c r="BB235" s="27" t="b">
        <f t="shared" ref="BB235" si="1622">AND(E235&lt;G235,OR(G235&lt;I235,I235="-"),OR(I235&lt;K235,I235="-"),OR(K235&lt;M235,K235="-"),M235&lt;O235,OR(O235&lt;Q235,Q235="-"),OR(Q235&lt;S235,Q235="-"),OR(S235&lt;U235,S235="-"),U235&lt;W235,OR(W235&lt;Y235,Y235="-"),OR(Y235&lt;AA235,Y235="-"),OR(AA235&lt;AC235,AA235="-"),AC235&lt;AE235,OR(AE235&lt;AG235,AG235="-"),OR(AG235&lt;AI235,AG235="-"),OR(AI235&lt;AK235,AI235="-"),AK235&lt;AM235,AM235&lt;AO235,AO235&lt;AQ235,AQ235&lt;AS235,AS235&lt;AU235,OR(AU235&lt;AW235,AW235="-"),OR(AW235&lt;AY235,AW235="-"))</f>
        <v>1</v>
      </c>
      <c r="BC235" s="23">
        <f t="shared" ref="BC235" si="1623">_xlfn.AGGREGATE(9,6,CH235:CS235)-_xlfn.AGGREGATE(9,6,BV235:CG235)+12</f>
        <v>245</v>
      </c>
      <c r="BD235" s="5" t="s">
        <v>23</v>
      </c>
      <c r="BE235" s="3" t="s">
        <v>1374</v>
      </c>
      <c r="BF235" s="118">
        <v>3.3</v>
      </c>
      <c r="BG235" s="49" t="s">
        <v>1281</v>
      </c>
      <c r="BH235" s="49" t="s">
        <v>1281</v>
      </c>
      <c r="BI235" s="1"/>
      <c r="BJ235" s="70" t="s">
        <v>1287</v>
      </c>
      <c r="BK235" s="57" t="s">
        <v>1287</v>
      </c>
      <c r="BL235" s="57" t="s">
        <v>1287</v>
      </c>
      <c r="BM235" s="57" t="s">
        <v>1287</v>
      </c>
      <c r="BN235" s="57" t="s">
        <v>1287</v>
      </c>
      <c r="BO235" s="57" t="s">
        <v>1287</v>
      </c>
      <c r="BP235" s="57" t="s">
        <v>1287</v>
      </c>
      <c r="BQ235" s="57" t="s">
        <v>1287</v>
      </c>
      <c r="BR235" s="57" t="s">
        <v>1287</v>
      </c>
      <c r="BS235" s="57" t="s">
        <v>1287</v>
      </c>
      <c r="BT235" s="57" t="s">
        <v>1287</v>
      </c>
      <c r="BU235" s="57" t="s">
        <v>1287</v>
      </c>
      <c r="BV235" s="70">
        <f t="shared" ref="BV235" si="1624">E235</f>
        <v>38</v>
      </c>
      <c r="BW235" s="71">
        <f t="shared" ref="BW235" si="1625">I235</f>
        <v>69</v>
      </c>
      <c r="BX235" s="72">
        <f t="shared" ref="BX235" si="1626">M235</f>
        <v>73</v>
      </c>
      <c r="BY235" s="71">
        <f t="shared" ref="BY235" si="1627">Q235</f>
        <v>105</v>
      </c>
      <c r="BZ235" s="72">
        <f t="shared" ref="BZ235" si="1628">U235</f>
        <v>109</v>
      </c>
      <c r="CA235" s="71">
        <f t="shared" ref="CA235" si="1629">Y235</f>
        <v>145</v>
      </c>
      <c r="CB235" s="72">
        <f t="shared" ref="CB235" si="1630">AC235</f>
        <v>156</v>
      </c>
      <c r="CC235" s="71">
        <f t="shared" ref="CC235" si="1631">AG235</f>
        <v>190</v>
      </c>
      <c r="CD235" s="72">
        <f t="shared" ref="CD235" si="1632">AK235</f>
        <v>197</v>
      </c>
      <c r="CE235" s="71">
        <f t="shared" ref="CE235" si="1633">AO235</f>
        <v>250</v>
      </c>
      <c r="CF235" s="72">
        <f t="shared" ref="CF235" si="1634">AS235</f>
        <v>286</v>
      </c>
      <c r="CG235" s="71">
        <f t="shared" ref="CG235" si="1635">AW235</f>
        <v>312</v>
      </c>
      <c r="CH235" s="70">
        <f t="shared" ref="CH235" si="1636">G235</f>
        <v>67</v>
      </c>
      <c r="CI235" s="71">
        <f t="shared" ref="CI235" si="1637">K235</f>
        <v>72</v>
      </c>
      <c r="CJ235" s="72">
        <f t="shared" ref="CJ235" si="1638">O235</f>
        <v>104</v>
      </c>
      <c r="CK235" s="72">
        <f t="shared" ref="CK235" si="1639">S235</f>
        <v>108</v>
      </c>
      <c r="CL235" s="72">
        <f t="shared" ref="CL235" si="1640">W235</f>
        <v>143</v>
      </c>
      <c r="CM235" s="72">
        <f t="shared" ref="CM235" si="1641">AA235</f>
        <v>152</v>
      </c>
      <c r="CN235" s="72">
        <f t="shared" ref="CN235" si="1642">AE235</f>
        <v>179</v>
      </c>
      <c r="CO235" s="72">
        <f t="shared" ref="CO235" si="1643">AI235</f>
        <v>192</v>
      </c>
      <c r="CP235" s="72">
        <f t="shared" ref="CP235" si="1644">AM235</f>
        <v>230</v>
      </c>
      <c r="CQ235" s="72">
        <f t="shared" ref="CQ235" si="1645">AQ235</f>
        <v>277</v>
      </c>
      <c r="CR235" s="72">
        <f t="shared" ref="CR235" si="1646">AU235</f>
        <v>311</v>
      </c>
      <c r="CS235" s="72">
        <f t="shared" ref="CS235" si="1647">AY235</f>
        <v>328</v>
      </c>
      <c r="CT235" s="23">
        <f t="shared" ref="CT235" si="1648">M235-K235</f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ref="A236" si="1649">CONCATENATE(B236,"_",C236)</f>
        <v>nk1r_human__wt</v>
      </c>
      <c r="B236" s="3" t="s">
        <v>314</v>
      </c>
      <c r="C236" s="132" t="s">
        <v>100</v>
      </c>
      <c r="D236" s="3" t="str">
        <f>IFERROR(MID(VLOOKUP($B236,Seqs!$A:$B,2,0),E236,1),"")</f>
        <v>P</v>
      </c>
      <c r="E236" s="3">
        <v>28</v>
      </c>
      <c r="F236" s="3" t="str">
        <f>IFERROR(MID(VLOOKUP($B236,Seqs!$A:$B,2,0),G236,1),"")</f>
        <v>H</v>
      </c>
      <c r="G236" s="3">
        <v>60</v>
      </c>
      <c r="H236" s="3" t="str">
        <f>IFERROR(MID(VLOOKUP($B236,Seqs!$A:$B,2,0),I236,1),"")</f>
        <v>K</v>
      </c>
      <c r="I236" s="23">
        <v>61</v>
      </c>
      <c r="J236" s="3" t="str">
        <f>IFERROR(MID(VLOOKUP($B236,Seqs!$A:$B,2,0),K236,1),"")</f>
        <v>R</v>
      </c>
      <c r="K236" s="23">
        <v>64</v>
      </c>
      <c r="L236" s="3" t="str">
        <f>IFERROR(MID(VLOOKUP($B236,Seqs!$A:$B,2,0),M236,1),"")</f>
        <v>T</v>
      </c>
      <c r="M236" s="3">
        <v>65</v>
      </c>
      <c r="N236" s="3" t="str">
        <f>IFERROR(MID(VLOOKUP($B236,Seqs!$A:$B,2,0),O236,1),"")</f>
        <v>N</v>
      </c>
      <c r="O236" s="3">
        <v>96</v>
      </c>
      <c r="P236" s="3" t="str">
        <f>IFERROR(MID(VLOOKUP($B236,Seqs!$A:$B,2,0),Q236,1),"")</f>
        <v>E</v>
      </c>
      <c r="Q236" s="3">
        <v>97</v>
      </c>
      <c r="R236" s="3" t="str">
        <f>IFERROR(MID(VLOOKUP($B236,Seqs!$A:$B,2,0),S236,1),"")</f>
        <v>Y</v>
      </c>
      <c r="S236" s="3">
        <v>100</v>
      </c>
      <c r="T236" s="3" t="str">
        <f>IFERROR(MID(VLOOKUP($B236,Seqs!$A:$B,2,0),U236,1),"")</f>
        <v>G</v>
      </c>
      <c r="U236" s="3">
        <v>101</v>
      </c>
      <c r="V236" s="3" t="str">
        <f>IFERROR(MID(VLOOKUP($B236,Seqs!$A:$B,2,0),W236,1),"")</f>
        <v>H</v>
      </c>
      <c r="W236" s="3">
        <v>136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S</v>
      </c>
      <c r="AC236" s="3">
        <v>143</v>
      </c>
      <c r="AD236" s="3" t="str">
        <f>IFERROR(MID(VLOOKUP($B236,Seqs!$A:$B,2,0),AE236,1),"")</f>
        <v>S</v>
      </c>
      <c r="AE236" s="3">
        <v>169</v>
      </c>
      <c r="AF236" s="3" t="str">
        <f>IFERROR(MID(VLOOKUP($B236,Seqs!$A:$B,2,0),AG236,1),"")</f>
        <v>C</v>
      </c>
      <c r="AG236" s="3">
        <v>180</v>
      </c>
      <c r="AH236" s="3" t="str">
        <f>IFERROR(MID(VLOOKUP($B236,Seqs!$A:$B,2,0),AI236,1),"")</f>
        <v>I</v>
      </c>
      <c r="AI236" s="3">
        <v>182</v>
      </c>
      <c r="AJ236" s="3" t="str">
        <f>IFERROR(MID(VLOOKUP($B236,Seqs!$A:$B,2,0),AK236,1),"")</f>
        <v>P</v>
      </c>
      <c r="AK236" s="3">
        <v>188</v>
      </c>
      <c r="AL236" s="3" t="str">
        <f>IFERROR(MID(VLOOKUP($B236,Seqs!$A:$B,2,0),AM236,1),"")</f>
        <v>D</v>
      </c>
      <c r="AM236" s="3">
        <v>231</v>
      </c>
      <c r="AN236" s="3" t="str">
        <f>IFERROR(MID(VLOOKUP($B236,Seqs!$A:$B,2,0),AO236,1),"")</f>
        <v>R</v>
      </c>
      <c r="AO236" s="3">
        <v>235</v>
      </c>
      <c r="AP236" s="3" t="str">
        <f>IFERROR(MID(VLOOKUP($B236,Seqs!$A:$B,2,0),AQ236,1),"")</f>
        <v>N</v>
      </c>
      <c r="AQ236" s="3">
        <v>274</v>
      </c>
      <c r="AR236" s="3" t="str">
        <f>IFERROR(MID(VLOOKUP($B236,Seqs!$A:$B,2,0),AS236,1),"")</f>
        <v>F</v>
      </c>
      <c r="AS236" s="3">
        <v>282</v>
      </c>
      <c r="AT236" s="3" t="str">
        <f>IFERROR(MID(VLOOKUP($B236,Seqs!$A:$B,2,0),AU236,1),"")</f>
        <v>L</v>
      </c>
      <c r="AU236" s="3">
        <v>308</v>
      </c>
      <c r="AV236" s="3" t="str">
        <f>IFERROR(MID(VLOOKUP($B236,Seqs!$A:$B,2,0),AW236,1),"")</f>
        <v>N</v>
      </c>
      <c r="AW236" s="3">
        <v>309</v>
      </c>
      <c r="AX236" s="3" t="str">
        <f>IFERROR(MID(VLOOKUP($B236,Seqs!$A:$B,2,0),AY236,1),"")</f>
        <v>F</v>
      </c>
      <c r="AY236" s="3">
        <v>320</v>
      </c>
      <c r="AZ236" s="77" t="str">
        <f>VLOOKUP(B236,Classification!A:D,2,0)</f>
        <v>A</v>
      </c>
      <c r="BA236" s="94" t="str">
        <f>VLOOKUP(B236,Classification!A:D,4,0)</f>
        <v>Tachykinin</v>
      </c>
      <c r="BB236" s="27" t="b">
        <f t="shared" ref="BB236" si="1650">AND(E236&lt;G236,OR(G236&lt;I236,I236="-"),OR(I236&lt;K236,I236="-"),OR(K236&lt;M236,K236="-"),M236&lt;O236,OR(O236&lt;Q236,Q236="-"),OR(Q236&lt;S236,Q236="-"),OR(S236&lt;U236,S236="-"),U236&lt;W236,OR(W236&lt;Y236,Y236="-"),OR(Y236&lt;AA236,Y236="-"),OR(AA236&lt;AC236,AA236="-"),AC236&lt;AE236,OR(AE236&lt;AG236,AG236="-"),OR(AG236&lt;AI236,AG236="-"),OR(AI236&lt;AK236,AI236="-"),AK236&lt;AM236,AM236&lt;AO236,AO236&lt;AQ236,AQ236&lt;AS236,AS236&lt;AU236,OR(AU236&lt;AW236,AW236="-"),OR(AW236&lt;AY236,AW236="-"))</f>
        <v>1</v>
      </c>
      <c r="BC236" s="23">
        <f t="shared" ref="BC236" si="1651">_xlfn.AGGREGATE(9,6,CH236:CS236)-_xlfn.AGGREGATE(9,6,BV236:CG236)+12</f>
        <v>263</v>
      </c>
      <c r="BD236" s="5" t="s">
        <v>23</v>
      </c>
      <c r="BE236" s="3" t="s">
        <v>23</v>
      </c>
      <c r="BF236" s="118" t="s">
        <v>23</v>
      </c>
      <c r="BG236" s="49" t="s">
        <v>1377</v>
      </c>
      <c r="BH236" s="49" t="s">
        <v>1377</v>
      </c>
      <c r="BI236" s="1"/>
      <c r="BJ236" s="70" t="s">
        <v>1287</v>
      </c>
      <c r="BK236" s="57" t="s">
        <v>1287</v>
      </c>
      <c r="BL236" s="57" t="s">
        <v>1287</v>
      </c>
      <c r="BM236" s="57" t="s">
        <v>1287</v>
      </c>
      <c r="BN236" s="57" t="s">
        <v>1287</v>
      </c>
      <c r="BO236" s="57" t="s">
        <v>1287</v>
      </c>
      <c r="BP236" s="57" t="s">
        <v>1287</v>
      </c>
      <c r="BQ236" s="57" t="s">
        <v>1287</v>
      </c>
      <c r="BR236" s="57" t="s">
        <v>1287</v>
      </c>
      <c r="BS236" s="57" t="s">
        <v>1287</v>
      </c>
      <c r="BT236" s="57" t="s">
        <v>1287</v>
      </c>
      <c r="BU236" s="57" t="s">
        <v>1287</v>
      </c>
      <c r="BV236" s="70">
        <f t="shared" ref="BV236" si="1652">E236</f>
        <v>28</v>
      </c>
      <c r="BW236" s="71">
        <f t="shared" ref="BW236" si="1653">I236</f>
        <v>61</v>
      </c>
      <c r="BX236" s="72">
        <f t="shared" ref="BX236" si="1654">M236</f>
        <v>65</v>
      </c>
      <c r="BY236" s="71">
        <f t="shared" ref="BY236" si="1655">Q236</f>
        <v>97</v>
      </c>
      <c r="BZ236" s="72">
        <f t="shared" ref="BZ236" si="1656">U236</f>
        <v>101</v>
      </c>
      <c r="CA236" s="71" t="str">
        <f t="shared" ref="CA236" si="1657">Y236</f>
        <v>-</v>
      </c>
      <c r="CB236" s="72">
        <f t="shared" ref="CB236" si="1658">AC236</f>
        <v>143</v>
      </c>
      <c r="CC236" s="71">
        <f t="shared" ref="CC236" si="1659">AG236</f>
        <v>180</v>
      </c>
      <c r="CD236" s="72">
        <f t="shared" ref="CD236" si="1660">AK236</f>
        <v>188</v>
      </c>
      <c r="CE236" s="71">
        <f t="shared" ref="CE236" si="1661">AO236</f>
        <v>235</v>
      </c>
      <c r="CF236" s="72">
        <f t="shared" ref="CF236" si="1662">AS236</f>
        <v>282</v>
      </c>
      <c r="CG236" s="71">
        <f t="shared" ref="CG236" si="1663">AW236</f>
        <v>309</v>
      </c>
      <c r="CH236" s="70">
        <f t="shared" ref="CH236" si="1664">G236</f>
        <v>60</v>
      </c>
      <c r="CI236" s="71">
        <f t="shared" ref="CI236" si="1665">K236</f>
        <v>64</v>
      </c>
      <c r="CJ236" s="72">
        <f t="shared" ref="CJ236" si="1666">O236</f>
        <v>96</v>
      </c>
      <c r="CK236" s="72">
        <f t="shared" ref="CK236" si="1667">S236</f>
        <v>100</v>
      </c>
      <c r="CL236" s="72">
        <f t="shared" ref="CL236" si="1668">W236</f>
        <v>136</v>
      </c>
      <c r="CM236" s="72" t="str">
        <f t="shared" ref="CM236" si="1669">AA236</f>
        <v>-</v>
      </c>
      <c r="CN236" s="72">
        <f t="shared" ref="CN236" si="1670">AE236</f>
        <v>169</v>
      </c>
      <c r="CO236" s="72">
        <f t="shared" ref="CO236" si="1671">AI236</f>
        <v>182</v>
      </c>
      <c r="CP236" s="72">
        <f t="shared" ref="CP236" si="1672">AM236</f>
        <v>231</v>
      </c>
      <c r="CQ236" s="72">
        <f t="shared" ref="CQ236" si="1673">AQ236</f>
        <v>274</v>
      </c>
      <c r="CR236" s="72">
        <f t="shared" ref="CR236" si="1674">AU236</f>
        <v>308</v>
      </c>
      <c r="CS236" s="72">
        <f t="shared" ref="CS236" si="1675">AY236</f>
        <v>320</v>
      </c>
      <c r="CT236" s="23">
        <f t="shared" ref="CT236" si="1676">M236-K236</f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ref="A237" si="1677">CONCATENATE(B237,"_",C237)</f>
        <v>nk1r_human_6E59</v>
      </c>
      <c r="B237" s="3" t="s">
        <v>314</v>
      </c>
      <c r="C237" s="133" t="s">
        <v>1535</v>
      </c>
      <c r="D237" s="3" t="str">
        <f>IFERROR(MID(VLOOKUP($B237,Seqs!$A:$B,2,0),E237,1),"")</f>
        <v>V</v>
      </c>
      <c r="E237" s="3">
        <v>33</v>
      </c>
      <c r="F237" s="3" t="str">
        <f>IFERROR(MID(VLOOKUP($B237,Seqs!$A:$B,2,0),G237,1),"")</f>
        <v>H</v>
      </c>
      <c r="G237" s="3">
        <v>60</v>
      </c>
      <c r="H237" s="3" t="str">
        <f>IFERROR(MID(VLOOKUP($B237,Seqs!$A:$B,2,0),I237,1),"")</f>
        <v/>
      </c>
      <c r="I237" s="23" t="s">
        <v>23</v>
      </c>
      <c r="J237" s="3" t="str">
        <f>IFERROR(MID(VLOOKUP($B237,Seqs!$A:$B,2,0),K237,1),"")</f>
        <v/>
      </c>
      <c r="K237" s="23" t="s">
        <v>23</v>
      </c>
      <c r="L237" s="3" t="str">
        <f>IFERROR(MID(VLOOKUP($B237,Seqs!$A:$B,2,0),M237,1),"")</f>
        <v>T</v>
      </c>
      <c r="M237" s="3">
        <v>65</v>
      </c>
      <c r="N237" s="3" t="str">
        <f>IFERROR(MID(VLOOKUP($B237,Seqs!$A:$B,2,0),O237,1),"")</f>
        <v>V</v>
      </c>
      <c r="O237" s="3">
        <v>94</v>
      </c>
      <c r="P237" s="3" t="str">
        <f>IFERROR(MID(VLOOKUP($B237,Seqs!$A:$B,2,0),Q237,1),"")</f>
        <v>E</v>
      </c>
      <c r="Q237" s="3">
        <v>97</v>
      </c>
      <c r="R237" s="3" t="str">
        <f>IFERROR(MID(VLOOKUP($B237,Seqs!$A:$B,2,0),S237,1),"")</f>
        <v>Y</v>
      </c>
      <c r="S237" s="3">
        <v>100</v>
      </c>
      <c r="T237" s="3" t="str">
        <f>IFERROR(MID(VLOOKUP($B237,Seqs!$A:$B,2,0),U237,1),"")</f>
        <v>F</v>
      </c>
      <c r="U237" s="3">
        <v>103</v>
      </c>
      <c r="V237" s="3" t="str">
        <f>IFERROR(MID(VLOOKUP($B237,Seqs!$A:$B,2,0),W237,1),"")</f>
        <v>H</v>
      </c>
      <c r="W237" s="3">
        <v>136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S</v>
      </c>
      <c r="AC237" s="3">
        <v>143</v>
      </c>
      <c r="AD237" s="3" t="str">
        <f>IFERROR(MID(VLOOKUP($B237,Seqs!$A:$B,2,0),AE237,1),"")</f>
        <v>S</v>
      </c>
      <c r="AE237" s="3">
        <v>169</v>
      </c>
      <c r="AF237" s="3" t="str">
        <f>IFERROR(MID(VLOOKUP($B237,Seqs!$A:$B,2,0),AG237,1),"")</f>
        <v>C</v>
      </c>
      <c r="AG237" s="3">
        <v>180</v>
      </c>
      <c r="AH237" s="3" t="str">
        <f>IFERROR(MID(VLOOKUP($B237,Seqs!$A:$B,2,0),AI237,1),"")</f>
        <v>I</v>
      </c>
      <c r="AI237" s="3">
        <v>182</v>
      </c>
      <c r="AJ237" s="3" t="str">
        <f>IFERROR(MID(VLOOKUP($B237,Seqs!$A:$B,2,0),AK237,1),"")</f>
        <v>P</v>
      </c>
      <c r="AK237" s="3">
        <v>188</v>
      </c>
      <c r="AL237" s="3" t="str">
        <f>IFERROR(MID(VLOOKUP($B237,Seqs!$A:$B,2,0),AM237,1),"")</f>
        <v>W</v>
      </c>
      <c r="AM237" s="3">
        <v>224</v>
      </c>
      <c r="AN237" s="3" t="str">
        <f>IFERROR(MID(VLOOKUP($B237,Seqs!$A:$B,2,0),AO237,1),"")</f>
        <v>E</v>
      </c>
      <c r="AO237" s="3">
        <v>238</v>
      </c>
      <c r="AP237" s="3" t="str">
        <f>IFERROR(MID(VLOOKUP($B237,Seqs!$A:$B,2,0),AQ237,1),"")</f>
        <v>N</v>
      </c>
      <c r="AQ237" s="3">
        <v>274</v>
      </c>
      <c r="AR237" s="3" t="str">
        <f>IFERROR(MID(VLOOKUP($B237,Seqs!$A:$B,2,0),AS237,1),"")</f>
        <v>I</v>
      </c>
      <c r="AS237" s="3">
        <v>283</v>
      </c>
      <c r="AT237" s="3" t="str">
        <f>IFERROR(MID(VLOOKUP($B237,Seqs!$A:$B,2,0),AU237,1),"")</f>
        <v>L</v>
      </c>
      <c r="AU237" s="3">
        <v>308</v>
      </c>
      <c r="AV237" s="3" t="str">
        <f>IFERROR(MID(VLOOKUP($B237,Seqs!$A:$B,2,0),AW237,1),"")</f>
        <v>N</v>
      </c>
      <c r="AW237" s="3">
        <v>309</v>
      </c>
      <c r="AX237" s="3" t="str">
        <f>IFERROR(MID(VLOOKUP($B237,Seqs!$A:$B,2,0),AY237,1),"")</f>
        <v>H</v>
      </c>
      <c r="AY237" s="3">
        <v>318</v>
      </c>
      <c r="AZ237" s="77" t="str">
        <f>VLOOKUP(B237,Classification!A:D,2,0)</f>
        <v>A</v>
      </c>
      <c r="BA237" s="94" t="str">
        <f>VLOOKUP(B237,Classification!A:D,4,0)</f>
        <v>Tachykinin</v>
      </c>
      <c r="BB237" s="27" t="b">
        <f t="shared" ref="BB237" si="1678">AND(E237&lt;G237,OR(G237&lt;I237,I237="-"),OR(I237&lt;K237,I237="-"),OR(K237&lt;M237,K237="-"),M237&lt;O237,OR(O237&lt;Q237,Q237="-"),OR(Q237&lt;S237,Q237="-"),OR(S237&lt;U237,S237="-"),U237&lt;W237,OR(W237&lt;Y237,Y237="-"),OR(Y237&lt;AA237,Y237="-"),OR(AA237&lt;AC237,AA237="-"),AC237&lt;AE237,OR(AE237&lt;AG237,AG237="-"),OR(AG237&lt;AI237,AG237="-"),OR(AI237&lt;AK237,AI237="-"),AK237&lt;AM237,AM237&lt;AO237,AO237&lt;AQ237,AQ237&lt;AS237,AS237&lt;AU237,OR(AU237&lt;AW237,AW237="-"),OR(AW237&lt;AY237,AW237="-"))</f>
        <v>1</v>
      </c>
      <c r="BC237" s="23">
        <f t="shared" ref="BC237" si="1679">_xlfn.AGGREGATE(9,6,CH237:CS237)-_xlfn.AGGREGATE(9,6,BV237:CG237)+12</f>
        <v>238</v>
      </c>
      <c r="BD237" s="5" t="s">
        <v>23</v>
      </c>
      <c r="BE237" s="3" t="s">
        <v>1374</v>
      </c>
      <c r="BF237" s="118">
        <v>3.4</v>
      </c>
      <c r="BG237" s="49" t="s">
        <v>1</v>
      </c>
      <c r="BH237" s="49" t="s">
        <v>1</v>
      </c>
      <c r="BI237" s="1"/>
      <c r="BJ237" s="70" t="s">
        <v>1287</v>
      </c>
      <c r="BK237" s="57" t="s">
        <v>1287</v>
      </c>
      <c r="BL237" s="57" t="s">
        <v>1287</v>
      </c>
      <c r="BM237" s="57" t="s">
        <v>1287</v>
      </c>
      <c r="BN237" s="57" t="s">
        <v>1287</v>
      </c>
      <c r="BO237" s="57" t="s">
        <v>1287</v>
      </c>
      <c r="BP237" s="57" t="s">
        <v>1287</v>
      </c>
      <c r="BQ237" s="57" t="s">
        <v>1287</v>
      </c>
      <c r="BR237" s="57" t="s">
        <v>1287</v>
      </c>
      <c r="BS237" s="57" t="s">
        <v>1287</v>
      </c>
      <c r="BT237" s="57" t="s">
        <v>1287</v>
      </c>
      <c r="BU237" s="57" t="s">
        <v>1287</v>
      </c>
      <c r="BV237" s="70">
        <f t="shared" ref="BV237" si="1680">E237</f>
        <v>33</v>
      </c>
      <c r="BW237" s="71" t="str">
        <f t="shared" ref="BW237" si="1681">I237</f>
        <v>-</v>
      </c>
      <c r="BX237" s="72">
        <f t="shared" ref="BX237" si="1682">M237</f>
        <v>65</v>
      </c>
      <c r="BY237" s="71">
        <f t="shared" ref="BY237" si="1683">Q237</f>
        <v>97</v>
      </c>
      <c r="BZ237" s="72">
        <f t="shared" ref="BZ237" si="1684">U237</f>
        <v>103</v>
      </c>
      <c r="CA237" s="71" t="str">
        <f t="shared" ref="CA237" si="1685">Y237</f>
        <v>-</v>
      </c>
      <c r="CB237" s="72">
        <f t="shared" ref="CB237" si="1686">AC237</f>
        <v>143</v>
      </c>
      <c r="CC237" s="71">
        <f t="shared" ref="CC237" si="1687">AG237</f>
        <v>180</v>
      </c>
      <c r="CD237" s="72">
        <f t="shared" ref="CD237" si="1688">AK237</f>
        <v>188</v>
      </c>
      <c r="CE237" s="71">
        <f t="shared" ref="CE237" si="1689">AO237</f>
        <v>238</v>
      </c>
      <c r="CF237" s="72">
        <f t="shared" ref="CF237" si="1690">AS237</f>
        <v>283</v>
      </c>
      <c r="CG237" s="71">
        <f t="shared" ref="CG237" si="1691">AW237</f>
        <v>309</v>
      </c>
      <c r="CH237" s="70">
        <f t="shared" ref="CH237" si="1692">G237</f>
        <v>60</v>
      </c>
      <c r="CI237" s="71" t="str">
        <f t="shared" ref="CI237" si="1693">K237</f>
        <v>-</v>
      </c>
      <c r="CJ237" s="72">
        <f t="shared" ref="CJ237" si="1694">O237</f>
        <v>94</v>
      </c>
      <c r="CK237" s="72">
        <f t="shared" ref="CK237" si="1695">S237</f>
        <v>100</v>
      </c>
      <c r="CL237" s="72">
        <f t="shared" ref="CL237" si="1696">W237</f>
        <v>136</v>
      </c>
      <c r="CM237" s="72" t="str">
        <f t="shared" ref="CM237" si="1697">AA237</f>
        <v>-</v>
      </c>
      <c r="CN237" s="72">
        <f t="shared" ref="CN237" si="1698">AE237</f>
        <v>169</v>
      </c>
      <c r="CO237" s="72">
        <f t="shared" ref="CO237" si="1699">AI237</f>
        <v>182</v>
      </c>
      <c r="CP237" s="72">
        <f t="shared" ref="CP237" si="1700">AM237</f>
        <v>224</v>
      </c>
      <c r="CQ237" s="72">
        <f t="shared" ref="CQ237" si="1701">AQ237</f>
        <v>274</v>
      </c>
      <c r="CR237" s="72">
        <f t="shared" ref="CR237" si="1702">AU237</f>
        <v>308</v>
      </c>
      <c r="CS237" s="72">
        <f t="shared" ref="CS237" si="1703">AY237</f>
        <v>318</v>
      </c>
      <c r="CT237" s="23" t="e">
        <f t="shared" ref="CT237" si="1704">M237-K237</f>
        <v>#VALUE!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 t="shared" ref="A238" si="1705">CONCATENATE(B238,"_",C238)</f>
        <v>nk1r_human_6HLL</v>
      </c>
      <c r="B238" s="3" t="s">
        <v>314</v>
      </c>
      <c r="C238" s="133" t="s">
        <v>1543</v>
      </c>
      <c r="D238" s="3" t="str">
        <f>IFERROR(MID(VLOOKUP($B238,Seqs!$A:$B,2,0),E238,1),"")</f>
        <v>P</v>
      </c>
      <c r="E238" s="3">
        <v>28</v>
      </c>
      <c r="F238" s="3" t="str">
        <f>IFERROR(MID(VLOOKUP($B238,Seqs!$A:$B,2,0),G238,1),"")</f>
        <v>A</v>
      </c>
      <c r="G238" s="3">
        <v>59</v>
      </c>
      <c r="H238" s="3" t="str">
        <f>IFERROR(MID(VLOOKUP($B238,Seqs!$A:$B,2,0),I238,1),"")</f>
        <v>K</v>
      </c>
      <c r="I238" s="23">
        <v>61</v>
      </c>
      <c r="J238" s="3" t="str">
        <f>IFERROR(MID(VLOOKUP($B238,Seqs!$A:$B,2,0),K238,1),"")</f>
        <v>R</v>
      </c>
      <c r="K238" s="23">
        <v>64</v>
      </c>
      <c r="L238" s="3" t="str">
        <f>IFERROR(MID(VLOOKUP($B238,Seqs!$A:$B,2,0),M238,1),"")</f>
        <v>T</v>
      </c>
      <c r="M238" s="3">
        <v>65</v>
      </c>
      <c r="N238" s="3" t="str">
        <f>IFERROR(MID(VLOOKUP($B238,Seqs!$A:$B,2,0),O238,1),"")</f>
        <v>N</v>
      </c>
      <c r="O238" s="3">
        <v>96</v>
      </c>
      <c r="P238" s="3" t="str">
        <f>IFERROR(MID(VLOOKUP($B238,Seqs!$A:$B,2,0),Q238,1),"")</f>
        <v>E</v>
      </c>
      <c r="Q238" s="3">
        <v>97</v>
      </c>
      <c r="R238" s="3" t="str">
        <f>IFERROR(MID(VLOOKUP($B238,Seqs!$A:$B,2,0),S238,1),"")</f>
        <v>Y</v>
      </c>
      <c r="S238" s="3">
        <v>100</v>
      </c>
      <c r="T238" s="3" t="str">
        <f>IFERROR(MID(VLOOKUP($B238,Seqs!$A:$B,2,0),U238,1),"")</f>
        <v>G</v>
      </c>
      <c r="U238" s="3">
        <v>101</v>
      </c>
      <c r="V238" s="3" t="str">
        <f>IFERROR(MID(VLOOKUP($B238,Seqs!$A:$B,2,0),W238,1),"")</f>
        <v>H</v>
      </c>
      <c r="W238" s="3">
        <v>136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S</v>
      </c>
      <c r="AC238" s="3">
        <v>143</v>
      </c>
      <c r="AD238" s="3" t="str">
        <f>IFERROR(MID(VLOOKUP($B238,Seqs!$A:$B,2,0),AE238,1),"")</f>
        <v>S</v>
      </c>
      <c r="AE238" s="3">
        <v>169</v>
      </c>
      <c r="AF238" s="3" t="str">
        <f>IFERROR(MID(VLOOKUP($B238,Seqs!$A:$B,2,0),AG238,1),"")</f>
        <v>C</v>
      </c>
      <c r="AG238" s="3">
        <v>180</v>
      </c>
      <c r="AH238" s="3" t="str">
        <f>IFERROR(MID(VLOOKUP($B238,Seqs!$A:$B,2,0),AI238,1),"")</f>
        <v>I</v>
      </c>
      <c r="AI238" s="3">
        <v>182</v>
      </c>
      <c r="AJ238" s="3" t="str">
        <f>IFERROR(MID(VLOOKUP($B238,Seqs!$A:$B,2,0),AK238,1),"")</f>
        <v>K</v>
      </c>
      <c r="AK238" s="3">
        <v>190</v>
      </c>
      <c r="AL238" s="3" t="str">
        <f>IFERROR(MID(VLOOKUP($B238,Seqs!$A:$B,2,0),AM238,1),"")</f>
        <v>S</v>
      </c>
      <c r="AM238" s="3">
        <v>226</v>
      </c>
      <c r="AN238" s="3" t="str">
        <f>IFERROR(MID(VLOOKUP($B238,Seqs!$A:$B,2,0),AO238,1),"")</f>
        <v>E</v>
      </c>
      <c r="AO238" s="3">
        <v>238</v>
      </c>
      <c r="AP238" s="3" t="str">
        <f>IFERROR(MID(VLOOKUP($B238,Seqs!$A:$B,2,0),AQ238,1),"")</f>
        <v>L</v>
      </c>
      <c r="AQ238" s="3">
        <v>270</v>
      </c>
      <c r="AR238" s="3" t="str">
        <f>IFERROR(MID(VLOOKUP($B238,Seqs!$A:$B,2,0),AS238,1),"")</f>
        <v>I</v>
      </c>
      <c r="AS238" s="3">
        <v>283</v>
      </c>
      <c r="AT238" s="3" t="str">
        <f>IFERROR(MID(VLOOKUP($B238,Seqs!$A:$B,2,0),AU238,1),"")</f>
        <v>L</v>
      </c>
      <c r="AU238" s="3">
        <v>308</v>
      </c>
      <c r="AV238" s="3" t="str">
        <f>IFERROR(MID(VLOOKUP($B238,Seqs!$A:$B,2,0),AW238,1),"")</f>
        <v>N</v>
      </c>
      <c r="AW238" s="3">
        <v>309</v>
      </c>
      <c r="AX238" s="3" t="str">
        <f>IFERROR(MID(VLOOKUP($B238,Seqs!$A:$B,2,0),AY238,1),"")</f>
        <v>F</v>
      </c>
      <c r="AY238" s="3">
        <v>320</v>
      </c>
      <c r="AZ238" s="77" t="str">
        <f>VLOOKUP(B238,Classification!A:D,2,0)</f>
        <v>A</v>
      </c>
      <c r="BA238" s="94" t="str">
        <f>VLOOKUP(B238,Classification!A:D,4,0)</f>
        <v>Tachykinin</v>
      </c>
      <c r="BB238" s="27" t="b">
        <f t="shared" ref="BB238" si="1706"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 t="shared" ref="BC238" si="1707">_xlfn.AGGREGATE(9,6,CH238:CS238)-_xlfn.AGGREGATE(9,6,BV238:CG238)+12</f>
        <v>247</v>
      </c>
      <c r="BD238" s="5" t="s">
        <v>23</v>
      </c>
      <c r="BE238" s="3" t="s">
        <v>1374</v>
      </c>
      <c r="BF238" s="118">
        <v>3.27</v>
      </c>
      <c r="BG238" s="49" t="s">
        <v>1</v>
      </c>
      <c r="BH238" s="49" t="s">
        <v>1</v>
      </c>
      <c r="BI238" s="1"/>
      <c r="BJ238" s="70" t="s">
        <v>1287</v>
      </c>
      <c r="BK238" s="57" t="s">
        <v>1287</v>
      </c>
      <c r="BL238" s="57" t="s">
        <v>1287</v>
      </c>
      <c r="BM238" s="57" t="s">
        <v>1287</v>
      </c>
      <c r="BN238" s="57" t="s">
        <v>1287</v>
      </c>
      <c r="BO238" s="57" t="s">
        <v>1287</v>
      </c>
      <c r="BP238" s="57" t="s">
        <v>1287</v>
      </c>
      <c r="BQ238" s="57" t="s">
        <v>1287</v>
      </c>
      <c r="BR238" s="57" t="s">
        <v>1287</v>
      </c>
      <c r="BS238" s="57" t="s">
        <v>1287</v>
      </c>
      <c r="BT238" s="57" t="s">
        <v>1287</v>
      </c>
      <c r="BU238" s="57" t="s">
        <v>1287</v>
      </c>
      <c r="BV238" s="70">
        <f t="shared" ref="BV238" si="1708">E238</f>
        <v>28</v>
      </c>
      <c r="BW238" s="71">
        <f t="shared" ref="BW238" si="1709">I238</f>
        <v>61</v>
      </c>
      <c r="BX238" s="72">
        <f t="shared" ref="BX238" si="1710">M238</f>
        <v>65</v>
      </c>
      <c r="BY238" s="71">
        <f t="shared" ref="BY238" si="1711">Q238</f>
        <v>97</v>
      </c>
      <c r="BZ238" s="72">
        <f t="shared" ref="BZ238" si="1712">U238</f>
        <v>101</v>
      </c>
      <c r="CA238" s="71" t="str">
        <f t="shared" ref="CA238" si="1713">Y238</f>
        <v>-</v>
      </c>
      <c r="CB238" s="72">
        <f t="shared" ref="CB238" si="1714">AC238</f>
        <v>143</v>
      </c>
      <c r="CC238" s="71">
        <f t="shared" ref="CC238" si="1715">AG238</f>
        <v>180</v>
      </c>
      <c r="CD238" s="72">
        <f t="shared" ref="CD238" si="1716">AK238</f>
        <v>190</v>
      </c>
      <c r="CE238" s="71">
        <f t="shared" ref="CE238" si="1717">AO238</f>
        <v>238</v>
      </c>
      <c r="CF238" s="72">
        <f t="shared" ref="CF238" si="1718">AS238</f>
        <v>283</v>
      </c>
      <c r="CG238" s="71">
        <f t="shared" ref="CG238" si="1719">AW238</f>
        <v>309</v>
      </c>
      <c r="CH238" s="70">
        <f t="shared" ref="CH238" si="1720">G238</f>
        <v>59</v>
      </c>
      <c r="CI238" s="71">
        <f t="shared" ref="CI238" si="1721">K238</f>
        <v>64</v>
      </c>
      <c r="CJ238" s="72">
        <f t="shared" ref="CJ238" si="1722">O238</f>
        <v>96</v>
      </c>
      <c r="CK238" s="72">
        <f t="shared" ref="CK238" si="1723">S238</f>
        <v>100</v>
      </c>
      <c r="CL238" s="72">
        <f t="shared" ref="CL238" si="1724">W238</f>
        <v>136</v>
      </c>
      <c r="CM238" s="72" t="str">
        <f t="shared" ref="CM238" si="1725">AA238</f>
        <v>-</v>
      </c>
      <c r="CN238" s="72">
        <f t="shared" ref="CN238" si="1726">AE238</f>
        <v>169</v>
      </c>
      <c r="CO238" s="72">
        <f t="shared" ref="CO238" si="1727">AI238</f>
        <v>182</v>
      </c>
      <c r="CP238" s="72">
        <f t="shared" ref="CP238" si="1728">AM238</f>
        <v>226</v>
      </c>
      <c r="CQ238" s="72">
        <f t="shared" ref="CQ238" si="1729">AQ238</f>
        <v>270</v>
      </c>
      <c r="CR238" s="72">
        <f t="shared" ref="CR238" si="1730">AU238</f>
        <v>308</v>
      </c>
      <c r="CS238" s="72">
        <f t="shared" ref="CS238" si="1731">AY238</f>
        <v>320</v>
      </c>
      <c r="CT238" s="23">
        <f t="shared" ref="CT238" si="1732"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x14ac:dyDescent="0.2">
      <c r="A239" s="3" t="str">
        <f t="shared" ref="A239" si="1733">CONCATENATE(B239,"_",C239)</f>
        <v>nk1r_human_6HLO</v>
      </c>
      <c r="B239" s="3" t="s">
        <v>314</v>
      </c>
      <c r="C239" s="133" t="s">
        <v>1544</v>
      </c>
      <c r="D239" s="3" t="str">
        <f>IFERROR(MID(VLOOKUP($B239,Seqs!$A:$B,2,0),E239,1),"")</f>
        <v>P</v>
      </c>
      <c r="E239" s="3">
        <v>28</v>
      </c>
      <c r="F239" s="3" t="str">
        <f>IFERROR(MID(VLOOKUP($B239,Seqs!$A:$B,2,0),G239,1),"")</f>
        <v>H</v>
      </c>
      <c r="G239" s="3">
        <v>60</v>
      </c>
      <c r="H239" s="3" t="str">
        <f>IFERROR(MID(VLOOKUP($B239,Seqs!$A:$B,2,0),I239,1),"")</f>
        <v>K</v>
      </c>
      <c r="I239" s="23">
        <v>61</v>
      </c>
      <c r="J239" s="3" t="str">
        <f>IFERROR(MID(VLOOKUP($B239,Seqs!$A:$B,2,0),K239,1),"")</f>
        <v>R</v>
      </c>
      <c r="K239" s="23">
        <v>64</v>
      </c>
      <c r="L239" s="3" t="str">
        <f>IFERROR(MID(VLOOKUP($B239,Seqs!$A:$B,2,0),M239,1),"")</f>
        <v>T</v>
      </c>
      <c r="M239" s="3">
        <v>65</v>
      </c>
      <c r="N239" s="3" t="str">
        <f>IFERROR(MID(VLOOKUP($B239,Seqs!$A:$B,2,0),O239,1),"")</f>
        <v>H</v>
      </c>
      <c r="O239" s="3">
        <v>95</v>
      </c>
      <c r="P239" s="3" t="str">
        <f>IFERROR(MID(VLOOKUP($B239,Seqs!$A:$B,2,0),Q239,1),"")</f>
        <v>E</v>
      </c>
      <c r="Q239" s="3">
        <v>97</v>
      </c>
      <c r="R239" s="3" t="str">
        <f>IFERROR(MID(VLOOKUP($B239,Seqs!$A:$B,2,0),S239,1),"")</f>
        <v>Y</v>
      </c>
      <c r="S239" s="3">
        <v>100</v>
      </c>
      <c r="T239" s="3" t="str">
        <f>IFERROR(MID(VLOOKUP($B239,Seqs!$A:$B,2,0),U239,1),"")</f>
        <v>G</v>
      </c>
      <c r="U239" s="3">
        <v>101</v>
      </c>
      <c r="V239" s="3" t="str">
        <f>IFERROR(MID(VLOOKUP($B239,Seqs!$A:$B,2,0),W239,1),"")</f>
        <v>H</v>
      </c>
      <c r="W239" s="3">
        <v>136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S</v>
      </c>
      <c r="AC239" s="3">
        <v>143</v>
      </c>
      <c r="AD239" s="3" t="str">
        <f>IFERROR(MID(VLOOKUP($B239,Seqs!$A:$B,2,0),AE239,1),"")</f>
        <v>S</v>
      </c>
      <c r="AE239" s="3">
        <v>169</v>
      </c>
      <c r="AF239" s="3" t="str">
        <f>IFERROR(MID(VLOOKUP($B239,Seqs!$A:$B,2,0),AG239,1),"")</f>
        <v>C</v>
      </c>
      <c r="AG239" s="3">
        <v>180</v>
      </c>
      <c r="AH239" s="3" t="str">
        <f>IFERROR(MID(VLOOKUP($B239,Seqs!$A:$B,2,0),AI239,1),"")</f>
        <v>I</v>
      </c>
      <c r="AI239" s="3">
        <v>182</v>
      </c>
      <c r="AJ239" s="3" t="str">
        <f>IFERROR(MID(VLOOKUP($B239,Seqs!$A:$B,2,0),AK239,1),"")</f>
        <v>K</v>
      </c>
      <c r="AK239" s="3">
        <v>190</v>
      </c>
      <c r="AL239" s="3" t="str">
        <f>IFERROR(MID(VLOOKUP($B239,Seqs!$A:$B,2,0),AM239,1),"")</f>
        <v>S</v>
      </c>
      <c r="AM239" s="3">
        <v>226</v>
      </c>
      <c r="AN239" s="3" t="str">
        <f>IFERROR(MID(VLOOKUP($B239,Seqs!$A:$B,2,0),AO239,1),"")</f>
        <v>E</v>
      </c>
      <c r="AO239" s="3">
        <v>238</v>
      </c>
      <c r="AP239" s="3" t="str">
        <f>IFERROR(MID(VLOOKUP($B239,Seqs!$A:$B,2,0),AQ239,1),"")</f>
        <v>N</v>
      </c>
      <c r="AQ239" s="3">
        <v>274</v>
      </c>
      <c r="AR239" s="3" t="str">
        <f>IFERROR(MID(VLOOKUP($B239,Seqs!$A:$B,2,0),AS239,1),"")</f>
        <v>F</v>
      </c>
      <c r="AS239" s="3">
        <v>282</v>
      </c>
      <c r="AT239" s="3" t="str">
        <f>IFERROR(MID(VLOOKUP($B239,Seqs!$A:$B,2,0),AU239,1),"")</f>
        <v>L</v>
      </c>
      <c r="AU239" s="3">
        <v>308</v>
      </c>
      <c r="AV239" s="3" t="str">
        <f>IFERROR(MID(VLOOKUP($B239,Seqs!$A:$B,2,0),AW239,1),"")</f>
        <v>N</v>
      </c>
      <c r="AW239" s="3">
        <v>309</v>
      </c>
      <c r="AX239" s="3" t="str">
        <f>IFERROR(MID(VLOOKUP($B239,Seqs!$A:$B,2,0),AY239,1),"")</f>
        <v>F</v>
      </c>
      <c r="AY239" s="3">
        <v>320</v>
      </c>
      <c r="AZ239" s="77" t="str">
        <f>VLOOKUP(B239,Classification!A:D,2,0)</f>
        <v>A</v>
      </c>
      <c r="BA239" s="94" t="str">
        <f>VLOOKUP(B239,Classification!A:D,4,0)</f>
        <v>Tachykinin</v>
      </c>
      <c r="BB239" s="27" t="b">
        <f t="shared" ref="BB239" si="1734"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23">
        <f t="shared" ref="BC239" si="1735">_xlfn.AGGREGATE(9,6,CH239:CS239)-_xlfn.AGGREGATE(9,6,BV239:CG239)+12</f>
        <v>252</v>
      </c>
      <c r="BD239" s="5" t="s">
        <v>23</v>
      </c>
      <c r="BE239" s="3" t="s">
        <v>1374</v>
      </c>
      <c r="BF239" s="118">
        <v>2.4</v>
      </c>
      <c r="BG239" s="49" t="s">
        <v>1</v>
      </c>
      <c r="BH239" s="49" t="s">
        <v>1</v>
      </c>
      <c r="BI239" s="1"/>
      <c r="BJ239" s="70" t="s">
        <v>1287</v>
      </c>
      <c r="BK239" s="57" t="s">
        <v>1287</v>
      </c>
      <c r="BL239" s="57" t="s">
        <v>1287</v>
      </c>
      <c r="BM239" s="57" t="s">
        <v>1287</v>
      </c>
      <c r="BN239" s="57" t="s">
        <v>1287</v>
      </c>
      <c r="BO239" s="57" t="s">
        <v>1287</v>
      </c>
      <c r="BP239" s="57" t="s">
        <v>1287</v>
      </c>
      <c r="BQ239" s="57" t="s">
        <v>1287</v>
      </c>
      <c r="BR239" s="57" t="s">
        <v>1287</v>
      </c>
      <c r="BS239" s="57" t="s">
        <v>1287</v>
      </c>
      <c r="BT239" s="57" t="s">
        <v>1287</v>
      </c>
      <c r="BU239" s="57" t="s">
        <v>1287</v>
      </c>
      <c r="BV239" s="70">
        <f t="shared" ref="BV239" si="1736">E239</f>
        <v>28</v>
      </c>
      <c r="BW239" s="71">
        <f t="shared" ref="BW239" si="1737">I239</f>
        <v>61</v>
      </c>
      <c r="BX239" s="72">
        <f t="shared" ref="BX239" si="1738">M239</f>
        <v>65</v>
      </c>
      <c r="BY239" s="71">
        <f t="shared" ref="BY239" si="1739">Q239</f>
        <v>97</v>
      </c>
      <c r="BZ239" s="72">
        <f t="shared" ref="BZ239" si="1740">U239</f>
        <v>101</v>
      </c>
      <c r="CA239" s="71" t="str">
        <f t="shared" ref="CA239" si="1741">Y239</f>
        <v>-</v>
      </c>
      <c r="CB239" s="72">
        <f t="shared" ref="CB239" si="1742">AC239</f>
        <v>143</v>
      </c>
      <c r="CC239" s="71">
        <f t="shared" ref="CC239" si="1743">AG239</f>
        <v>180</v>
      </c>
      <c r="CD239" s="72">
        <f t="shared" ref="CD239" si="1744">AK239</f>
        <v>190</v>
      </c>
      <c r="CE239" s="71">
        <f t="shared" ref="CE239" si="1745">AO239</f>
        <v>238</v>
      </c>
      <c r="CF239" s="72">
        <f t="shared" ref="CF239" si="1746">AS239</f>
        <v>282</v>
      </c>
      <c r="CG239" s="71">
        <f t="shared" ref="CG239" si="1747">AW239</f>
        <v>309</v>
      </c>
      <c r="CH239" s="70">
        <f t="shared" ref="CH239" si="1748">G239</f>
        <v>60</v>
      </c>
      <c r="CI239" s="71">
        <f t="shared" ref="CI239" si="1749">K239</f>
        <v>64</v>
      </c>
      <c r="CJ239" s="72">
        <f t="shared" ref="CJ239" si="1750">O239</f>
        <v>95</v>
      </c>
      <c r="CK239" s="72">
        <f t="shared" ref="CK239" si="1751">S239</f>
        <v>100</v>
      </c>
      <c r="CL239" s="72">
        <f t="shared" ref="CL239" si="1752">W239</f>
        <v>136</v>
      </c>
      <c r="CM239" s="72" t="str">
        <f t="shared" ref="CM239" si="1753">AA239</f>
        <v>-</v>
      </c>
      <c r="CN239" s="72">
        <f t="shared" ref="CN239" si="1754">AE239</f>
        <v>169</v>
      </c>
      <c r="CO239" s="72">
        <f t="shared" ref="CO239" si="1755">AI239</f>
        <v>182</v>
      </c>
      <c r="CP239" s="72">
        <f t="shared" ref="CP239" si="1756">AM239</f>
        <v>226</v>
      </c>
      <c r="CQ239" s="72">
        <f t="shared" ref="CQ239" si="1757">AQ239</f>
        <v>274</v>
      </c>
      <c r="CR239" s="72">
        <f t="shared" ref="CR239" si="1758">AU239</f>
        <v>308</v>
      </c>
      <c r="CS239" s="72">
        <f t="shared" ref="CS239" si="1759">AY239</f>
        <v>320</v>
      </c>
      <c r="CT239" s="23">
        <f t="shared" ref="CT239" si="1760">M239-K239</f>
        <v>1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29" x14ac:dyDescent="0.2">
      <c r="A240" s="3" t="str">
        <f t="shared" ref="A240" si="1761">CONCATENATE(B240,"_",C240)</f>
        <v>nk1r_human_6HLP</v>
      </c>
      <c r="B240" s="3" t="s">
        <v>314</v>
      </c>
      <c r="C240" s="133" t="s">
        <v>1545</v>
      </c>
      <c r="D240" s="3" t="str">
        <f>IFERROR(MID(VLOOKUP($B240,Seqs!$A:$B,2,0),E240,1),"")</f>
        <v>P</v>
      </c>
      <c r="E240" s="3">
        <v>28</v>
      </c>
      <c r="F240" s="3" t="str">
        <f>IFERROR(MID(VLOOKUP($B240,Seqs!$A:$B,2,0),G240,1),"")</f>
        <v>H</v>
      </c>
      <c r="G240" s="3">
        <v>60</v>
      </c>
      <c r="H240" s="3" t="str">
        <f>IFERROR(MID(VLOOKUP($B240,Seqs!$A:$B,2,0),I240,1),"")</f>
        <v>K</v>
      </c>
      <c r="I240" s="23">
        <v>61</v>
      </c>
      <c r="J240" s="3" t="str">
        <f>IFERROR(MID(VLOOKUP($B240,Seqs!$A:$B,2,0),K240,1),"")</f>
        <v>R</v>
      </c>
      <c r="K240" s="23">
        <v>64</v>
      </c>
      <c r="L240" s="3" t="str">
        <f>IFERROR(MID(VLOOKUP($B240,Seqs!$A:$B,2,0),M240,1),"")</f>
        <v>T</v>
      </c>
      <c r="M240" s="3">
        <v>65</v>
      </c>
      <c r="N240" s="3" t="str">
        <f>IFERROR(MID(VLOOKUP($B240,Seqs!$A:$B,2,0),O240,1),"")</f>
        <v>H</v>
      </c>
      <c r="O240" s="3">
        <v>95</v>
      </c>
      <c r="P240" s="3" t="str">
        <f>IFERROR(MID(VLOOKUP($B240,Seqs!$A:$B,2,0),Q240,1),"")</f>
        <v>E</v>
      </c>
      <c r="Q240" s="3">
        <v>97</v>
      </c>
      <c r="R240" s="3" t="str">
        <f>IFERROR(MID(VLOOKUP($B240,Seqs!$A:$B,2,0),S240,1),"")</f>
        <v>Y</v>
      </c>
      <c r="S240" s="3">
        <v>100</v>
      </c>
      <c r="T240" s="3" t="str">
        <f>IFERROR(MID(VLOOKUP($B240,Seqs!$A:$B,2,0),U240,1),"")</f>
        <v>G</v>
      </c>
      <c r="U240" s="3">
        <v>101</v>
      </c>
      <c r="V240" s="3" t="str">
        <f>IFERROR(MID(VLOOKUP($B240,Seqs!$A:$B,2,0),W240,1),"")</f>
        <v>H</v>
      </c>
      <c r="W240" s="3">
        <v>136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S</v>
      </c>
      <c r="AC240" s="3">
        <v>143</v>
      </c>
      <c r="AD240" s="3" t="str">
        <f>IFERROR(MID(VLOOKUP($B240,Seqs!$A:$B,2,0),AE240,1),"")</f>
        <v>S</v>
      </c>
      <c r="AE240" s="3">
        <v>169</v>
      </c>
      <c r="AF240" s="3" t="str">
        <f>IFERROR(MID(VLOOKUP($B240,Seqs!$A:$B,2,0),AG240,1),"")</f>
        <v>C</v>
      </c>
      <c r="AG240" s="3">
        <v>180</v>
      </c>
      <c r="AH240" s="3" t="str">
        <f>IFERROR(MID(VLOOKUP($B240,Seqs!$A:$B,2,0),AI240,1),"")</f>
        <v>I</v>
      </c>
      <c r="AI240" s="3">
        <v>182</v>
      </c>
      <c r="AJ240" s="3" t="str">
        <f>IFERROR(MID(VLOOKUP($B240,Seqs!$A:$B,2,0),AK240,1),"")</f>
        <v>K</v>
      </c>
      <c r="AK240" s="3">
        <v>190</v>
      </c>
      <c r="AL240" s="3" t="str">
        <f>IFERROR(MID(VLOOKUP($B240,Seqs!$A:$B,2,0),AM240,1),"")</f>
        <v>S</v>
      </c>
      <c r="AM240" s="3">
        <v>226</v>
      </c>
      <c r="AN240" s="3" t="str">
        <f>IFERROR(MID(VLOOKUP($B240,Seqs!$A:$B,2,0),AO240,1),"")</f>
        <v>E</v>
      </c>
      <c r="AO240" s="3">
        <v>238</v>
      </c>
      <c r="AP240" s="3" t="str">
        <f>IFERROR(MID(VLOOKUP($B240,Seqs!$A:$B,2,0),AQ240,1),"")</f>
        <v>N</v>
      </c>
      <c r="AQ240" s="3">
        <v>274</v>
      </c>
      <c r="AR240" s="3" t="str">
        <f>IFERROR(MID(VLOOKUP($B240,Seqs!$A:$B,2,0),AS240,1),"")</f>
        <v>F</v>
      </c>
      <c r="AS240" s="3">
        <v>282</v>
      </c>
      <c r="AT240" s="3" t="str">
        <f>IFERROR(MID(VLOOKUP($B240,Seqs!$A:$B,2,0),AU240,1),"")</f>
        <v>L</v>
      </c>
      <c r="AU240" s="3">
        <v>308</v>
      </c>
      <c r="AV240" s="3" t="str">
        <f>IFERROR(MID(VLOOKUP($B240,Seqs!$A:$B,2,0),AW240,1),"")</f>
        <v>N</v>
      </c>
      <c r="AW240" s="3">
        <v>309</v>
      </c>
      <c r="AX240" s="3" t="str">
        <f>IFERROR(MID(VLOOKUP($B240,Seqs!$A:$B,2,0),AY240,1),"")</f>
        <v>F</v>
      </c>
      <c r="AY240" s="3">
        <v>320</v>
      </c>
      <c r="AZ240" s="77" t="str">
        <f>VLOOKUP(B240,Classification!A:D,2,0)</f>
        <v>A</v>
      </c>
      <c r="BA240" s="94" t="str">
        <f>VLOOKUP(B240,Classification!A:D,4,0)</f>
        <v>Tachykinin</v>
      </c>
      <c r="BB240" s="27" t="b">
        <f t="shared" ref="BB240" si="1762">AND(E240&lt;G240,OR(G240&lt;I240,I240="-"),OR(I240&lt;K240,I240="-"),OR(K240&lt;M240,K240="-"),M240&lt;O240,OR(O240&lt;Q240,Q240="-"),OR(Q240&lt;S240,Q240="-"),OR(S240&lt;U240,S240="-"),U240&lt;W240,OR(W240&lt;Y240,Y240="-"),OR(Y240&lt;AA240,Y240="-"),OR(AA240&lt;AC240,AA240="-"),AC240&lt;AE240,OR(AE240&lt;AG240,AG240="-"),OR(AG240&lt;AI240,AG240="-"),OR(AI240&lt;AK240,AI240="-"),AK240&lt;AM240,AM240&lt;AO240,AO240&lt;AQ240,AQ240&lt;AS240,AS240&lt;AU240,OR(AU240&lt;AW240,AW240="-"),OR(AW240&lt;AY240,AW240="-"))</f>
        <v>1</v>
      </c>
      <c r="BC240" s="23">
        <f t="shared" ref="BC240" si="1763">_xlfn.AGGREGATE(9,6,CH240:CS240)-_xlfn.AGGREGATE(9,6,BV240:CG240)+12</f>
        <v>252</v>
      </c>
      <c r="BD240" s="5" t="s">
        <v>1376</v>
      </c>
      <c r="BE240" s="3" t="s">
        <v>1374</v>
      </c>
      <c r="BF240" s="118">
        <v>2.2000000000000002</v>
      </c>
      <c r="BG240" s="49" t="s">
        <v>1</v>
      </c>
      <c r="BH240" s="49" t="s">
        <v>1</v>
      </c>
      <c r="BI240" s="1"/>
      <c r="BJ240" s="70" t="s">
        <v>1287</v>
      </c>
      <c r="BK240" s="57" t="s">
        <v>1287</v>
      </c>
      <c r="BL240" s="57" t="s">
        <v>1287</v>
      </c>
      <c r="BM240" s="57" t="s">
        <v>1287</v>
      </c>
      <c r="BN240" s="57" t="s">
        <v>1287</v>
      </c>
      <c r="BO240" s="57" t="s">
        <v>1287</v>
      </c>
      <c r="BP240" s="57" t="s">
        <v>1287</v>
      </c>
      <c r="BQ240" s="57" t="s">
        <v>1287</v>
      </c>
      <c r="BR240" s="57" t="s">
        <v>1287</v>
      </c>
      <c r="BS240" s="57" t="s">
        <v>1287</v>
      </c>
      <c r="BT240" s="57" t="s">
        <v>1287</v>
      </c>
      <c r="BU240" s="57" t="s">
        <v>1287</v>
      </c>
      <c r="BV240" s="70">
        <f t="shared" ref="BV240" si="1764">E240</f>
        <v>28</v>
      </c>
      <c r="BW240" s="71">
        <f t="shared" ref="BW240" si="1765">I240</f>
        <v>61</v>
      </c>
      <c r="BX240" s="72">
        <f t="shared" ref="BX240" si="1766">M240</f>
        <v>65</v>
      </c>
      <c r="BY240" s="71">
        <f t="shared" ref="BY240" si="1767">Q240</f>
        <v>97</v>
      </c>
      <c r="BZ240" s="72">
        <f t="shared" ref="BZ240" si="1768">U240</f>
        <v>101</v>
      </c>
      <c r="CA240" s="71" t="str">
        <f t="shared" ref="CA240" si="1769">Y240</f>
        <v>-</v>
      </c>
      <c r="CB240" s="72">
        <f t="shared" ref="CB240" si="1770">AC240</f>
        <v>143</v>
      </c>
      <c r="CC240" s="71">
        <f t="shared" ref="CC240" si="1771">AG240</f>
        <v>180</v>
      </c>
      <c r="CD240" s="72">
        <f t="shared" ref="CD240" si="1772">AK240</f>
        <v>190</v>
      </c>
      <c r="CE240" s="71">
        <f t="shared" ref="CE240" si="1773">AO240</f>
        <v>238</v>
      </c>
      <c r="CF240" s="72">
        <f t="shared" ref="CF240" si="1774">AS240</f>
        <v>282</v>
      </c>
      <c r="CG240" s="71">
        <f t="shared" ref="CG240" si="1775">AW240</f>
        <v>309</v>
      </c>
      <c r="CH240" s="70">
        <f t="shared" ref="CH240" si="1776">G240</f>
        <v>60</v>
      </c>
      <c r="CI240" s="71">
        <f t="shared" ref="CI240" si="1777">K240</f>
        <v>64</v>
      </c>
      <c r="CJ240" s="72">
        <f t="shared" ref="CJ240" si="1778">O240</f>
        <v>95</v>
      </c>
      <c r="CK240" s="72">
        <f t="shared" ref="CK240" si="1779">S240</f>
        <v>100</v>
      </c>
      <c r="CL240" s="72">
        <f t="shared" ref="CL240" si="1780">W240</f>
        <v>136</v>
      </c>
      <c r="CM240" s="72" t="str">
        <f t="shared" ref="CM240" si="1781">AA240</f>
        <v>-</v>
      </c>
      <c r="CN240" s="72">
        <f t="shared" ref="CN240" si="1782">AE240</f>
        <v>169</v>
      </c>
      <c r="CO240" s="72">
        <f t="shared" ref="CO240" si="1783">AI240</f>
        <v>182</v>
      </c>
      <c r="CP240" s="72">
        <f t="shared" ref="CP240" si="1784">AM240</f>
        <v>226</v>
      </c>
      <c r="CQ240" s="72">
        <f t="shared" ref="CQ240" si="1785">AQ240</f>
        <v>274</v>
      </c>
      <c r="CR240" s="72">
        <f t="shared" ref="CR240" si="1786">AU240</f>
        <v>308</v>
      </c>
      <c r="CS240" s="72">
        <f t="shared" ref="CS240" si="1787">AY240</f>
        <v>320</v>
      </c>
      <c r="CT240" s="23">
        <f t="shared" ref="CT240" si="1788">M240-K240</f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29" x14ac:dyDescent="0.2">
      <c r="A241" s="3" t="str">
        <f t="shared" ref="A241" si="1789">CONCATENATE(B241,"_",C241)</f>
        <v>nk1r_human_6J20</v>
      </c>
      <c r="B241" s="3" t="s">
        <v>314</v>
      </c>
      <c r="C241" s="133" t="s">
        <v>1562</v>
      </c>
      <c r="D241" s="3" t="str">
        <f>IFERROR(MID(VLOOKUP($B241,Seqs!$A:$B,2,0),E241,1),"")</f>
        <v>P</v>
      </c>
      <c r="E241" s="3">
        <v>28</v>
      </c>
      <c r="F241" s="3" t="str">
        <f>IFERROR(MID(VLOOKUP($B241,Seqs!$A:$B,2,0),G241,1),"")</f>
        <v>A</v>
      </c>
      <c r="G241" s="3">
        <v>59</v>
      </c>
      <c r="H241" s="3" t="str">
        <f>IFERROR(MID(VLOOKUP($B241,Seqs!$A:$B,2,0),I241,1),"")</f>
        <v/>
      </c>
      <c r="I241" s="23" t="s">
        <v>23</v>
      </c>
      <c r="J241" s="3" t="str">
        <f>IFERROR(MID(VLOOKUP($B241,Seqs!$A:$B,2,0),K241,1),"")</f>
        <v/>
      </c>
      <c r="K241" s="23" t="s">
        <v>23</v>
      </c>
      <c r="L241" s="3" t="str">
        <f>IFERROR(MID(VLOOKUP($B241,Seqs!$A:$B,2,0),M241,1),"")</f>
        <v>V</v>
      </c>
      <c r="M241" s="3">
        <v>66</v>
      </c>
      <c r="N241" s="3" t="str">
        <f>IFERROR(MID(VLOOKUP($B241,Seqs!$A:$B,2,0),O241,1),"")</f>
        <v>N</v>
      </c>
      <c r="O241" s="3">
        <v>96</v>
      </c>
      <c r="P241" s="3" t="str">
        <f>IFERROR(MID(VLOOKUP($B241,Seqs!$A:$B,2,0),Q241,1),"")</f>
        <v>E</v>
      </c>
      <c r="Q241" s="3">
        <v>97</v>
      </c>
      <c r="R241" s="3" t="str">
        <f>IFERROR(MID(VLOOKUP($B241,Seqs!$A:$B,2,0),S241,1),"")</f>
        <v>Y</v>
      </c>
      <c r="S241" s="3">
        <v>100</v>
      </c>
      <c r="T241" s="3" t="str">
        <f>IFERROR(MID(VLOOKUP($B241,Seqs!$A:$B,2,0),U241,1),"")</f>
        <v>G</v>
      </c>
      <c r="U241" s="3">
        <v>101</v>
      </c>
      <c r="V241" s="3" t="str">
        <f>IFERROR(MID(VLOOKUP($B241,Seqs!$A:$B,2,0),W241,1),"")</f>
        <v>H</v>
      </c>
      <c r="W241" s="3">
        <v>136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3">
        <v>143</v>
      </c>
      <c r="AD241" s="3" t="str">
        <f>IFERROR(MID(VLOOKUP($B241,Seqs!$A:$B,2,0),AE241,1),"")</f>
        <v>S</v>
      </c>
      <c r="AE241" s="3">
        <v>169</v>
      </c>
      <c r="AF241" s="3" t="str">
        <f>IFERROR(MID(VLOOKUP($B241,Seqs!$A:$B,2,0),AG241,1),"")</f>
        <v>C</v>
      </c>
      <c r="AG241" s="3">
        <v>180</v>
      </c>
      <c r="AH241" s="3" t="str">
        <f>IFERROR(MID(VLOOKUP($B241,Seqs!$A:$B,2,0),AI241,1),"")</f>
        <v>I</v>
      </c>
      <c r="AI241" s="3">
        <v>182</v>
      </c>
      <c r="AJ241" s="3" t="str">
        <f>IFERROR(MID(VLOOKUP($B241,Seqs!$A:$B,2,0),AK241,1),"")</f>
        <v>K</v>
      </c>
      <c r="AK241" s="3">
        <v>190</v>
      </c>
      <c r="AL241" s="3" t="str">
        <f>IFERROR(MID(VLOOKUP($B241,Seqs!$A:$B,2,0),AM241,1),"")</f>
        <v>A</v>
      </c>
      <c r="AM241" s="3">
        <v>225</v>
      </c>
      <c r="AN241" s="3" t="str">
        <f>IFERROR(MID(VLOOKUP($B241,Seqs!$A:$B,2,0),AO241,1),"")</f>
        <v>S</v>
      </c>
      <c r="AO241" s="3">
        <v>241</v>
      </c>
      <c r="AP241" s="3" t="str">
        <f>IFERROR(MID(VLOOKUP($B241,Seqs!$A:$B,2,0),AQ241,1),"")</f>
        <v>N</v>
      </c>
      <c r="AQ241" s="3">
        <v>274</v>
      </c>
      <c r="AR241" s="3" t="str">
        <f>IFERROR(MID(VLOOKUP($B241,Seqs!$A:$B,2,0),AS241,1),"")</f>
        <v>I</v>
      </c>
      <c r="AS241" s="3">
        <v>283</v>
      </c>
      <c r="AT241" s="3" t="str">
        <f>IFERROR(MID(VLOOKUP($B241,Seqs!$A:$B,2,0),AU241,1),"")</f>
        <v>L</v>
      </c>
      <c r="AU241" s="3">
        <v>308</v>
      </c>
      <c r="AV241" s="3" t="str">
        <f>IFERROR(MID(VLOOKUP($B241,Seqs!$A:$B,2,0),AW241,1),"")</f>
        <v>N</v>
      </c>
      <c r="AW241" s="3">
        <v>309</v>
      </c>
      <c r="AX241" s="3" t="str">
        <f>IFERROR(MID(VLOOKUP($B241,Seqs!$A:$B,2,0),AY241,1),"")</f>
        <v>A</v>
      </c>
      <c r="AY241" s="3">
        <v>319</v>
      </c>
      <c r="AZ241" s="77" t="str">
        <f>VLOOKUP(B241,Classification!A:D,2,0)</f>
        <v>A</v>
      </c>
      <c r="BA241" s="94" t="str">
        <f>VLOOKUP(B241,Classification!A:D,4,0)</f>
        <v>Tachykinin</v>
      </c>
      <c r="BB241" s="27" t="b">
        <f t="shared" ref="BB241" si="1790">AND(E241&lt;G241,OR(G241&lt;I241,I241="-"),OR(I241&lt;K241,I241="-"),OR(K241&lt;M241,K241="-"),M241&lt;O241,OR(O241&lt;Q241,Q241="-"),OR(Q241&lt;S241,Q241="-"),OR(S241&lt;U241,S241="-"),U241&lt;W241,OR(W241&lt;Y241,Y241="-"),OR(Y241&lt;AA241,Y241="-"),OR(AA241&lt;AC241,AA241="-"),AC241&lt;AE241,OR(AE241&lt;AG241,AG241="-"),OR(AG241&lt;AI241,AG241="-"),OR(AI241&lt;AK241,AI241="-"),AK241&lt;AM241,AM241&lt;AO241,AO241&lt;AQ241,AQ241&lt;AS241,AS241&lt;AU241,OR(AU241&lt;AW241,AW241="-"),OR(AW241&lt;AY241,AW241="-"))</f>
        <v>1</v>
      </c>
      <c r="BC241" s="23">
        <f t="shared" ref="BC241" si="1791">_xlfn.AGGREGATE(9,6,CH241:CS241)-_xlfn.AGGREGATE(9,6,BV241:CG241)+12</f>
        <v>242</v>
      </c>
      <c r="BD241" s="5" t="s">
        <v>23</v>
      </c>
      <c r="BE241" s="3" t="s">
        <v>1374</v>
      </c>
      <c r="BF241" s="118">
        <v>2.7</v>
      </c>
      <c r="BG241" s="49" t="s">
        <v>1</v>
      </c>
      <c r="BH241" s="49" t="s">
        <v>1</v>
      </c>
      <c r="BI241" s="1"/>
      <c r="BJ241" s="70" t="s">
        <v>1287</v>
      </c>
      <c r="BK241" s="57" t="s">
        <v>1287</v>
      </c>
      <c r="BL241" s="57" t="s">
        <v>1287</v>
      </c>
      <c r="BM241" s="57" t="s">
        <v>1287</v>
      </c>
      <c r="BN241" s="57" t="s">
        <v>1287</v>
      </c>
      <c r="BO241" s="57" t="s">
        <v>1287</v>
      </c>
      <c r="BP241" s="57" t="s">
        <v>1287</v>
      </c>
      <c r="BQ241" s="57" t="s">
        <v>1287</v>
      </c>
      <c r="BR241" s="57" t="s">
        <v>1287</v>
      </c>
      <c r="BS241" s="57" t="s">
        <v>1287</v>
      </c>
      <c r="BT241" s="57" t="s">
        <v>1287</v>
      </c>
      <c r="BU241" s="57" t="s">
        <v>1287</v>
      </c>
      <c r="BV241" s="70">
        <f t="shared" ref="BV241" si="1792">E241</f>
        <v>28</v>
      </c>
      <c r="BW241" s="71" t="str">
        <f t="shared" ref="BW241" si="1793">I241</f>
        <v>-</v>
      </c>
      <c r="BX241" s="72">
        <f t="shared" ref="BX241" si="1794">M241</f>
        <v>66</v>
      </c>
      <c r="BY241" s="71">
        <f t="shared" ref="BY241" si="1795">Q241</f>
        <v>97</v>
      </c>
      <c r="BZ241" s="72">
        <f t="shared" ref="BZ241" si="1796">U241</f>
        <v>101</v>
      </c>
      <c r="CA241" s="71" t="str">
        <f t="shared" ref="CA241" si="1797">Y241</f>
        <v>-</v>
      </c>
      <c r="CB241" s="72">
        <f t="shared" ref="CB241" si="1798">AC241</f>
        <v>143</v>
      </c>
      <c r="CC241" s="71">
        <f t="shared" ref="CC241" si="1799">AG241</f>
        <v>180</v>
      </c>
      <c r="CD241" s="72">
        <f t="shared" ref="CD241" si="1800">AK241</f>
        <v>190</v>
      </c>
      <c r="CE241" s="71">
        <f t="shared" ref="CE241" si="1801">AO241</f>
        <v>241</v>
      </c>
      <c r="CF241" s="72">
        <f t="shared" ref="CF241" si="1802">AS241</f>
        <v>283</v>
      </c>
      <c r="CG241" s="71">
        <f t="shared" ref="CG241" si="1803">AW241</f>
        <v>309</v>
      </c>
      <c r="CH241" s="70">
        <f t="shared" ref="CH241" si="1804">G241</f>
        <v>59</v>
      </c>
      <c r="CI241" s="71" t="str">
        <f t="shared" ref="CI241" si="1805">K241</f>
        <v>-</v>
      </c>
      <c r="CJ241" s="72">
        <f t="shared" ref="CJ241" si="1806">O241</f>
        <v>96</v>
      </c>
      <c r="CK241" s="72">
        <f t="shared" ref="CK241" si="1807">S241</f>
        <v>100</v>
      </c>
      <c r="CL241" s="72">
        <f t="shared" ref="CL241" si="1808">W241</f>
        <v>136</v>
      </c>
      <c r="CM241" s="72" t="str">
        <f t="shared" ref="CM241" si="1809">AA241</f>
        <v>-</v>
      </c>
      <c r="CN241" s="72">
        <f t="shared" ref="CN241" si="1810">AE241</f>
        <v>169</v>
      </c>
      <c r="CO241" s="72">
        <f t="shared" ref="CO241" si="1811">AI241</f>
        <v>182</v>
      </c>
      <c r="CP241" s="72">
        <f t="shared" ref="CP241" si="1812">AM241</f>
        <v>225</v>
      </c>
      <c r="CQ241" s="72">
        <f t="shared" ref="CQ241" si="1813">AQ241</f>
        <v>274</v>
      </c>
      <c r="CR241" s="72">
        <f t="shared" ref="CR241" si="1814">AU241</f>
        <v>308</v>
      </c>
      <c r="CS241" s="72">
        <f t="shared" ref="CS241" si="1815">AY241</f>
        <v>319</v>
      </c>
      <c r="CT241" s="23" t="e">
        <f t="shared" ref="CT241" si="1816">M241-K241</f>
        <v>#VALUE!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29" x14ac:dyDescent="0.2">
      <c r="A242" s="3" t="str">
        <f t="shared" ref="A242" si="1817">CONCATENATE(B242,"_",C242)</f>
        <v>nk1r_human_6J21</v>
      </c>
      <c r="B242" s="3" t="s">
        <v>314</v>
      </c>
      <c r="C242" s="133" t="s">
        <v>1563</v>
      </c>
      <c r="D242" s="3" t="str">
        <f>IFERROR(MID(VLOOKUP($B242,Seqs!$A:$B,2,0),E242,1),"")</f>
        <v>P</v>
      </c>
      <c r="E242" s="3">
        <v>28</v>
      </c>
      <c r="F242" s="3" t="str">
        <f>IFERROR(MID(VLOOKUP($B242,Seqs!$A:$B,2,0),G242,1),"")</f>
        <v>A</v>
      </c>
      <c r="G242" s="3">
        <v>59</v>
      </c>
      <c r="H242" s="3" t="str">
        <f>IFERROR(MID(VLOOKUP($B242,Seqs!$A:$B,2,0),I242,1),"")</f>
        <v/>
      </c>
      <c r="I242" s="23" t="s">
        <v>23</v>
      </c>
      <c r="J242" s="3" t="str">
        <f>IFERROR(MID(VLOOKUP($B242,Seqs!$A:$B,2,0),K242,1),"")</f>
        <v/>
      </c>
      <c r="K242" s="23" t="s">
        <v>23</v>
      </c>
      <c r="L242" s="3" t="str">
        <f>IFERROR(MID(VLOOKUP($B242,Seqs!$A:$B,2,0),M242,1),"")</f>
        <v>T</v>
      </c>
      <c r="M242" s="3">
        <v>65</v>
      </c>
      <c r="N242" s="3" t="str">
        <f>IFERROR(MID(VLOOKUP($B242,Seqs!$A:$B,2,0),O242,1),"")</f>
        <v>N</v>
      </c>
      <c r="O242" s="3">
        <v>96</v>
      </c>
      <c r="P242" s="3" t="str">
        <f>IFERROR(MID(VLOOKUP($B242,Seqs!$A:$B,2,0),Q242,1),"")</f>
        <v>E</v>
      </c>
      <c r="Q242" s="3">
        <v>97</v>
      </c>
      <c r="R242" s="3" t="str">
        <f>IFERROR(MID(VLOOKUP($B242,Seqs!$A:$B,2,0),S242,1),"")</f>
        <v>Y</v>
      </c>
      <c r="S242" s="3">
        <v>100</v>
      </c>
      <c r="T242" s="3" t="str">
        <f>IFERROR(MID(VLOOKUP($B242,Seqs!$A:$B,2,0),U242,1),"")</f>
        <v>G</v>
      </c>
      <c r="U242" s="3">
        <v>101</v>
      </c>
      <c r="V242" s="3" t="str">
        <f>IFERROR(MID(VLOOKUP($B242,Seqs!$A:$B,2,0),W242,1),"")</f>
        <v>H</v>
      </c>
      <c r="W242" s="3">
        <v>136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S</v>
      </c>
      <c r="AC242" s="3">
        <v>143</v>
      </c>
      <c r="AD242" s="3" t="str">
        <f>IFERROR(MID(VLOOKUP($B242,Seqs!$A:$B,2,0),AE242,1),"")</f>
        <v>S</v>
      </c>
      <c r="AE242" s="3">
        <v>169</v>
      </c>
      <c r="AF242" s="3" t="str">
        <f>IFERROR(MID(VLOOKUP($B242,Seqs!$A:$B,2,0),AG242,1),"")</f>
        <v>C</v>
      </c>
      <c r="AG242" s="3">
        <v>180</v>
      </c>
      <c r="AH242" s="3" t="str">
        <f>IFERROR(MID(VLOOKUP($B242,Seqs!$A:$B,2,0),AI242,1),"")</f>
        <v>I</v>
      </c>
      <c r="AI242" s="3">
        <v>182</v>
      </c>
      <c r="AJ242" s="3" t="str">
        <f>IFERROR(MID(VLOOKUP($B242,Seqs!$A:$B,2,0),AK242,1),"")</f>
        <v>I</v>
      </c>
      <c r="AK242" s="3">
        <v>191</v>
      </c>
      <c r="AL242" s="3" t="str">
        <f>IFERROR(MID(VLOOKUP($B242,Seqs!$A:$B,2,0),AM242,1),"")</f>
        <v>A</v>
      </c>
      <c r="AM242" s="3">
        <v>225</v>
      </c>
      <c r="AN242" s="3" t="str">
        <f>IFERROR(MID(VLOOKUP($B242,Seqs!$A:$B,2,0),AO242,1),"")</f>
        <v>A</v>
      </c>
      <c r="AO242" s="3">
        <v>242</v>
      </c>
      <c r="AP242" s="3" t="str">
        <f>IFERROR(MID(VLOOKUP($B242,Seqs!$A:$B,2,0),AQ242,1),"")</f>
        <v>N</v>
      </c>
      <c r="AQ242" s="3">
        <v>274</v>
      </c>
      <c r="AR242" s="3" t="str">
        <f>IFERROR(MID(VLOOKUP($B242,Seqs!$A:$B,2,0),AS242,1),"")</f>
        <v>F</v>
      </c>
      <c r="AS242" s="3">
        <v>282</v>
      </c>
      <c r="AT242" s="3" t="str">
        <f>IFERROR(MID(VLOOKUP($B242,Seqs!$A:$B,2,0),AU242,1),"")</f>
        <v>L</v>
      </c>
      <c r="AU242" s="3">
        <v>308</v>
      </c>
      <c r="AV242" s="3" t="str">
        <f>IFERROR(MID(VLOOKUP($B242,Seqs!$A:$B,2,0),AW242,1),"")</f>
        <v>N</v>
      </c>
      <c r="AW242" s="3">
        <v>309</v>
      </c>
      <c r="AX242" s="3" t="str">
        <f>IFERROR(MID(VLOOKUP($B242,Seqs!$A:$B,2,0),AY242,1),"")</f>
        <v>A</v>
      </c>
      <c r="AY242" s="3">
        <v>319</v>
      </c>
      <c r="AZ242" s="77" t="str">
        <f>VLOOKUP(B242,Classification!A:D,2,0)</f>
        <v>A</v>
      </c>
      <c r="BA242" s="94" t="str">
        <f>VLOOKUP(B242,Classification!A:D,4,0)</f>
        <v>Tachykinin</v>
      </c>
      <c r="BB242" s="27" t="b">
        <f t="shared" ref="BB242" si="1818">AND(E242&lt;G242,OR(G242&lt;I242,I242="-"),OR(I242&lt;K242,I242="-"),OR(K242&lt;M242,K242="-"),M242&lt;O242,OR(O242&lt;Q242,Q242="-"),OR(Q242&lt;S242,Q242="-"),OR(S242&lt;U242,S242="-"),U242&lt;W242,OR(W242&lt;Y242,Y242="-"),OR(Y242&lt;AA242,Y242="-"),OR(AA242&lt;AC242,AA242="-"),AC242&lt;AE242,OR(AE242&lt;AG242,AG242="-"),OR(AG242&lt;AI242,AG242="-"),OR(AI242&lt;AK242,AI242="-"),AK242&lt;AM242,AM242&lt;AO242,AO242&lt;AQ242,AQ242&lt;AS242,AS242&lt;AU242,OR(AU242&lt;AW242,AW242="-"),OR(AW242&lt;AY242,AW242="-"))</f>
        <v>1</v>
      </c>
      <c r="BC242" s="23">
        <f t="shared" ref="BC242" si="1819">_xlfn.AGGREGATE(9,6,CH242:CS242)-_xlfn.AGGREGATE(9,6,BV242:CG242)+12</f>
        <v>242</v>
      </c>
      <c r="BD242" s="5" t="s">
        <v>23</v>
      </c>
      <c r="BE242" s="3" t="s">
        <v>1374</v>
      </c>
      <c r="BF242" s="118">
        <v>3.2</v>
      </c>
      <c r="BG242" s="49" t="s">
        <v>1</v>
      </c>
      <c r="BH242" s="49" t="s">
        <v>1</v>
      </c>
      <c r="BI242" s="1"/>
      <c r="BJ242" s="70" t="s">
        <v>1287</v>
      </c>
      <c r="BK242" s="57" t="s">
        <v>1287</v>
      </c>
      <c r="BL242" s="57" t="s">
        <v>1287</v>
      </c>
      <c r="BM242" s="57" t="s">
        <v>1287</v>
      </c>
      <c r="BN242" s="57" t="s">
        <v>1287</v>
      </c>
      <c r="BO242" s="57" t="s">
        <v>1287</v>
      </c>
      <c r="BP242" s="57" t="s">
        <v>1287</v>
      </c>
      <c r="BQ242" s="57" t="s">
        <v>1287</v>
      </c>
      <c r="BR242" s="57" t="s">
        <v>1287</v>
      </c>
      <c r="BS242" s="57" t="s">
        <v>1287</v>
      </c>
      <c r="BT242" s="57" t="s">
        <v>1287</v>
      </c>
      <c r="BU242" s="57" t="s">
        <v>1287</v>
      </c>
      <c r="BV242" s="70">
        <f t="shared" ref="BV242" si="1820">E242</f>
        <v>28</v>
      </c>
      <c r="BW242" s="71" t="str">
        <f t="shared" ref="BW242" si="1821">I242</f>
        <v>-</v>
      </c>
      <c r="BX242" s="72">
        <f t="shared" ref="BX242" si="1822">M242</f>
        <v>65</v>
      </c>
      <c r="BY242" s="71">
        <f t="shared" ref="BY242" si="1823">Q242</f>
        <v>97</v>
      </c>
      <c r="BZ242" s="72">
        <f t="shared" ref="BZ242" si="1824">U242</f>
        <v>101</v>
      </c>
      <c r="CA242" s="71" t="str">
        <f t="shared" ref="CA242" si="1825">Y242</f>
        <v>-</v>
      </c>
      <c r="CB242" s="72">
        <f t="shared" ref="CB242" si="1826">AC242</f>
        <v>143</v>
      </c>
      <c r="CC242" s="71">
        <f t="shared" ref="CC242" si="1827">AG242</f>
        <v>180</v>
      </c>
      <c r="CD242" s="72">
        <f t="shared" ref="CD242" si="1828">AK242</f>
        <v>191</v>
      </c>
      <c r="CE242" s="71">
        <f t="shared" ref="CE242" si="1829">AO242</f>
        <v>242</v>
      </c>
      <c r="CF242" s="72">
        <f t="shared" ref="CF242" si="1830">AS242</f>
        <v>282</v>
      </c>
      <c r="CG242" s="71">
        <f t="shared" ref="CG242" si="1831">AW242</f>
        <v>309</v>
      </c>
      <c r="CH242" s="70">
        <f t="shared" ref="CH242" si="1832">G242</f>
        <v>59</v>
      </c>
      <c r="CI242" s="71" t="str">
        <f t="shared" ref="CI242" si="1833">K242</f>
        <v>-</v>
      </c>
      <c r="CJ242" s="72">
        <f t="shared" ref="CJ242" si="1834">O242</f>
        <v>96</v>
      </c>
      <c r="CK242" s="72">
        <f t="shared" ref="CK242" si="1835">S242</f>
        <v>100</v>
      </c>
      <c r="CL242" s="72">
        <f t="shared" ref="CL242" si="1836">W242</f>
        <v>136</v>
      </c>
      <c r="CM242" s="72" t="str">
        <f t="shared" ref="CM242" si="1837">AA242</f>
        <v>-</v>
      </c>
      <c r="CN242" s="72">
        <f t="shared" ref="CN242" si="1838">AE242</f>
        <v>169</v>
      </c>
      <c r="CO242" s="72">
        <f t="shared" ref="CO242" si="1839">AI242</f>
        <v>182</v>
      </c>
      <c r="CP242" s="72">
        <f t="shared" ref="CP242" si="1840">AM242</f>
        <v>225</v>
      </c>
      <c r="CQ242" s="72">
        <f t="shared" ref="CQ242" si="1841">AQ242</f>
        <v>274</v>
      </c>
      <c r="CR242" s="72">
        <f t="shared" ref="CR242" si="1842">AU242</f>
        <v>308</v>
      </c>
      <c r="CS242" s="72">
        <f t="shared" ref="CS242" si="1843">AY242</f>
        <v>319</v>
      </c>
      <c r="CT242" s="23" t="e">
        <f t="shared" ref="CT242" si="1844">M242-K242</f>
        <v>#VALUE!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29" x14ac:dyDescent="0.2">
      <c r="A243" s="3" t="str">
        <f>CONCATENATE(B243,"_",C243)</f>
        <v>npy1r_human__wt</v>
      </c>
      <c r="B243" s="3" t="s">
        <v>325</v>
      </c>
      <c r="C243" s="3" t="s">
        <v>100</v>
      </c>
      <c r="D243" s="3" t="str">
        <f>IFERROR(MID(VLOOKUP($B243,Seqs!$A:$B,2,0),E243,1),"")</f>
        <v>P</v>
      </c>
      <c r="E243" s="3">
        <v>36</v>
      </c>
      <c r="F243" s="3" t="str">
        <f>IFERROR(MID(VLOOKUP($B243,Seqs!$A:$B,2,0),G243,1),"")</f>
        <v>Q</v>
      </c>
      <c r="G243" s="3">
        <v>68</v>
      </c>
      <c r="H243" s="3" t="str">
        <f>IFERROR(MID(VLOOKUP($B243,Seqs!$A:$B,2,0),I243,1),"")</f>
        <v>K</v>
      </c>
      <c r="I243" s="23">
        <v>69</v>
      </c>
      <c r="J243" s="3" t="str">
        <f>IFERROR(MID(VLOOKUP($B243,Seqs!$A:$B,2,0),K243,1),"")</f>
        <v>R</v>
      </c>
      <c r="K243" s="23">
        <v>72</v>
      </c>
      <c r="L243" s="3" t="str">
        <f>IFERROR(MID(VLOOKUP($B243,Seqs!$A:$B,2,0),M243,1),"")</f>
        <v>N</v>
      </c>
      <c r="M243" s="3">
        <v>73</v>
      </c>
      <c r="N243" s="3" t="str">
        <f>IFERROR(MID(VLOOKUP($B243,Seqs!$A:$B,2,0),O243,1),"")</f>
        <v>D</v>
      </c>
      <c r="O243" s="3">
        <v>104</v>
      </c>
      <c r="P243" s="3" t="str">
        <f>IFERROR(MID(VLOOKUP($B243,Seqs!$A:$B,2,0),Q243,1),"")</f>
        <v>H</v>
      </c>
      <c r="Q243" s="3">
        <v>105</v>
      </c>
      <c r="R243" s="3" t="str">
        <f>IFERROR(MID(VLOOKUP($B243,Seqs!$A:$B,2,0),S243,1),"")</f>
        <v>F</v>
      </c>
      <c r="S243" s="3">
        <v>108</v>
      </c>
      <c r="T243" s="3" t="str">
        <f>IFERROR(MID(VLOOKUP($B243,Seqs!$A:$B,2,0),U243,1),"")</f>
        <v>G</v>
      </c>
      <c r="U243" s="3">
        <v>109</v>
      </c>
      <c r="V243" s="3" t="str">
        <f>IFERROR(MID(VLOOKUP($B243,Seqs!$A:$B,2,0),W243,1),"")</f>
        <v>N</v>
      </c>
      <c r="W243" s="3">
        <v>144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N</v>
      </c>
      <c r="AC243" s="3">
        <v>151</v>
      </c>
      <c r="AD243" s="3" t="str">
        <f>IFERROR(MID(VLOOKUP($B243,Seqs!$A:$B,2,0),AE243,1),"")</f>
        <v>Q</v>
      </c>
      <c r="AE243" s="3">
        <v>177</v>
      </c>
      <c r="AF243" s="3" t="str">
        <f>IFERROR(MID(VLOOKUP($B243,Seqs!$A:$B,2,0),AG243,1),"")</f>
        <v>C</v>
      </c>
      <c r="AG243" s="3">
        <v>198</v>
      </c>
      <c r="AH243" s="3" t="str">
        <f>IFERROR(MID(VLOOKUP($B243,Seqs!$A:$B,2,0),AI243,1),"")</f>
        <v>D</v>
      </c>
      <c r="AI243" s="3">
        <v>200</v>
      </c>
      <c r="AJ243" s="3" t="str">
        <f>IFERROR(MID(VLOOKUP($B243,Seqs!$A:$B,2,0),AK243,1),"")</f>
        <v>S</v>
      </c>
      <c r="AK243" s="3">
        <v>204</v>
      </c>
      <c r="AL243" s="3" t="str">
        <f>IFERROR(MID(VLOOKUP($B243,Seqs!$A:$B,2,0),AM243,1),"")</f>
        <v>M</v>
      </c>
      <c r="AM243" s="3">
        <v>245</v>
      </c>
      <c r="AN243" s="3" t="str">
        <f>IFERROR(MID(VLOOKUP($B243,Seqs!$A:$B,2,0),AO243,1),"")</f>
        <v>D</v>
      </c>
      <c r="AO243" s="3">
        <v>250</v>
      </c>
      <c r="AP243" s="3" t="str">
        <f>IFERROR(MID(VLOOKUP($B243,Seqs!$A:$B,2,0),AQ243,1),"")</f>
        <v>N</v>
      </c>
      <c r="AQ243" s="3">
        <v>289</v>
      </c>
      <c r="AR243" s="3" t="str">
        <f>IFERROR(MID(VLOOKUP($B243,Seqs!$A:$B,2,0),AS243,1),"")</f>
        <v>T</v>
      </c>
      <c r="AS243" s="3">
        <v>295</v>
      </c>
      <c r="AT243" s="3" t="str">
        <f>IFERROR(MID(VLOOKUP($B243,Seqs!$A:$B,2,0),AU243,1),"")</f>
        <v>L</v>
      </c>
      <c r="AU243" s="3">
        <v>323</v>
      </c>
      <c r="AV243" s="3" t="str">
        <f>IFERROR(MID(VLOOKUP($B243,Seqs!$A:$B,2,0),AW243,1),"")</f>
        <v>N</v>
      </c>
      <c r="AW243" s="3">
        <v>324</v>
      </c>
      <c r="AX243" s="3" t="str">
        <f>IFERROR(MID(VLOOKUP($B243,Seqs!$A:$B,2,0),AY243,1),"")</f>
        <v>F</v>
      </c>
      <c r="AY243" s="3">
        <v>335</v>
      </c>
      <c r="AZ243" s="77" t="str">
        <f>VLOOKUP(B243,Classification!A:D,2,0)</f>
        <v>A</v>
      </c>
      <c r="BA243" s="94" t="str">
        <f>VLOOKUP(B243,Classification!A:D,4,0)</f>
        <v>NeuropeptideY</v>
      </c>
      <c r="BB243" s="27" t="b">
        <f>AND(E243&lt;G243,OR(G243&lt;I243,I243="-"),OR(I243&lt;K243,I243="-"),OR(K243&lt;M243,K243="-"),M243&lt;O243,OR(O243&lt;Q243,Q243="-"),OR(Q243&lt;S243,Q243="-"),OR(S243&lt;U243,S243="-"),U243&lt;W243,OR(W243&lt;Y243,Y243="-"),OR(Y243&lt;AA243,Y243="-"),OR(AA243&lt;AC243,AA243="-"),AC243&lt;AE243,OR(AE243&lt;AG243,AG243="-"),OR(AG243&lt;AI243,AG243="-"),OR(AI243&lt;AK243,AI243="-"),AK243&lt;AM243,AM243&lt;AO243,AO243&lt;AQ243,AQ243&lt;AS243,AS243&lt;AU243,OR(AU243&lt;AW243,AW243="-"),OR(AW243&lt;AY243,AW243="-"))</f>
        <v>1</v>
      </c>
      <c r="BC243" s="23">
        <f>_xlfn.AGGREGATE(9,6,CH243:CS243)-_xlfn.AGGREGATE(9,6,BV243:CG243)+12</f>
        <v>263</v>
      </c>
      <c r="BD243" s="5" t="s">
        <v>23</v>
      </c>
      <c r="BE243" s="3" t="s">
        <v>1374</v>
      </c>
      <c r="BF243" s="118" t="s">
        <v>23</v>
      </c>
      <c r="BG243" s="49" t="s">
        <v>1377</v>
      </c>
      <c r="BH243" s="49" t="s">
        <v>1377</v>
      </c>
      <c r="BI243" s="1"/>
      <c r="BJ243" s="70" t="s">
        <v>1287</v>
      </c>
      <c r="BK243" s="57" t="s">
        <v>1287</v>
      </c>
      <c r="BL243" s="57" t="s">
        <v>1287</v>
      </c>
      <c r="BM243" s="57" t="s">
        <v>1287</v>
      </c>
      <c r="BN243" s="57" t="s">
        <v>1287</v>
      </c>
      <c r="BO243" s="57" t="s">
        <v>1287</v>
      </c>
      <c r="BP243" s="57" t="s">
        <v>1287</v>
      </c>
      <c r="BQ243" s="57" t="s">
        <v>1287</v>
      </c>
      <c r="BR243" s="57" t="s">
        <v>1287</v>
      </c>
      <c r="BS243" s="57" t="s">
        <v>1287</v>
      </c>
      <c r="BT243" s="57" t="s">
        <v>1287</v>
      </c>
      <c r="BU243" s="57" t="s">
        <v>1287</v>
      </c>
      <c r="BV243" s="70">
        <f>E243</f>
        <v>36</v>
      </c>
      <c r="BW243" s="71">
        <f>I243</f>
        <v>69</v>
      </c>
      <c r="BX243" s="72">
        <f>M243</f>
        <v>73</v>
      </c>
      <c r="BY243" s="71">
        <f>Q243</f>
        <v>105</v>
      </c>
      <c r="BZ243" s="72">
        <f>U243</f>
        <v>109</v>
      </c>
      <c r="CA243" s="71" t="str">
        <f>Y243</f>
        <v>-</v>
      </c>
      <c r="CB243" s="72">
        <f>AC243</f>
        <v>151</v>
      </c>
      <c r="CC243" s="71">
        <f>AG243</f>
        <v>198</v>
      </c>
      <c r="CD243" s="72">
        <f>AK243</f>
        <v>204</v>
      </c>
      <c r="CE243" s="71">
        <f>AO243</f>
        <v>250</v>
      </c>
      <c r="CF243" s="72">
        <f>AS243</f>
        <v>295</v>
      </c>
      <c r="CG243" s="71">
        <f>AW243</f>
        <v>324</v>
      </c>
      <c r="CH243" s="70">
        <f>G243</f>
        <v>68</v>
      </c>
      <c r="CI243" s="71">
        <f>K243</f>
        <v>72</v>
      </c>
      <c r="CJ243" s="72">
        <f>O243</f>
        <v>104</v>
      </c>
      <c r="CK243" s="72">
        <f>S243</f>
        <v>108</v>
      </c>
      <c r="CL243" s="72">
        <f>W243</f>
        <v>144</v>
      </c>
      <c r="CM243" s="72" t="str">
        <f>AA243</f>
        <v>-</v>
      </c>
      <c r="CN243" s="72">
        <f>AE243</f>
        <v>177</v>
      </c>
      <c r="CO243" s="72">
        <f>AI243</f>
        <v>200</v>
      </c>
      <c r="CP243" s="72">
        <f>AM243</f>
        <v>245</v>
      </c>
      <c r="CQ243" s="72">
        <f>AQ243</f>
        <v>289</v>
      </c>
      <c r="CR243" s="72">
        <f>AU243</f>
        <v>323</v>
      </c>
      <c r="CS243" s="72">
        <f>AY243</f>
        <v>335</v>
      </c>
      <c r="CT243" s="23">
        <f>M243-K243</f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29" x14ac:dyDescent="0.2">
      <c r="A244" s="3" t="str">
        <f>CONCATENATE(B244,"_",C244)</f>
        <v>npy1r_human_5ZBH</v>
      </c>
      <c r="B244" s="3" t="s">
        <v>325</v>
      </c>
      <c r="C244" s="3" t="s">
        <v>1490</v>
      </c>
      <c r="D244" s="3" t="str">
        <f>IFERROR(MID(VLOOKUP($B244,Seqs!$A:$B,2,0),E244,1),"")</f>
        <v>P</v>
      </c>
      <c r="E244" s="3">
        <v>36</v>
      </c>
      <c r="F244" s="3" t="str">
        <f>IFERROR(MID(VLOOKUP($B244,Seqs!$A:$B,2,0),G244,1),"")</f>
        <v>Q</v>
      </c>
      <c r="G244" s="3">
        <v>68</v>
      </c>
      <c r="H244" s="3" t="str">
        <f>IFERROR(MID(VLOOKUP($B244,Seqs!$A:$B,2,0),I244,1),"")</f>
        <v>K</v>
      </c>
      <c r="I244" s="23">
        <v>69</v>
      </c>
      <c r="J244" s="3" t="str">
        <f>IFERROR(MID(VLOOKUP($B244,Seqs!$A:$B,2,0),K244,1),"")</f>
        <v>R</v>
      </c>
      <c r="K244" s="23">
        <v>72</v>
      </c>
      <c r="L244" s="3" t="str">
        <f>IFERROR(MID(VLOOKUP($B244,Seqs!$A:$B,2,0),M244,1),"")</f>
        <v>N</v>
      </c>
      <c r="M244" s="3">
        <v>73</v>
      </c>
      <c r="N244" s="3" t="str">
        <f>IFERROR(MID(VLOOKUP($B244,Seqs!$A:$B,2,0),O244,1),"")</f>
        <v>M</v>
      </c>
      <c r="O244" s="3">
        <v>103</v>
      </c>
      <c r="P244" s="3" t="str">
        <f>IFERROR(MID(VLOOKUP($B244,Seqs!$A:$B,2,0),Q244,1),"")</f>
        <v>H</v>
      </c>
      <c r="Q244" s="3">
        <v>105</v>
      </c>
      <c r="R244" s="3" t="str">
        <f>IFERROR(MID(VLOOKUP($B244,Seqs!$A:$B,2,0),S244,1),"")</f>
        <v>F</v>
      </c>
      <c r="S244" s="3">
        <v>108</v>
      </c>
      <c r="T244" s="3" t="str">
        <f>IFERROR(MID(VLOOKUP($B244,Seqs!$A:$B,2,0),U244,1),"")</f>
        <v>G</v>
      </c>
      <c r="U244" s="3">
        <v>109</v>
      </c>
      <c r="V244" s="3" t="str">
        <f>IFERROR(MID(VLOOKUP($B244,Seqs!$A:$B,2,0),W244,1),"")</f>
        <v>N</v>
      </c>
      <c r="W244" s="3">
        <v>144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N</v>
      </c>
      <c r="AC244" s="3">
        <v>151</v>
      </c>
      <c r="AD244" s="3" t="str">
        <f>IFERROR(MID(VLOOKUP($B244,Seqs!$A:$B,2,0),AE244,1),"")</f>
        <v>Y</v>
      </c>
      <c r="AE244" s="3">
        <v>176</v>
      </c>
      <c r="AF244" s="3" t="str">
        <f>IFERROR(MID(VLOOKUP($B244,Seqs!$A:$B,2,0),AG244,1),"")</f>
        <v>C</v>
      </c>
      <c r="AG244" s="3">
        <v>198</v>
      </c>
      <c r="AH244" s="3" t="str">
        <f>IFERROR(MID(VLOOKUP($B244,Seqs!$A:$B,2,0),AI244,1),"")</f>
        <v>D</v>
      </c>
      <c r="AI244" s="3">
        <v>200</v>
      </c>
      <c r="AJ244" s="3" t="str">
        <f>IFERROR(MID(VLOOKUP($B244,Seqs!$A:$B,2,0),AK244,1),"")</f>
        <v>S</v>
      </c>
      <c r="AK244" s="3">
        <v>204</v>
      </c>
      <c r="AL244" s="3" t="str">
        <f>IFERROR(MID(VLOOKUP($B244,Seqs!$A:$B,2,0),AM244,1),"")</f>
        <v>R</v>
      </c>
      <c r="AM244" s="3">
        <v>241</v>
      </c>
      <c r="AN244" s="3" t="str">
        <f>IFERROR(MID(VLOOKUP($B244,Seqs!$A:$B,2,0),AO244,1),"")</f>
        <v>Y</v>
      </c>
      <c r="AO244" s="3">
        <v>253</v>
      </c>
      <c r="AP244" s="3" t="str">
        <f>IFERROR(MID(VLOOKUP($B244,Seqs!$A:$B,2,0),AQ244,1),"")</f>
        <v>N</v>
      </c>
      <c r="AQ244" s="3">
        <v>289</v>
      </c>
      <c r="AR244" s="3" t="str">
        <f>IFERROR(MID(VLOOKUP($B244,Seqs!$A:$B,2,0),AS244,1),"")</f>
        <v>T</v>
      </c>
      <c r="AS244" s="3">
        <v>295</v>
      </c>
      <c r="AT244" s="3" t="str">
        <f>IFERROR(MID(VLOOKUP($B244,Seqs!$A:$B,2,0),AU244,1),"")</f>
        <v>L</v>
      </c>
      <c r="AU244" s="3">
        <v>323</v>
      </c>
      <c r="AV244" s="3" t="str">
        <f>IFERROR(MID(VLOOKUP($B244,Seqs!$A:$B,2,0),AW244,1),"")</f>
        <v>N</v>
      </c>
      <c r="AW244" s="3">
        <v>324</v>
      </c>
      <c r="AX244" s="3" t="str">
        <f>IFERROR(MID(VLOOKUP($B244,Seqs!$A:$B,2,0),AY244,1),"")</f>
        <v>F</v>
      </c>
      <c r="AY244" s="3">
        <v>335</v>
      </c>
      <c r="AZ244" s="77" t="str">
        <f>VLOOKUP(B244,Classification!A:D,2,0)</f>
        <v>A</v>
      </c>
      <c r="BA244" s="94" t="str">
        <f>VLOOKUP(B244,Classification!A:D,4,0)</f>
        <v>NeuropeptideY</v>
      </c>
      <c r="BB244" s="27" t="b">
        <f>AND(E244&lt;G244,OR(G244&lt;I244,I244="-"),OR(I244&lt;K244,I244="-"),OR(K244&lt;M244,K244="-"),M244&lt;O244,OR(O244&lt;Q244,Q244="-"),OR(Q244&lt;S244,Q244="-"),OR(S244&lt;U244,S244="-"),U244&lt;W244,OR(W244&lt;Y244,Y244="-"),OR(Y244&lt;AA244,Y244="-"),OR(AA244&lt;AC244,AA244="-"),AC244&lt;AE244,OR(AE244&lt;AG244,AG244="-"),OR(AG244&lt;AI244,AG244="-"),OR(AI244&lt;AK244,AI244="-"),AK244&lt;AM244,AM244&lt;AO244,AO244&lt;AQ244,AQ244&lt;AS244,AS244&lt;AU244,OR(AU244&lt;AW244,AW244="-"),OR(AW244&lt;AY244,AW244="-"))</f>
        <v>1</v>
      </c>
      <c r="BC244" s="23">
        <f>_xlfn.AGGREGATE(9,6,CH244:CS244)-_xlfn.AGGREGATE(9,6,BV244:CG244)+12</f>
        <v>254</v>
      </c>
      <c r="BD244" s="5" t="s">
        <v>1376</v>
      </c>
      <c r="BE244" s="3" t="s">
        <v>1374</v>
      </c>
      <c r="BF244" s="118">
        <v>3</v>
      </c>
      <c r="BG244" s="49" t="s">
        <v>1</v>
      </c>
      <c r="BH244" s="49" t="s">
        <v>1</v>
      </c>
      <c r="BI244" s="1"/>
      <c r="BJ244" s="70" t="s">
        <v>1287</v>
      </c>
      <c r="BK244" s="57" t="s">
        <v>1287</v>
      </c>
      <c r="BL244" s="57" t="s">
        <v>1287</v>
      </c>
      <c r="BM244" s="57" t="s">
        <v>1287</v>
      </c>
      <c r="BN244" s="57" t="s">
        <v>1287</v>
      </c>
      <c r="BO244" s="57" t="s">
        <v>1287</v>
      </c>
      <c r="BP244" s="57" t="s">
        <v>1287</v>
      </c>
      <c r="BQ244" s="57" t="s">
        <v>1287</v>
      </c>
      <c r="BR244" s="57" t="s">
        <v>1287</v>
      </c>
      <c r="BS244" s="57" t="s">
        <v>1287</v>
      </c>
      <c r="BT244" s="57" t="s">
        <v>1287</v>
      </c>
      <c r="BU244" s="57" t="s">
        <v>1287</v>
      </c>
      <c r="BV244" s="70">
        <f>E244</f>
        <v>36</v>
      </c>
      <c r="BW244" s="71">
        <f>I244</f>
        <v>69</v>
      </c>
      <c r="BX244" s="72">
        <f>M244</f>
        <v>73</v>
      </c>
      <c r="BY244" s="71">
        <f>Q244</f>
        <v>105</v>
      </c>
      <c r="BZ244" s="72">
        <f>U244</f>
        <v>109</v>
      </c>
      <c r="CA244" s="71" t="str">
        <f>Y244</f>
        <v>-</v>
      </c>
      <c r="CB244" s="72">
        <f>AC244</f>
        <v>151</v>
      </c>
      <c r="CC244" s="71">
        <f>AG244</f>
        <v>198</v>
      </c>
      <c r="CD244" s="72">
        <f>AK244</f>
        <v>204</v>
      </c>
      <c r="CE244" s="71">
        <f>AO244</f>
        <v>253</v>
      </c>
      <c r="CF244" s="72">
        <f>AS244</f>
        <v>295</v>
      </c>
      <c r="CG244" s="71">
        <f>AW244</f>
        <v>324</v>
      </c>
      <c r="CH244" s="70">
        <f>G244</f>
        <v>68</v>
      </c>
      <c r="CI244" s="71">
        <f>K244</f>
        <v>72</v>
      </c>
      <c r="CJ244" s="72">
        <f>O244</f>
        <v>103</v>
      </c>
      <c r="CK244" s="72">
        <f>S244</f>
        <v>108</v>
      </c>
      <c r="CL244" s="72">
        <f>W244</f>
        <v>144</v>
      </c>
      <c r="CM244" s="72" t="str">
        <f>AA244</f>
        <v>-</v>
      </c>
      <c r="CN244" s="72">
        <f>AE244</f>
        <v>176</v>
      </c>
      <c r="CO244" s="72">
        <f>AI244</f>
        <v>200</v>
      </c>
      <c r="CP244" s="72">
        <f>AM244</f>
        <v>241</v>
      </c>
      <c r="CQ244" s="72">
        <f>AQ244</f>
        <v>289</v>
      </c>
      <c r="CR244" s="72">
        <f>AU244</f>
        <v>323</v>
      </c>
      <c r="CS244" s="72">
        <f>AY244</f>
        <v>335</v>
      </c>
      <c r="CT244" s="23">
        <f>M244-K244</f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29" x14ac:dyDescent="0.2">
      <c r="A245" s="3" t="str">
        <f>CONCATENATE(B245,"_",C245)</f>
        <v>npy1r_human_5ZBQ</v>
      </c>
      <c r="B245" s="3" t="s">
        <v>325</v>
      </c>
      <c r="C245" s="3" t="s">
        <v>1489</v>
      </c>
      <c r="D245" s="3" t="str">
        <f>IFERROR(MID(VLOOKUP($B245,Seqs!$A:$B,2,0),E245,1),"")</f>
        <v>P</v>
      </c>
      <c r="E245" s="3">
        <v>36</v>
      </c>
      <c r="F245" s="3" t="str">
        <f>IFERROR(MID(VLOOKUP($B245,Seqs!$A:$B,2,0),G245,1),"")</f>
        <v>Q</v>
      </c>
      <c r="G245" s="3">
        <v>68</v>
      </c>
      <c r="H245" s="3" t="str">
        <f>IFERROR(MID(VLOOKUP($B245,Seqs!$A:$B,2,0),I245,1),"")</f>
        <v/>
      </c>
      <c r="I245" s="23" t="s">
        <v>23</v>
      </c>
      <c r="J245" s="3" t="str">
        <f>IFERROR(MID(VLOOKUP($B245,Seqs!$A:$B,2,0),K245,1),"")</f>
        <v/>
      </c>
      <c r="K245" s="23" t="s">
        <v>23</v>
      </c>
      <c r="L245" s="3" t="str">
        <f>IFERROR(MID(VLOOKUP($B245,Seqs!$A:$B,2,0),M245,1),"")</f>
        <v>V</v>
      </c>
      <c r="M245" s="3">
        <v>74</v>
      </c>
      <c r="N245" s="3" t="str">
        <f>IFERROR(MID(VLOOKUP($B245,Seqs!$A:$B,2,0),O245,1),"")</f>
        <v>D</v>
      </c>
      <c r="O245" s="3">
        <v>104</v>
      </c>
      <c r="P245" s="3" t="str">
        <f>IFERROR(MID(VLOOKUP($B245,Seqs!$A:$B,2,0),Q245,1),"")</f>
        <v>W</v>
      </c>
      <c r="Q245" s="3">
        <v>106</v>
      </c>
      <c r="R245" s="3" t="str">
        <f>IFERROR(MID(VLOOKUP($B245,Seqs!$A:$B,2,0),S245,1),"")</f>
        <v>F</v>
      </c>
      <c r="S245" s="3">
        <v>108</v>
      </c>
      <c r="T245" s="3" t="str">
        <f>IFERROR(MID(VLOOKUP($B245,Seqs!$A:$B,2,0),U245,1),"")</f>
        <v>G</v>
      </c>
      <c r="U245" s="3">
        <v>109</v>
      </c>
      <c r="V245" s="3" t="str">
        <f>IFERROR(MID(VLOOKUP($B245,Seqs!$A:$B,2,0),W245,1),"")</f>
        <v>I</v>
      </c>
      <c r="W245" s="3">
        <v>143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N</v>
      </c>
      <c r="AC245" s="3">
        <v>151</v>
      </c>
      <c r="AD245" s="3" t="str">
        <f>IFERROR(MID(VLOOKUP($B245,Seqs!$A:$B,2,0),AE245,1),"")</f>
        <v>Q</v>
      </c>
      <c r="AE245" s="3">
        <v>177</v>
      </c>
      <c r="AF245" s="3" t="str">
        <f>IFERROR(MID(VLOOKUP($B245,Seqs!$A:$B,2,0),AG245,1),"")</f>
        <v>C</v>
      </c>
      <c r="AG245" s="3">
        <v>198</v>
      </c>
      <c r="AH245" s="3" t="str">
        <f>IFERROR(MID(VLOOKUP($B245,Seqs!$A:$B,2,0),AI245,1),"")</f>
        <v>D</v>
      </c>
      <c r="AI245" s="3">
        <v>200</v>
      </c>
      <c r="AJ245" s="3" t="str">
        <f>IFERROR(MID(VLOOKUP($B245,Seqs!$A:$B,2,0),AK245,1),"")</f>
        <v>S</v>
      </c>
      <c r="AK245" s="3">
        <v>204</v>
      </c>
      <c r="AL245" s="3" t="str">
        <f>IFERROR(MID(VLOOKUP($B245,Seqs!$A:$B,2,0),AM245,1),"")</f>
        <v>R</v>
      </c>
      <c r="AM245" s="3">
        <v>241</v>
      </c>
      <c r="AN245" s="3" t="str">
        <f>IFERROR(MID(VLOOKUP($B245,Seqs!$A:$B,2,0),AO245,1),"")</f>
        <v>T</v>
      </c>
      <c r="AO245" s="3">
        <v>258</v>
      </c>
      <c r="AP245" s="3" t="str">
        <f>IFERROR(MID(VLOOKUP($B245,Seqs!$A:$B,2,0),AQ245,1),"")</f>
        <v>N</v>
      </c>
      <c r="AQ245" s="3">
        <v>289</v>
      </c>
      <c r="AR245" s="3" t="str">
        <f>IFERROR(MID(VLOOKUP($B245,Seqs!$A:$B,2,0),AS245,1),"")</f>
        <v>T</v>
      </c>
      <c r="AS245" s="3">
        <v>295</v>
      </c>
      <c r="AT245" s="3" t="str">
        <f>IFERROR(MID(VLOOKUP($B245,Seqs!$A:$B,2,0),AU245,1),"")</f>
        <v>L</v>
      </c>
      <c r="AU245" s="3">
        <v>323</v>
      </c>
      <c r="AV245" s="3" t="str">
        <f>IFERROR(MID(VLOOKUP($B245,Seqs!$A:$B,2,0),AW245,1),"")</f>
        <v>N</v>
      </c>
      <c r="AW245" s="3">
        <v>324</v>
      </c>
      <c r="AX245" s="3" t="str">
        <f>IFERROR(MID(VLOOKUP($B245,Seqs!$A:$B,2,0),AY245,1),"")</f>
        <v>F</v>
      </c>
      <c r="AY245" s="3">
        <v>335</v>
      </c>
      <c r="AZ245" s="77" t="str">
        <f>VLOOKUP(B245,Classification!A:D,2,0)</f>
        <v>A</v>
      </c>
      <c r="BA245" s="94" t="str">
        <f>VLOOKUP(B245,Classification!A:D,4,0)</f>
        <v>NeuropeptideY</v>
      </c>
      <c r="BB245" s="27" t="b">
        <f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>_xlfn.AGGREGATE(9,6,CH245:CS245)-_xlfn.AGGREGATE(9,6,BV245:CG245)+12</f>
        <v>245</v>
      </c>
      <c r="BD245" s="5" t="s">
        <v>23</v>
      </c>
      <c r="BE245" s="3" t="s">
        <v>1374</v>
      </c>
      <c r="BF245" s="118">
        <v>2.7</v>
      </c>
      <c r="BG245" s="49" t="s">
        <v>1</v>
      </c>
      <c r="BH245" s="49" t="s">
        <v>1</v>
      </c>
      <c r="BI245" s="1"/>
      <c r="BJ245" s="70" t="s">
        <v>1287</v>
      </c>
      <c r="BK245" s="57" t="s">
        <v>1287</v>
      </c>
      <c r="BL245" s="57" t="s">
        <v>1287</v>
      </c>
      <c r="BM245" s="57" t="s">
        <v>1287</v>
      </c>
      <c r="BN245" s="57" t="s">
        <v>1287</v>
      </c>
      <c r="BO245" s="57" t="s">
        <v>1287</v>
      </c>
      <c r="BP245" s="57" t="s">
        <v>1287</v>
      </c>
      <c r="BQ245" s="57" t="s">
        <v>1287</v>
      </c>
      <c r="BR245" s="57" t="s">
        <v>1287</v>
      </c>
      <c r="BS245" s="57" t="s">
        <v>1287</v>
      </c>
      <c r="BT245" s="57" t="s">
        <v>1287</v>
      </c>
      <c r="BU245" s="57" t="s">
        <v>1287</v>
      </c>
      <c r="BV245" s="70">
        <f>E245</f>
        <v>36</v>
      </c>
      <c r="BW245" s="71" t="str">
        <f>I245</f>
        <v>-</v>
      </c>
      <c r="BX245" s="72">
        <f>M245</f>
        <v>74</v>
      </c>
      <c r="BY245" s="71">
        <f>Q245</f>
        <v>106</v>
      </c>
      <c r="BZ245" s="72">
        <f>U245</f>
        <v>109</v>
      </c>
      <c r="CA245" s="71" t="str">
        <f>Y245</f>
        <v>-</v>
      </c>
      <c r="CB245" s="72">
        <f>AC245</f>
        <v>151</v>
      </c>
      <c r="CC245" s="71">
        <f>AG245</f>
        <v>198</v>
      </c>
      <c r="CD245" s="72">
        <f>AK245</f>
        <v>204</v>
      </c>
      <c r="CE245" s="71">
        <f>AO245</f>
        <v>258</v>
      </c>
      <c r="CF245" s="72">
        <f>AS245</f>
        <v>295</v>
      </c>
      <c r="CG245" s="71">
        <f>AW245</f>
        <v>324</v>
      </c>
      <c r="CH245" s="70">
        <f>G245</f>
        <v>68</v>
      </c>
      <c r="CI245" s="71" t="str">
        <f>K245</f>
        <v>-</v>
      </c>
      <c r="CJ245" s="72">
        <f>O245</f>
        <v>104</v>
      </c>
      <c r="CK245" s="72">
        <f>S245</f>
        <v>108</v>
      </c>
      <c r="CL245" s="72">
        <f>W245</f>
        <v>143</v>
      </c>
      <c r="CM245" s="72" t="str">
        <f>AA245</f>
        <v>-</v>
      </c>
      <c r="CN245" s="72">
        <f>AE245</f>
        <v>177</v>
      </c>
      <c r="CO245" s="72">
        <f>AI245</f>
        <v>200</v>
      </c>
      <c r="CP245" s="72">
        <f>AM245</f>
        <v>241</v>
      </c>
      <c r="CQ245" s="72">
        <f>AQ245</f>
        <v>289</v>
      </c>
      <c r="CR245" s="72">
        <f>AU245</f>
        <v>323</v>
      </c>
      <c r="CS245" s="72">
        <f>AY245</f>
        <v>335</v>
      </c>
      <c r="CT245" s="23" t="e">
        <f>M245-K245</f>
        <v>#VALUE!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29" s="12" customFormat="1" x14ac:dyDescent="0.2">
      <c r="A246" s="9" t="str">
        <f t="shared" ref="A246" si="1845">CONCATENATE(B246,"_",C246)</f>
        <v>ntr1_human__wt</v>
      </c>
      <c r="B246" s="9" t="s">
        <v>127</v>
      </c>
      <c r="C246" s="9" t="s">
        <v>100</v>
      </c>
      <c r="D246" s="9" t="str">
        <f>IFERROR(MID(VLOOKUP($B246,Seqs!$A:$B,2,0),E246,1),"")</f>
        <v>D</v>
      </c>
      <c r="E246" s="9">
        <v>59</v>
      </c>
      <c r="F246" s="9" t="str">
        <f>IFERROR(MID(VLOOKUP($B246,Seqs!$A:$B,2,0),G246,1),"")</f>
        <v>K</v>
      </c>
      <c r="G246" s="9">
        <v>91</v>
      </c>
      <c r="H246" s="9" t="str">
        <f>IFERROR(MID(VLOOKUP($B246,Seqs!$A:$B,2,0),I246,1),"")</f>
        <v>K</v>
      </c>
      <c r="I246" s="109">
        <v>92</v>
      </c>
      <c r="J246" s="9" t="str">
        <f>IFERROR(MID(VLOOKUP($B246,Seqs!$A:$B,2,0),K246,1),"")</f>
        <v>Q</v>
      </c>
      <c r="K246" s="109">
        <v>95</v>
      </c>
      <c r="L246" s="9" t="str">
        <f>IFERROR(MID(VLOOKUP($B246,Seqs!$A:$B,2,0),M246,1),"")</f>
        <v>S</v>
      </c>
      <c r="M246" s="9">
        <v>96</v>
      </c>
      <c r="N246" s="9" t="str">
        <f>IFERROR(MID(VLOOKUP($B246,Seqs!$A:$B,2,0),O246,1),"")</f>
        <v>V</v>
      </c>
      <c r="O246" s="9">
        <v>130</v>
      </c>
      <c r="P246" s="9" t="str">
        <f>IFERROR(MID(VLOOKUP($B246,Seqs!$A:$B,2,0),Q246,1),"")</f>
        <v>P</v>
      </c>
      <c r="Q246" s="9">
        <v>133</v>
      </c>
      <c r="R246" s="9" t="str">
        <f>IFERROR(MID(VLOOKUP($B246,Seqs!$A:$B,2,0),S246,1),"")</f>
        <v>F</v>
      </c>
      <c r="S246" s="9">
        <v>136</v>
      </c>
      <c r="T246" s="9" t="str">
        <f>IFERROR(MID(VLOOKUP($B246,Seqs!$A:$B,2,0),U246,1),"")</f>
        <v>G</v>
      </c>
      <c r="U246" s="9">
        <v>137</v>
      </c>
      <c r="V246" s="9" t="str">
        <f>IFERROR(MID(VLOOKUP($B246,Seqs!$A:$B,2,0),W246,1),"")</f>
        <v>H</v>
      </c>
      <c r="W246" s="9">
        <v>172</v>
      </c>
      <c r="X246" s="9" t="str">
        <f>IFERROR(MID(VLOOKUP($B246,Seqs!$A:$B,2,0),Y246,1),"")</f>
        <v>P</v>
      </c>
      <c r="Y246" s="9">
        <v>173</v>
      </c>
      <c r="Z246" s="9" t="str">
        <f>IFERROR(MID(VLOOKUP($B246,Seqs!$A:$B,2,0),AA246,1),"")</f>
        <v>M</v>
      </c>
      <c r="AA246" s="9">
        <v>180</v>
      </c>
      <c r="AB246" s="9" t="str">
        <f>IFERROR(MID(VLOOKUP($B246,Seqs!$A:$B,2,0),AC246,1),"")</f>
        <v>S</v>
      </c>
      <c r="AC246" s="9">
        <v>181</v>
      </c>
      <c r="AD246" s="9" t="str">
        <f>IFERROR(MID(VLOOKUP($B246,Seqs!$A:$B,2,0),AE246,1),"")</f>
        <v>M</v>
      </c>
      <c r="AE246" s="9">
        <v>207</v>
      </c>
      <c r="AF246" s="9" t="str">
        <f>IFERROR(MID(VLOOKUP($B246,Seqs!$A:$B,2,0),AG246,1),"")</f>
        <v>C</v>
      </c>
      <c r="AG246" s="9">
        <v>224</v>
      </c>
      <c r="AH246" s="9" t="str">
        <f>IFERROR(MID(VLOOKUP($B246,Seqs!$A:$B,2,0),AI246,1),"")</f>
        <v>P</v>
      </c>
      <c r="AI246" s="9">
        <v>226</v>
      </c>
      <c r="AJ246" s="9" t="str">
        <f>IFERROR(MID(VLOOKUP($B246,Seqs!$A:$B,2,0),AK246,1),"")</f>
        <v>H</v>
      </c>
      <c r="AK246" s="9">
        <v>229</v>
      </c>
      <c r="AL246" s="9" t="str">
        <f>IFERROR(MID(VLOOKUP($B246,Seqs!$A:$B,2,0),AM246,1),"")</f>
        <v>G</v>
      </c>
      <c r="AM246" s="9">
        <v>274</v>
      </c>
      <c r="AN246" s="9" t="str">
        <f>IFERROR(MID(VLOOKUP($B246,Seqs!$A:$B,2,0),AO246,1),"")</f>
        <v>P</v>
      </c>
      <c r="AO246" s="9">
        <v>292</v>
      </c>
      <c r="AP246" s="9" t="str">
        <f>IFERROR(MID(VLOOKUP($B246,Seqs!$A:$B,2,0),AQ246,1),"")</f>
        <v>I</v>
      </c>
      <c r="AQ246" s="9">
        <v>329</v>
      </c>
      <c r="AR246" s="9" t="str">
        <f>IFERROR(MID(VLOOKUP($B246,Seqs!$A:$B,2,0),AS246,1),"")</f>
        <v>T</v>
      </c>
      <c r="AS246" s="9">
        <v>335</v>
      </c>
      <c r="AT246" s="9" t="str">
        <f>IFERROR(MID(VLOOKUP($B246,Seqs!$A:$B,2,0),AU246,1),"")</f>
        <v>V</v>
      </c>
      <c r="AU246" s="9">
        <v>367</v>
      </c>
      <c r="AV246" s="9" t="str">
        <f>IFERROR(MID(VLOOKUP($B246,Seqs!$A:$B,2,0),AW246,1),"")</f>
        <v>S</v>
      </c>
      <c r="AW246" s="9">
        <v>368</v>
      </c>
      <c r="AX246" s="9" t="str">
        <f>IFERROR(MID(VLOOKUP($B246,Seqs!$A:$B,2,0),AY246,1),"")</f>
        <v>C</v>
      </c>
      <c r="AY246" s="9">
        <v>383</v>
      </c>
      <c r="AZ246" s="110" t="str">
        <f>VLOOKUP(B246,Classification!A:D,2,0)</f>
        <v>A</v>
      </c>
      <c r="BA246" s="98" t="str">
        <f>VLOOKUP(B246,Classification!A:D,4,0)</f>
        <v>Neurotensin</v>
      </c>
      <c r="BB246" s="36" t="b">
        <f t="shared" ref="BB246" si="1846">AND(E246&lt;G246,OR(G246&lt;I246,I246="-"),OR(I246&lt;K246,I246="-"),OR(K246&lt;M246,K246="-"),M246&lt;O246,OR(O246&lt;Q246,Q246="-"),OR(Q246&lt;S246,Q246="-"),OR(S246&lt;U246,S246="-"),U246&lt;W246,OR(W246&lt;Y246,Y246="-"),OR(Y246&lt;AA246,Y246="-"),OR(AA246&lt;AC246,AA246="-"),AC246&lt;AE246,OR(AE246&lt;AG246,AG246="-"),OR(AG246&lt;AI246,AG246="-"),OR(AI246&lt;AK246,AI246="-"),AK246&lt;AM246,AM246&lt;AO246,AO246&lt;AQ246,AQ246&lt;AS246,AS246&lt;AU246,OR(AU246&lt;AW246,AW246="-"),OR(AW246&lt;AY246,AW246="-"))</f>
        <v>1</v>
      </c>
      <c r="BC246" s="109" t="s">
        <v>23</v>
      </c>
      <c r="BD246" s="129" t="s">
        <v>23</v>
      </c>
      <c r="BE246" s="9" t="s">
        <v>23</v>
      </c>
      <c r="BF246" s="119" t="s">
        <v>23</v>
      </c>
      <c r="BG246" s="51" t="s">
        <v>1372</v>
      </c>
      <c r="BH246" s="51" t="s">
        <v>1377</v>
      </c>
      <c r="BI246" s="9"/>
      <c r="BJ246" s="111" t="s">
        <v>1287</v>
      </c>
      <c r="BK246" s="112" t="s">
        <v>1287</v>
      </c>
      <c r="BL246" s="112" t="s">
        <v>1287</v>
      </c>
      <c r="BM246" s="112" t="s">
        <v>1287</v>
      </c>
      <c r="BN246" s="112" t="s">
        <v>1287</v>
      </c>
      <c r="BO246" s="112" t="s">
        <v>1287</v>
      </c>
      <c r="BP246" s="112" t="s">
        <v>1287</v>
      </c>
      <c r="BQ246" s="112" t="s">
        <v>1287</v>
      </c>
      <c r="BR246" s="112" t="s">
        <v>1287</v>
      </c>
      <c r="BS246" s="112" t="s">
        <v>1287</v>
      </c>
      <c r="BT246" s="112" t="s">
        <v>1287</v>
      </c>
      <c r="BU246" s="112" t="s">
        <v>1287</v>
      </c>
      <c r="BV246" s="111">
        <f t="shared" ref="BV246" si="1847">E246</f>
        <v>59</v>
      </c>
      <c r="BW246" s="113">
        <f t="shared" ref="BW246" si="1848">I246</f>
        <v>92</v>
      </c>
      <c r="BX246" s="114">
        <f t="shared" ref="BX246" si="1849">M246</f>
        <v>96</v>
      </c>
      <c r="BY246" s="113">
        <f t="shared" ref="BY246" si="1850">Q246</f>
        <v>133</v>
      </c>
      <c r="BZ246" s="114">
        <f t="shared" ref="BZ246" si="1851">U246</f>
        <v>137</v>
      </c>
      <c r="CA246" s="113">
        <f t="shared" ref="CA246" si="1852">Y246</f>
        <v>173</v>
      </c>
      <c r="CB246" s="114">
        <f t="shared" ref="CB246" si="1853">AC246</f>
        <v>181</v>
      </c>
      <c r="CC246" s="113">
        <f t="shared" ref="CC246" si="1854">AG246</f>
        <v>224</v>
      </c>
      <c r="CD246" s="114">
        <f t="shared" ref="CD246" si="1855">AK246</f>
        <v>229</v>
      </c>
      <c r="CE246" s="113">
        <f t="shared" ref="CE246" si="1856">AO246</f>
        <v>292</v>
      </c>
      <c r="CF246" s="114">
        <f t="shared" ref="CF246" si="1857">AS246</f>
        <v>335</v>
      </c>
      <c r="CG246" s="113">
        <f t="shared" ref="CG246" si="1858">AW246</f>
        <v>368</v>
      </c>
      <c r="CH246" s="111">
        <f t="shared" ref="CH246" si="1859">G246</f>
        <v>91</v>
      </c>
      <c r="CI246" s="113">
        <f t="shared" ref="CI246" si="1860">K246</f>
        <v>95</v>
      </c>
      <c r="CJ246" s="114">
        <f t="shared" ref="CJ246" si="1861">O246</f>
        <v>130</v>
      </c>
      <c r="CK246" s="114">
        <f t="shared" ref="CK246" si="1862">S246</f>
        <v>136</v>
      </c>
      <c r="CL246" s="114">
        <f t="shared" ref="CL246" si="1863">W246</f>
        <v>172</v>
      </c>
      <c r="CM246" s="114">
        <f t="shared" ref="CM246" si="1864">AA246</f>
        <v>180</v>
      </c>
      <c r="CN246" s="114">
        <f t="shared" ref="CN246" si="1865">AE246</f>
        <v>207</v>
      </c>
      <c r="CO246" s="114">
        <f t="shared" ref="CO246" si="1866">AI246</f>
        <v>226</v>
      </c>
      <c r="CP246" s="114">
        <f t="shared" ref="CP246" si="1867">AM246</f>
        <v>274</v>
      </c>
      <c r="CQ246" s="114">
        <f t="shared" ref="CQ246" si="1868">AQ246</f>
        <v>329</v>
      </c>
      <c r="CR246" s="114">
        <f t="shared" ref="CR246" si="1869">AU246</f>
        <v>367</v>
      </c>
      <c r="CS246" s="114">
        <f t="shared" ref="CS246" si="1870">AY246</f>
        <v>383</v>
      </c>
      <c r="CT246" s="109">
        <f t="shared" ref="CT246" si="1871">M246-K246</f>
        <v>1</v>
      </c>
    </row>
    <row r="247" spans="1:1029" s="12" customFormat="1" x14ac:dyDescent="0.2">
      <c r="A247" s="9" t="str">
        <f t="shared" ref="A247" si="1872">CONCATENATE(B247,"_",C247)</f>
        <v>ntr1_human_6OS9</v>
      </c>
      <c r="B247" s="9" t="s">
        <v>127</v>
      </c>
      <c r="C247" s="9" t="s">
        <v>1583</v>
      </c>
      <c r="D247" s="9" t="str">
        <f>IFERROR(MID(VLOOKUP($B247,Seqs!$A:$B,2,0),E247,1),"")</f>
        <v>D</v>
      </c>
      <c r="E247" s="9">
        <v>59</v>
      </c>
      <c r="F247" s="9" t="str">
        <f>IFERROR(MID(VLOOKUP($B247,Seqs!$A:$B,2,0),G247,1),"")</f>
        <v>K</v>
      </c>
      <c r="G247" s="9">
        <v>91</v>
      </c>
      <c r="H247" s="9" t="str">
        <f>IFERROR(MID(VLOOKUP($B247,Seqs!$A:$B,2,0),I247,1),"")</f>
        <v/>
      </c>
      <c r="I247" s="109" t="s">
        <v>23</v>
      </c>
      <c r="J247" s="9" t="str">
        <f>IFERROR(MID(VLOOKUP($B247,Seqs!$A:$B,2,0),K247,1),"")</f>
        <v/>
      </c>
      <c r="K247" s="109" t="s">
        <v>23</v>
      </c>
      <c r="L247" s="9" t="str">
        <f>IFERROR(MID(VLOOKUP($B247,Seqs!$A:$B,2,0),M247,1),"")</f>
        <v>Q</v>
      </c>
      <c r="M247" s="9">
        <v>98</v>
      </c>
      <c r="N247" s="9" t="str">
        <f>IFERROR(MID(VLOOKUP($B247,Seqs!$A:$B,2,0),O247,1),"")</f>
        <v>V</v>
      </c>
      <c r="O247" s="9">
        <v>130</v>
      </c>
      <c r="P247" s="9" t="str">
        <f>IFERROR(MID(VLOOKUP($B247,Seqs!$A:$B,2,0),Q247,1),"")</f>
        <v>P</v>
      </c>
      <c r="Q247" s="9">
        <v>133</v>
      </c>
      <c r="R247" s="9" t="str">
        <f>IFERROR(MID(VLOOKUP($B247,Seqs!$A:$B,2,0),S247,1),"")</f>
        <v>F</v>
      </c>
      <c r="S247" s="9">
        <v>136</v>
      </c>
      <c r="T247" s="9" t="str">
        <f>IFERROR(MID(VLOOKUP($B247,Seqs!$A:$B,2,0),U247,1),"")</f>
        <v>G</v>
      </c>
      <c r="U247" s="9">
        <v>137</v>
      </c>
      <c r="V247" s="9" t="str">
        <f>IFERROR(MID(VLOOKUP($B247,Seqs!$A:$B,2,0),W247,1),"")</f>
        <v>H</v>
      </c>
      <c r="W247" s="9">
        <v>172</v>
      </c>
      <c r="X247" s="9" t="str">
        <f>IFERROR(MID(VLOOKUP($B247,Seqs!$A:$B,2,0),Y247,1),"")</f>
        <v>P</v>
      </c>
      <c r="Y247" s="9">
        <v>173</v>
      </c>
      <c r="Z247" s="9" t="str">
        <f>IFERROR(MID(VLOOKUP($B247,Seqs!$A:$B,2,0),AA247,1),"")</f>
        <v>M</v>
      </c>
      <c r="AA247" s="9">
        <v>180</v>
      </c>
      <c r="AB247" s="9" t="str">
        <f>IFERROR(MID(VLOOKUP($B247,Seqs!$A:$B,2,0),AC247,1),"")</f>
        <v>S</v>
      </c>
      <c r="AC247" s="9">
        <v>181</v>
      </c>
      <c r="AD247" s="9" t="str">
        <f>IFERROR(MID(VLOOKUP($B247,Seqs!$A:$B,2,0),AE247,1),"")</f>
        <v>L</v>
      </c>
      <c r="AE247" s="9">
        <v>204</v>
      </c>
      <c r="AF247" s="9" t="str">
        <f>IFERROR(MID(VLOOKUP($B247,Seqs!$A:$B,2,0),AG247,1),"")</f>
        <v>C</v>
      </c>
      <c r="AG247" s="9">
        <v>224</v>
      </c>
      <c r="AH247" s="9" t="str">
        <f>IFERROR(MID(VLOOKUP($B247,Seqs!$A:$B,2,0),AI247,1),"")</f>
        <v>P</v>
      </c>
      <c r="AI247" s="9">
        <v>226</v>
      </c>
      <c r="AJ247" s="9" t="str">
        <f>IFERROR(MID(VLOOKUP($B247,Seqs!$A:$B,2,0),AK247,1),"")</f>
        <v>H</v>
      </c>
      <c r="AK247" s="9">
        <v>229</v>
      </c>
      <c r="AL247" s="9" t="str">
        <f>IFERROR(MID(VLOOKUP($B247,Seqs!$A:$B,2,0),AM247,1),"")</f>
        <v>E</v>
      </c>
      <c r="AM247" s="9">
        <v>272</v>
      </c>
      <c r="AN247" s="9" t="str">
        <f>IFERROR(MID(VLOOKUP($B247,Seqs!$A:$B,2,0),AO247,1),"")</f>
        <v>V</v>
      </c>
      <c r="AO247" s="9">
        <v>295</v>
      </c>
      <c r="AP247" s="9" t="str">
        <f>IFERROR(MID(VLOOKUP($B247,Seqs!$A:$B,2,0),AQ247,1),"")</f>
        <v>I</v>
      </c>
      <c r="AQ247" s="9">
        <v>329</v>
      </c>
      <c r="AR247" s="9" t="str">
        <f>IFERROR(MID(VLOOKUP($B247,Seqs!$A:$B,2,0),AS247,1),"")</f>
        <v>T</v>
      </c>
      <c r="AS247" s="9">
        <v>335</v>
      </c>
      <c r="AT247" s="9" t="str">
        <f>IFERROR(MID(VLOOKUP($B247,Seqs!$A:$B,2,0),AU247,1),"")</f>
        <v>L</v>
      </c>
      <c r="AU247" s="9">
        <v>366</v>
      </c>
      <c r="AV247" s="9" t="str">
        <f>IFERROR(MID(VLOOKUP($B247,Seqs!$A:$B,2,0),AW247,1),"")</f>
        <v/>
      </c>
      <c r="AW247" s="9" t="s">
        <v>23</v>
      </c>
      <c r="AX247" s="9" t="str">
        <f>IFERROR(MID(VLOOKUP($B247,Seqs!$A:$B,2,0),AY247,1),"")</f>
        <v/>
      </c>
      <c r="AY247" s="9" t="s">
        <v>23</v>
      </c>
      <c r="AZ247" s="110" t="str">
        <f>VLOOKUP(B247,Classification!A:D,2,0)</f>
        <v>A</v>
      </c>
      <c r="BA247" s="98" t="str">
        <f>VLOOKUP(B247,Classification!A:D,4,0)</f>
        <v>Neurotensin</v>
      </c>
      <c r="BB247" s="36" t="b">
        <f t="shared" ref="BB247" si="1873"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09">
        <f t="shared" ref="BC247" si="1874">_xlfn.AGGREGATE(9,6,CH247:CS247)-_xlfn.AGGREGATE(9,6,BV247:CG247)+12</f>
        <v>254</v>
      </c>
      <c r="BD247" s="129" t="s">
        <v>23</v>
      </c>
      <c r="BE247" s="9" t="s">
        <v>1428</v>
      </c>
      <c r="BF247" s="119">
        <v>3</v>
      </c>
      <c r="BG247" s="51" t="s">
        <v>1422</v>
      </c>
      <c r="BH247" s="51" t="s">
        <v>1422</v>
      </c>
      <c r="BI247" s="9"/>
      <c r="BJ247" s="111" t="s">
        <v>1287</v>
      </c>
      <c r="BK247" s="112" t="s">
        <v>1287</v>
      </c>
      <c r="BL247" s="112" t="s">
        <v>1287</v>
      </c>
      <c r="BM247" s="112" t="s">
        <v>1287</v>
      </c>
      <c r="BN247" s="112" t="s">
        <v>1287</v>
      </c>
      <c r="BO247" s="112" t="s">
        <v>1287</v>
      </c>
      <c r="BP247" s="112" t="s">
        <v>1287</v>
      </c>
      <c r="BQ247" s="112" t="s">
        <v>1287</v>
      </c>
      <c r="BR247" s="112" t="s">
        <v>1287</v>
      </c>
      <c r="BS247" s="112" t="s">
        <v>1287</v>
      </c>
      <c r="BT247" s="112" t="s">
        <v>1287</v>
      </c>
      <c r="BU247" s="112" t="s">
        <v>1287</v>
      </c>
      <c r="BV247" s="111">
        <f t="shared" ref="BV247" si="1875">E247</f>
        <v>59</v>
      </c>
      <c r="BW247" s="113" t="str">
        <f t="shared" ref="BW247" si="1876">I247</f>
        <v>-</v>
      </c>
      <c r="BX247" s="114">
        <f t="shared" ref="BX247" si="1877">M247</f>
        <v>98</v>
      </c>
      <c r="BY247" s="113">
        <f t="shared" ref="BY247" si="1878">Q247</f>
        <v>133</v>
      </c>
      <c r="BZ247" s="114">
        <f t="shared" ref="BZ247" si="1879">U247</f>
        <v>137</v>
      </c>
      <c r="CA247" s="113">
        <f t="shared" ref="CA247" si="1880">Y247</f>
        <v>173</v>
      </c>
      <c r="CB247" s="114">
        <f t="shared" ref="CB247" si="1881">AC247</f>
        <v>181</v>
      </c>
      <c r="CC247" s="113">
        <f t="shared" ref="CC247" si="1882">AG247</f>
        <v>224</v>
      </c>
      <c r="CD247" s="114">
        <f t="shared" ref="CD247" si="1883">AK247</f>
        <v>229</v>
      </c>
      <c r="CE247" s="113">
        <f t="shared" ref="CE247" si="1884">AO247</f>
        <v>295</v>
      </c>
      <c r="CF247" s="114">
        <f t="shared" ref="CF247" si="1885">AS247</f>
        <v>335</v>
      </c>
      <c r="CG247" s="113" t="str">
        <f t="shared" ref="CG247" si="1886">AW247</f>
        <v>-</v>
      </c>
      <c r="CH247" s="111">
        <f t="shared" ref="CH247" si="1887">G247</f>
        <v>91</v>
      </c>
      <c r="CI247" s="113" t="str">
        <f t="shared" ref="CI247" si="1888">K247</f>
        <v>-</v>
      </c>
      <c r="CJ247" s="114">
        <f t="shared" ref="CJ247" si="1889">O247</f>
        <v>130</v>
      </c>
      <c r="CK247" s="114">
        <f t="shared" ref="CK247" si="1890">S247</f>
        <v>136</v>
      </c>
      <c r="CL247" s="114">
        <f t="shared" ref="CL247" si="1891">W247</f>
        <v>172</v>
      </c>
      <c r="CM247" s="114">
        <f t="shared" ref="CM247" si="1892">AA247</f>
        <v>180</v>
      </c>
      <c r="CN247" s="114">
        <f t="shared" ref="CN247" si="1893">AE247</f>
        <v>204</v>
      </c>
      <c r="CO247" s="114">
        <f t="shared" ref="CO247" si="1894">AI247</f>
        <v>226</v>
      </c>
      <c r="CP247" s="114">
        <f t="shared" ref="CP247" si="1895">AM247</f>
        <v>272</v>
      </c>
      <c r="CQ247" s="114">
        <f t="shared" ref="CQ247" si="1896">AQ247</f>
        <v>329</v>
      </c>
      <c r="CR247" s="114">
        <f t="shared" ref="CR247" si="1897">AU247</f>
        <v>366</v>
      </c>
      <c r="CS247" s="114" t="str">
        <f t="shared" ref="CS247" si="1898">AY247</f>
        <v>-</v>
      </c>
      <c r="CT247" s="109" t="e">
        <f t="shared" ref="CT247" si="1899">M247-K247</f>
        <v>#VALUE!</v>
      </c>
    </row>
    <row r="248" spans="1:1029" s="12" customFormat="1" x14ac:dyDescent="0.2">
      <c r="A248" s="9" t="str">
        <f t="shared" ref="A248" si="1900">CONCATENATE(B248,"_",C248)</f>
        <v>ntr1_human_6OSA</v>
      </c>
      <c r="B248" s="9" t="s">
        <v>127</v>
      </c>
      <c r="C248" s="9" t="s">
        <v>1584</v>
      </c>
      <c r="D248" s="9" t="str">
        <f>IFERROR(MID(VLOOKUP($B248,Seqs!$A:$B,2,0),E248,1),"")</f>
        <v>D</v>
      </c>
      <c r="E248" s="9">
        <v>59</v>
      </c>
      <c r="F248" s="9" t="str">
        <f>IFERROR(MID(VLOOKUP($B248,Seqs!$A:$B,2,0),G248,1),"")</f>
        <v>K</v>
      </c>
      <c r="G248" s="9">
        <v>91</v>
      </c>
      <c r="H248" s="9" t="str">
        <f>IFERROR(MID(VLOOKUP($B248,Seqs!$A:$B,2,0),I248,1),"")</f>
        <v/>
      </c>
      <c r="I248" s="109" t="s">
        <v>23</v>
      </c>
      <c r="J248" s="9" t="str">
        <f>IFERROR(MID(VLOOKUP($B248,Seqs!$A:$B,2,0),K248,1),"")</f>
        <v/>
      </c>
      <c r="K248" s="109" t="s">
        <v>23</v>
      </c>
      <c r="L248" s="9" t="str">
        <f>IFERROR(MID(VLOOKUP($B248,Seqs!$A:$B,2,0),M248,1),"")</f>
        <v>L</v>
      </c>
      <c r="M248" s="9">
        <v>97</v>
      </c>
      <c r="N248" s="9" t="str">
        <f>IFERROR(MID(VLOOKUP($B248,Seqs!$A:$B,2,0),O248,1),"")</f>
        <v>V</v>
      </c>
      <c r="O248" s="9">
        <v>130</v>
      </c>
      <c r="P248" s="9" t="str">
        <f>IFERROR(MID(VLOOKUP($B248,Seqs!$A:$B,2,0),Q248,1),"")</f>
        <v>P</v>
      </c>
      <c r="Q248" s="9">
        <v>133</v>
      </c>
      <c r="R248" s="9" t="str">
        <f>IFERROR(MID(VLOOKUP($B248,Seqs!$A:$B,2,0),S248,1),"")</f>
        <v>F</v>
      </c>
      <c r="S248" s="9">
        <v>136</v>
      </c>
      <c r="T248" s="9" t="str">
        <f>IFERROR(MID(VLOOKUP($B248,Seqs!$A:$B,2,0),U248,1),"")</f>
        <v>A</v>
      </c>
      <c r="U248" s="9">
        <v>139</v>
      </c>
      <c r="V248" s="9" t="str">
        <f>IFERROR(MID(VLOOKUP($B248,Seqs!$A:$B,2,0),W248,1),"")</f>
        <v>C</v>
      </c>
      <c r="W248" s="9">
        <v>171</v>
      </c>
      <c r="X248" s="9" t="str">
        <f>IFERROR(MID(VLOOKUP($B248,Seqs!$A:$B,2,0),Y248,1),"")</f>
        <v>P</v>
      </c>
      <c r="Y248" s="9">
        <v>173</v>
      </c>
      <c r="Z248" s="9" t="str">
        <f>IFERROR(MID(VLOOKUP($B248,Seqs!$A:$B,2,0),AA248,1),"")</f>
        <v>M</v>
      </c>
      <c r="AA248" s="9">
        <v>180</v>
      </c>
      <c r="AB248" s="9" t="str">
        <f>IFERROR(MID(VLOOKUP($B248,Seqs!$A:$B,2,0),AC248,1),"")</f>
        <v>S</v>
      </c>
      <c r="AC248" s="9">
        <v>181</v>
      </c>
      <c r="AD248" s="9" t="str">
        <f>IFERROR(MID(VLOOKUP($B248,Seqs!$A:$B,2,0),AE248,1),"")</f>
        <v>M</v>
      </c>
      <c r="AE248" s="9">
        <v>207</v>
      </c>
      <c r="AF248" s="9" t="str">
        <f>IFERROR(MID(VLOOKUP($B248,Seqs!$A:$B,2,0),AG248,1),"")</f>
        <v>C</v>
      </c>
      <c r="AG248" s="9">
        <v>224</v>
      </c>
      <c r="AH248" s="9" t="str">
        <f>IFERROR(MID(VLOOKUP($B248,Seqs!$A:$B,2,0),AI248,1),"")</f>
        <v>P</v>
      </c>
      <c r="AI248" s="9">
        <v>226</v>
      </c>
      <c r="AJ248" s="9" t="str">
        <f>IFERROR(MID(VLOOKUP($B248,Seqs!$A:$B,2,0),AK248,1),"")</f>
        <v>H</v>
      </c>
      <c r="AK248" s="9">
        <v>229</v>
      </c>
      <c r="AL248" s="9" t="str">
        <f>IFERROR(MID(VLOOKUP($B248,Seqs!$A:$B,2,0),AM248,1),"")</f>
        <v>Q</v>
      </c>
      <c r="AM248" s="9">
        <v>273</v>
      </c>
      <c r="AN248" s="9" t="str">
        <f>IFERROR(MID(VLOOKUP($B248,Seqs!$A:$B,2,0),AO248,1),"")</f>
        <v>G</v>
      </c>
      <c r="AO248" s="9">
        <v>280</v>
      </c>
      <c r="AP248" s="9" t="str">
        <f>IFERROR(MID(VLOOKUP($B248,Seqs!$A:$B,2,0),AQ248,1),"")</f>
        <v>Y</v>
      </c>
      <c r="AQ248" s="9">
        <v>328</v>
      </c>
      <c r="AR248" s="9" t="str">
        <f>IFERROR(MID(VLOOKUP($B248,Seqs!$A:$B,2,0),AS248,1),"")</f>
        <v>T</v>
      </c>
      <c r="AS248" s="9">
        <v>335</v>
      </c>
      <c r="AT248" s="9" t="str">
        <f>IFERROR(MID(VLOOKUP($B248,Seqs!$A:$B,2,0),AU248,1),"")</f>
        <v>V</v>
      </c>
      <c r="AU248" s="9">
        <v>367</v>
      </c>
      <c r="AV248" s="9" t="str">
        <f>IFERROR(MID(VLOOKUP($B248,Seqs!$A:$B,2,0),AW248,1),"")</f>
        <v>S</v>
      </c>
      <c r="AW248" s="9">
        <v>368</v>
      </c>
      <c r="AX248" s="9" t="str">
        <f>IFERROR(MID(VLOOKUP($B248,Seqs!$A:$B,2,0),AY248,1),"")</f>
        <v>C</v>
      </c>
      <c r="AY248" s="9">
        <v>383</v>
      </c>
      <c r="AZ248" s="110" t="str">
        <f>VLOOKUP(B248,Classification!A:D,2,0)</f>
        <v>A</v>
      </c>
      <c r="BA248" s="98" t="str">
        <f>VLOOKUP(B248,Classification!A:D,4,0)</f>
        <v>Neurotensin</v>
      </c>
      <c r="BB248" s="36" t="b">
        <f t="shared" ref="BB248" si="1901"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109">
        <f t="shared" ref="BC248" si="1902">_xlfn.AGGREGATE(9,6,CH248:CS248)-_xlfn.AGGREGATE(9,6,BV248:CG248)+12</f>
        <v>286</v>
      </c>
      <c r="BD248" s="129" t="s">
        <v>1429</v>
      </c>
      <c r="BE248" s="9" t="s">
        <v>1428</v>
      </c>
      <c r="BF248" s="119">
        <v>3</v>
      </c>
      <c r="BG248" s="51" t="s">
        <v>1422</v>
      </c>
      <c r="BH248" s="51" t="s">
        <v>1422</v>
      </c>
      <c r="BI248" s="9"/>
      <c r="BJ248" s="111" t="s">
        <v>1287</v>
      </c>
      <c r="BK248" s="112" t="s">
        <v>1287</v>
      </c>
      <c r="BL248" s="112" t="s">
        <v>1287</v>
      </c>
      <c r="BM248" s="112" t="s">
        <v>1287</v>
      </c>
      <c r="BN248" s="112" t="s">
        <v>1287</v>
      </c>
      <c r="BO248" s="112" t="s">
        <v>1287</v>
      </c>
      <c r="BP248" s="112" t="s">
        <v>1287</v>
      </c>
      <c r="BQ248" s="112" t="s">
        <v>1287</v>
      </c>
      <c r="BR248" s="112" t="s">
        <v>1287</v>
      </c>
      <c r="BS248" s="112" t="s">
        <v>1287</v>
      </c>
      <c r="BT248" s="112" t="s">
        <v>1287</v>
      </c>
      <c r="BU248" s="112" t="s">
        <v>1287</v>
      </c>
      <c r="BV248" s="111">
        <f t="shared" ref="BV248" si="1903">E248</f>
        <v>59</v>
      </c>
      <c r="BW248" s="113" t="str">
        <f t="shared" ref="BW248" si="1904">I248</f>
        <v>-</v>
      </c>
      <c r="BX248" s="114">
        <f t="shared" ref="BX248" si="1905">M248</f>
        <v>97</v>
      </c>
      <c r="BY248" s="113">
        <f t="shared" ref="BY248" si="1906">Q248</f>
        <v>133</v>
      </c>
      <c r="BZ248" s="114">
        <f t="shared" ref="BZ248" si="1907">U248</f>
        <v>139</v>
      </c>
      <c r="CA248" s="113">
        <f t="shared" ref="CA248" si="1908">Y248</f>
        <v>173</v>
      </c>
      <c r="CB248" s="114">
        <f t="shared" ref="CB248" si="1909">AC248</f>
        <v>181</v>
      </c>
      <c r="CC248" s="113">
        <f t="shared" ref="CC248" si="1910">AG248</f>
        <v>224</v>
      </c>
      <c r="CD248" s="114">
        <f t="shared" ref="CD248" si="1911">AK248</f>
        <v>229</v>
      </c>
      <c r="CE248" s="113">
        <f t="shared" ref="CE248" si="1912">AO248</f>
        <v>280</v>
      </c>
      <c r="CF248" s="114">
        <f t="shared" ref="CF248" si="1913">AS248</f>
        <v>335</v>
      </c>
      <c r="CG248" s="113">
        <f t="shared" ref="CG248" si="1914">AW248</f>
        <v>368</v>
      </c>
      <c r="CH248" s="111">
        <f t="shared" ref="CH248" si="1915">G248</f>
        <v>91</v>
      </c>
      <c r="CI248" s="113" t="str">
        <f t="shared" ref="CI248" si="1916">K248</f>
        <v>-</v>
      </c>
      <c r="CJ248" s="114">
        <f t="shared" ref="CJ248" si="1917">O248</f>
        <v>130</v>
      </c>
      <c r="CK248" s="114">
        <f t="shared" ref="CK248" si="1918">S248</f>
        <v>136</v>
      </c>
      <c r="CL248" s="114">
        <f t="shared" ref="CL248" si="1919">W248</f>
        <v>171</v>
      </c>
      <c r="CM248" s="114">
        <f t="shared" ref="CM248" si="1920">AA248</f>
        <v>180</v>
      </c>
      <c r="CN248" s="114">
        <f t="shared" ref="CN248" si="1921">AE248</f>
        <v>207</v>
      </c>
      <c r="CO248" s="114">
        <f t="shared" ref="CO248" si="1922">AI248</f>
        <v>226</v>
      </c>
      <c r="CP248" s="114">
        <f t="shared" ref="CP248" si="1923">AM248</f>
        <v>273</v>
      </c>
      <c r="CQ248" s="114">
        <f t="shared" ref="CQ248" si="1924">AQ248</f>
        <v>328</v>
      </c>
      <c r="CR248" s="114">
        <f t="shared" ref="CR248" si="1925">AU248</f>
        <v>367</v>
      </c>
      <c r="CS248" s="114">
        <f t="shared" ref="CS248" si="1926">AY248</f>
        <v>383</v>
      </c>
      <c r="CT248" s="109" t="e">
        <f t="shared" ref="CT248" si="1927">M248-K248</f>
        <v>#VALUE!</v>
      </c>
    </row>
    <row r="249" spans="1:1029" s="12" customFormat="1" x14ac:dyDescent="0.2">
      <c r="A249" s="9" t="str">
        <f t="shared" ref="A249" si="1928">CONCATENATE(B249,"_",C249)</f>
        <v>ntr1_human_6PWC</v>
      </c>
      <c r="B249" s="9" t="s">
        <v>127</v>
      </c>
      <c r="C249" s="9" t="s">
        <v>1618</v>
      </c>
      <c r="D249" s="9" t="str">
        <f>IFERROR(MID(VLOOKUP($B249,Seqs!$A:$B,2,0),E249,1),"")</f>
        <v>D</v>
      </c>
      <c r="E249" s="9">
        <v>59</v>
      </c>
      <c r="F249" s="9" t="str">
        <f>IFERROR(MID(VLOOKUP($B249,Seqs!$A:$B,2,0),G249,1),"")</f>
        <v>K</v>
      </c>
      <c r="G249" s="9">
        <v>91</v>
      </c>
      <c r="H249" s="9" t="str">
        <f>IFERROR(MID(VLOOKUP($B249,Seqs!$A:$B,2,0),I249,1),"")</f>
        <v/>
      </c>
      <c r="I249" s="109" t="s">
        <v>23</v>
      </c>
      <c r="J249" s="9" t="str">
        <f>IFERROR(MID(VLOOKUP($B249,Seqs!$A:$B,2,0),K249,1),"")</f>
        <v/>
      </c>
      <c r="K249" s="109" t="s">
        <v>23</v>
      </c>
      <c r="L249" s="9" t="str">
        <f>IFERROR(MID(VLOOKUP($B249,Seqs!$A:$B,2,0),M249,1),"")</f>
        <v>Q</v>
      </c>
      <c r="M249" s="9">
        <v>98</v>
      </c>
      <c r="N249" s="9" t="str">
        <f>IFERROR(MID(VLOOKUP($B249,Seqs!$A:$B,2,0),O249,1),"")</f>
        <v>W</v>
      </c>
      <c r="O249" s="9">
        <v>129</v>
      </c>
      <c r="P249" s="9" t="str">
        <f>IFERROR(MID(VLOOKUP($B249,Seqs!$A:$B,2,0),Q249,1),"")</f>
        <v>P</v>
      </c>
      <c r="Q249" s="9">
        <v>133</v>
      </c>
      <c r="R249" s="9" t="str">
        <f>IFERROR(MID(VLOOKUP($B249,Seqs!$A:$B,2,0),S249,1),"")</f>
        <v>F</v>
      </c>
      <c r="S249" s="9">
        <v>136</v>
      </c>
      <c r="T249" s="9" t="str">
        <f>IFERROR(MID(VLOOKUP($B249,Seqs!$A:$B,2,0),U249,1),"")</f>
        <v>G</v>
      </c>
      <c r="U249" s="9">
        <v>137</v>
      </c>
      <c r="V249" s="9" t="str">
        <f>IFERROR(MID(VLOOKUP($B249,Seqs!$A:$B,2,0),W249,1),"")</f>
        <v>H</v>
      </c>
      <c r="W249" s="9">
        <v>172</v>
      </c>
      <c r="X249" s="9" t="str">
        <f>IFERROR(MID(VLOOKUP($B249,Seqs!$A:$B,2,0),Y249,1),"")</f>
        <v>P</v>
      </c>
      <c r="Y249" s="9">
        <v>173</v>
      </c>
      <c r="Z249" s="9" t="str">
        <f>IFERROR(MID(VLOOKUP($B249,Seqs!$A:$B,2,0),AA249,1),"")</f>
        <v>M</v>
      </c>
      <c r="AA249" s="9">
        <v>180</v>
      </c>
      <c r="AB249" s="9" t="str">
        <f>IFERROR(MID(VLOOKUP($B249,Seqs!$A:$B,2,0),AC249,1),"")</f>
        <v>S</v>
      </c>
      <c r="AC249" s="9">
        <v>181</v>
      </c>
      <c r="AD249" s="9" t="str">
        <f>IFERROR(MID(VLOOKUP($B249,Seqs!$A:$B,2,0),AE249,1),"")</f>
        <v>T</v>
      </c>
      <c r="AE249" s="9">
        <v>206</v>
      </c>
      <c r="AF249" s="9" t="str">
        <f>IFERROR(MID(VLOOKUP($B249,Seqs!$A:$B,2,0),AG249,1),"")</f>
        <v>C</v>
      </c>
      <c r="AG249" s="9">
        <v>224</v>
      </c>
      <c r="AH249" s="9" t="str">
        <f>IFERROR(MID(VLOOKUP($B249,Seqs!$A:$B,2,0),AI249,1),"")</f>
        <v>P</v>
      </c>
      <c r="AI249" s="9">
        <v>226</v>
      </c>
      <c r="AJ249" s="9" t="str">
        <f>IFERROR(MID(VLOOKUP($B249,Seqs!$A:$B,2,0),AK249,1),"")</f>
        <v>H</v>
      </c>
      <c r="AK249" s="9">
        <v>229</v>
      </c>
      <c r="AL249" s="9" t="str">
        <f>IFERROR(MID(VLOOKUP($B249,Seqs!$A:$B,2,0),AM249,1),"")</f>
        <v>Q</v>
      </c>
      <c r="AM249" s="9">
        <v>269</v>
      </c>
      <c r="AN249" s="9" t="str">
        <f>IFERROR(MID(VLOOKUP($B249,Seqs!$A:$B,2,0),AO249,1),"")</f>
        <v>G</v>
      </c>
      <c r="AO249" s="9">
        <v>293</v>
      </c>
      <c r="AP249" s="9" t="str">
        <f>IFERROR(MID(VLOOKUP($B249,Seqs!$A:$B,2,0),AQ249,1),"")</f>
        <v>I</v>
      </c>
      <c r="AQ249" s="9">
        <v>329</v>
      </c>
      <c r="AR249" s="9" t="str">
        <f>IFERROR(MID(VLOOKUP($B249,Seqs!$A:$B,2,0),AS249,1),"")</f>
        <v>T</v>
      </c>
      <c r="AS249" s="9">
        <v>335</v>
      </c>
      <c r="AT249" s="9" t="str">
        <f>IFERROR(MID(VLOOKUP($B249,Seqs!$A:$B,2,0),AU249,1),"")</f>
        <v>V</v>
      </c>
      <c r="AU249" s="9">
        <v>367</v>
      </c>
      <c r="AV249" s="9" t="str">
        <f>IFERROR(MID(VLOOKUP($B249,Seqs!$A:$B,2,0),AW249,1),"")</f>
        <v>S</v>
      </c>
      <c r="AW249" s="9">
        <v>368</v>
      </c>
      <c r="AX249" s="9" t="str">
        <f>IFERROR(MID(VLOOKUP($B249,Seqs!$A:$B,2,0),AY249,1),"")</f>
        <v>C</v>
      </c>
      <c r="AY249" s="9">
        <v>383</v>
      </c>
      <c r="AZ249" s="110" t="str">
        <f>VLOOKUP(B249,Classification!A:D,2,0)</f>
        <v>A</v>
      </c>
      <c r="BA249" s="98" t="str">
        <f>VLOOKUP(B249,Classification!A:D,4,0)</f>
        <v>Neurotensin</v>
      </c>
      <c r="BB249" s="36" t="b">
        <f t="shared" ref="BB249" si="1929"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109">
        <f t="shared" ref="BC249" si="1930">_xlfn.AGGREGATE(9,6,CH249:CS249)-_xlfn.AGGREGATE(9,6,BV249:CG249)+12</f>
        <v>270</v>
      </c>
      <c r="BD249" s="129" t="s">
        <v>1375</v>
      </c>
      <c r="BE249" s="9" t="s">
        <v>1291</v>
      </c>
      <c r="BF249" s="119">
        <v>4.9000000000000004</v>
      </c>
      <c r="BG249" s="51" t="s">
        <v>1422</v>
      </c>
      <c r="BH249" s="51" t="s">
        <v>1422</v>
      </c>
      <c r="BI249" s="9"/>
      <c r="BJ249" s="111" t="s">
        <v>1287</v>
      </c>
      <c r="BK249" s="112" t="s">
        <v>1287</v>
      </c>
      <c r="BL249" s="112" t="s">
        <v>1287</v>
      </c>
      <c r="BM249" s="112" t="s">
        <v>1287</v>
      </c>
      <c r="BN249" s="112" t="s">
        <v>1287</v>
      </c>
      <c r="BO249" s="112" t="s">
        <v>1287</v>
      </c>
      <c r="BP249" s="112" t="s">
        <v>1287</v>
      </c>
      <c r="BQ249" s="112" t="s">
        <v>1287</v>
      </c>
      <c r="BR249" s="112" t="s">
        <v>1287</v>
      </c>
      <c r="BS249" s="112" t="s">
        <v>1287</v>
      </c>
      <c r="BT249" s="112" t="s">
        <v>1287</v>
      </c>
      <c r="BU249" s="112" t="s">
        <v>1287</v>
      </c>
      <c r="BV249" s="111">
        <f t="shared" ref="BV249" si="1931">E249</f>
        <v>59</v>
      </c>
      <c r="BW249" s="113" t="str">
        <f t="shared" ref="BW249" si="1932">I249</f>
        <v>-</v>
      </c>
      <c r="BX249" s="114">
        <f t="shared" ref="BX249" si="1933">M249</f>
        <v>98</v>
      </c>
      <c r="BY249" s="113">
        <f t="shared" ref="BY249" si="1934">Q249</f>
        <v>133</v>
      </c>
      <c r="BZ249" s="114">
        <f t="shared" ref="BZ249" si="1935">U249</f>
        <v>137</v>
      </c>
      <c r="CA249" s="113">
        <f t="shared" ref="CA249" si="1936">Y249</f>
        <v>173</v>
      </c>
      <c r="CB249" s="114">
        <f t="shared" ref="CB249" si="1937">AC249</f>
        <v>181</v>
      </c>
      <c r="CC249" s="113">
        <f t="shared" ref="CC249" si="1938">AG249</f>
        <v>224</v>
      </c>
      <c r="CD249" s="114">
        <f t="shared" ref="CD249" si="1939">AK249</f>
        <v>229</v>
      </c>
      <c r="CE249" s="113">
        <f t="shared" ref="CE249" si="1940">AO249</f>
        <v>293</v>
      </c>
      <c r="CF249" s="114">
        <f t="shared" ref="CF249" si="1941">AS249</f>
        <v>335</v>
      </c>
      <c r="CG249" s="113">
        <f t="shared" ref="CG249" si="1942">AW249</f>
        <v>368</v>
      </c>
      <c r="CH249" s="111">
        <f t="shared" ref="CH249" si="1943">G249</f>
        <v>91</v>
      </c>
      <c r="CI249" s="113" t="str">
        <f t="shared" ref="CI249" si="1944">K249</f>
        <v>-</v>
      </c>
      <c r="CJ249" s="114">
        <f t="shared" ref="CJ249" si="1945">O249</f>
        <v>129</v>
      </c>
      <c r="CK249" s="114">
        <f t="shared" ref="CK249" si="1946">S249</f>
        <v>136</v>
      </c>
      <c r="CL249" s="114">
        <f t="shared" ref="CL249" si="1947">W249</f>
        <v>172</v>
      </c>
      <c r="CM249" s="114">
        <f t="shared" ref="CM249" si="1948">AA249</f>
        <v>180</v>
      </c>
      <c r="CN249" s="114">
        <f t="shared" ref="CN249" si="1949">AE249</f>
        <v>206</v>
      </c>
      <c r="CO249" s="114">
        <f t="shared" ref="CO249" si="1950">AI249</f>
        <v>226</v>
      </c>
      <c r="CP249" s="114">
        <f t="shared" ref="CP249" si="1951">AM249</f>
        <v>269</v>
      </c>
      <c r="CQ249" s="114">
        <f t="shared" ref="CQ249" si="1952">AQ249</f>
        <v>329</v>
      </c>
      <c r="CR249" s="114">
        <f t="shared" ref="CR249" si="1953">AU249</f>
        <v>367</v>
      </c>
      <c r="CS249" s="114">
        <f t="shared" ref="CS249" si="1954">AY249</f>
        <v>383</v>
      </c>
      <c r="CT249" s="109" t="e">
        <f t="shared" ref="CT249" si="1955">M249-K249</f>
        <v>#VALUE!</v>
      </c>
    </row>
    <row r="250" spans="1:1029" x14ac:dyDescent="0.2">
      <c r="A250" s="3" t="str">
        <f t="shared" si="1424"/>
        <v>ntr1_rat__wt</v>
      </c>
      <c r="B250" s="3" t="s">
        <v>913</v>
      </c>
      <c r="C250" s="3" t="s">
        <v>100</v>
      </c>
      <c r="D250" s="3" t="str">
        <f>IFERROR(MID(VLOOKUP($B250,Seqs!$A:$B,2,0),E250,1),"")</f>
        <v>I</v>
      </c>
      <c r="E250" s="3">
        <v>61</v>
      </c>
      <c r="F250" s="3" t="str">
        <f>IFERROR(MID(VLOOKUP($B250,Seqs!$A:$B,2,0),G250,1),"")</f>
        <v>K</v>
      </c>
      <c r="G250" s="3">
        <v>92</v>
      </c>
      <c r="H250" s="3" t="str">
        <f>IFERROR(MID(VLOOKUP($B250,Seqs!$A:$B,2,0),I250,1),"")</f>
        <v>K</v>
      </c>
      <c r="I250" s="23">
        <v>93</v>
      </c>
      <c r="J250" s="3" t="str">
        <f>IFERROR(MID(VLOOKUP($B250,Seqs!$A:$B,2,0),K250,1),"")</f>
        <v>Q</v>
      </c>
      <c r="K250" s="23">
        <v>96</v>
      </c>
      <c r="L250" s="3" t="str">
        <f>IFERROR(MID(VLOOKUP($B250,Seqs!$A:$B,2,0),M250,1),"")</f>
        <v>S</v>
      </c>
      <c r="M250" s="3">
        <v>97</v>
      </c>
      <c r="N250" s="3" t="str">
        <f>IFERROR(MID(VLOOKUP($B250,Seqs!$A:$B,2,0),O250,1),"")</f>
        <v>V</v>
      </c>
      <c r="O250" s="3">
        <v>131</v>
      </c>
      <c r="P250" s="3" t="str">
        <f>IFERROR(MID(VLOOKUP($B250,Seqs!$A:$B,2,0),Q250,1),"")</f>
        <v>P</v>
      </c>
      <c r="Q250" s="3">
        <v>134</v>
      </c>
      <c r="R250" s="3" t="str">
        <f>IFERROR(MID(VLOOKUP($B250,Seqs!$A:$B,2,0),S250,1),"")</f>
        <v>F</v>
      </c>
      <c r="S250" s="3">
        <v>137</v>
      </c>
      <c r="T250" s="3" t="str">
        <f>IFERROR(MID(VLOOKUP($B250,Seqs!$A:$B,2,0),U250,1),"")</f>
        <v>G</v>
      </c>
      <c r="U250" s="3">
        <v>138</v>
      </c>
      <c r="V250" s="3" t="str">
        <f>IFERROR(MID(VLOOKUP($B250,Seqs!$A:$B,2,0),W250,1),"")</f>
        <v>H</v>
      </c>
      <c r="W250" s="3">
        <v>173</v>
      </c>
      <c r="X250" s="3" t="str">
        <f>IFERROR(MID(VLOOKUP($B250,Seqs!$A:$B,2,0),Y250,1),"")</f>
        <v>P</v>
      </c>
      <c r="Y250" s="3">
        <v>174</v>
      </c>
      <c r="Z250" s="3" t="str">
        <f>IFERROR(MID(VLOOKUP($B250,Seqs!$A:$B,2,0),AA250,1),"")</f>
        <v>M</v>
      </c>
      <c r="AA250" s="3">
        <v>181</v>
      </c>
      <c r="AB250" s="3" t="str">
        <f>IFERROR(MID(VLOOKUP($B250,Seqs!$A:$B,2,0),AC250,1),"")</f>
        <v>S</v>
      </c>
      <c r="AC250" s="9">
        <v>182</v>
      </c>
      <c r="AD250" s="3" t="str">
        <f>IFERROR(MID(VLOOKUP($B250,Seqs!$A:$B,2,0),AE250,1),"")</f>
        <v>M</v>
      </c>
      <c r="AE250" s="3">
        <v>208</v>
      </c>
      <c r="AF250" s="3" t="str">
        <f>IFERROR(MID(VLOOKUP($B250,Seqs!$A:$B,2,0),AG250,1),"")</f>
        <v>C</v>
      </c>
      <c r="AG250" s="3">
        <v>225</v>
      </c>
      <c r="AH250" s="3" t="str">
        <f>IFERROR(MID(VLOOKUP($B250,Seqs!$A:$B,2,0),AI250,1),"")</f>
        <v>P</v>
      </c>
      <c r="AI250" s="3">
        <v>227</v>
      </c>
      <c r="AJ250" s="3" t="str">
        <f>IFERROR(MID(VLOOKUP($B250,Seqs!$A:$B,2,0),AK250,1),"")</f>
        <v>T</v>
      </c>
      <c r="AK250" s="3">
        <v>231</v>
      </c>
      <c r="AL250" s="3" t="str">
        <f>IFERROR(MID(VLOOKUP($B250,Seqs!$A:$B,2,0),AM250,1),"")</f>
        <v>G</v>
      </c>
      <c r="AM250" s="3">
        <v>275</v>
      </c>
      <c r="AN250" s="3" t="str">
        <f>IFERROR(MID(VLOOKUP($B250,Seqs!$A:$B,2,0),AO250,1),"")</f>
        <v>P</v>
      </c>
      <c r="AO250" s="3">
        <v>297</v>
      </c>
      <c r="AP250" s="3" t="str">
        <f>IFERROR(MID(VLOOKUP($B250,Seqs!$A:$B,2,0),AQ250,1),"")</f>
        <v>I</v>
      </c>
      <c r="AQ250" s="3">
        <v>334</v>
      </c>
      <c r="AR250" s="3" t="str">
        <f>IFERROR(MID(VLOOKUP($B250,Seqs!$A:$B,2,0),AS250,1),"")</f>
        <v>T</v>
      </c>
      <c r="AS250" s="3">
        <v>340</v>
      </c>
      <c r="AT250" s="3" t="str">
        <f>IFERROR(MID(VLOOKUP($B250,Seqs!$A:$B,2,0),AU250,1),"")</f>
        <v>V</v>
      </c>
      <c r="AU250" s="3">
        <v>372</v>
      </c>
      <c r="AV250" s="3" t="str">
        <f>IFERROR(MID(VLOOKUP($B250,Seqs!$A:$B,2,0),AW250,1),"")</f>
        <v>S</v>
      </c>
      <c r="AW250" s="3">
        <v>373</v>
      </c>
      <c r="AX250" s="3" t="str">
        <f>IFERROR(MID(VLOOKUP($B250,Seqs!$A:$B,2,0),AY250,1),"")</f>
        <v>C</v>
      </c>
      <c r="AY250" s="105">
        <v>388</v>
      </c>
      <c r="AZ250" s="77" t="str">
        <f>VLOOKUP(B250,Classification!A:D,2,0)</f>
        <v>A</v>
      </c>
      <c r="BA250" s="94" t="str">
        <f>VLOOKUP(B250,Classification!A:D,4,0)</f>
        <v>Neurotensin</v>
      </c>
      <c r="BB250" s="27" t="b">
        <f t="shared" si="1425"/>
        <v>1</v>
      </c>
      <c r="BC250" s="23">
        <f t="shared" si="1398"/>
        <v>281</v>
      </c>
      <c r="BD250" s="56" t="s">
        <v>23</v>
      </c>
      <c r="BE250" s="3" t="s">
        <v>23</v>
      </c>
      <c r="BF250" s="118" t="s">
        <v>23</v>
      </c>
      <c r="BG250" s="49" t="s">
        <v>1372</v>
      </c>
      <c r="BH250" s="49" t="s">
        <v>1377</v>
      </c>
      <c r="BI250" s="3" t="s">
        <v>1169</v>
      </c>
      <c r="BJ250" s="70" t="s">
        <v>1287</v>
      </c>
      <c r="BK250" s="57" t="s">
        <v>1287</v>
      </c>
      <c r="BL250" s="57" t="s">
        <v>1287</v>
      </c>
      <c r="BM250" s="57" t="s">
        <v>1287</v>
      </c>
      <c r="BN250" s="57" t="s">
        <v>1287</v>
      </c>
      <c r="BO250" s="57" t="s">
        <v>1287</v>
      </c>
      <c r="BP250" s="57" t="s">
        <v>1287</v>
      </c>
      <c r="BQ250" s="57" t="s">
        <v>1287</v>
      </c>
      <c r="BR250" s="57" t="s">
        <v>1287</v>
      </c>
      <c r="BS250" s="57" t="s">
        <v>1287</v>
      </c>
      <c r="BT250" s="57" t="s">
        <v>1287</v>
      </c>
      <c r="BU250" s="57" t="s">
        <v>1287</v>
      </c>
      <c r="BV250" s="70">
        <f t="shared" si="1399"/>
        <v>61</v>
      </c>
      <c r="BW250" s="71">
        <f t="shared" si="1400"/>
        <v>93</v>
      </c>
      <c r="BX250" s="72">
        <f t="shared" si="1401"/>
        <v>97</v>
      </c>
      <c r="BY250" s="71">
        <f t="shared" si="1402"/>
        <v>134</v>
      </c>
      <c r="BZ250" s="72">
        <f t="shared" si="1403"/>
        <v>138</v>
      </c>
      <c r="CA250" s="71">
        <f t="shared" si="1404"/>
        <v>174</v>
      </c>
      <c r="CB250" s="72">
        <f t="shared" si="1405"/>
        <v>182</v>
      </c>
      <c r="CC250" s="71">
        <f t="shared" si="1406"/>
        <v>225</v>
      </c>
      <c r="CD250" s="72">
        <f t="shared" si="1407"/>
        <v>231</v>
      </c>
      <c r="CE250" s="71">
        <f t="shared" si="1408"/>
        <v>297</v>
      </c>
      <c r="CF250" s="72">
        <f t="shared" si="1409"/>
        <v>340</v>
      </c>
      <c r="CG250" s="71">
        <f t="shared" si="1410"/>
        <v>373</v>
      </c>
      <c r="CH250" s="70">
        <f t="shared" si="1411"/>
        <v>92</v>
      </c>
      <c r="CI250" s="71">
        <f t="shared" si="1412"/>
        <v>96</v>
      </c>
      <c r="CJ250" s="72">
        <f t="shared" si="1413"/>
        <v>131</v>
      </c>
      <c r="CK250" s="72">
        <f t="shared" si="1414"/>
        <v>137</v>
      </c>
      <c r="CL250" s="72">
        <f t="shared" si="1415"/>
        <v>173</v>
      </c>
      <c r="CM250" s="72">
        <f t="shared" si="1416"/>
        <v>181</v>
      </c>
      <c r="CN250" s="72">
        <f t="shared" si="1417"/>
        <v>208</v>
      </c>
      <c r="CO250" s="72">
        <f t="shared" si="1418"/>
        <v>227</v>
      </c>
      <c r="CP250" s="72">
        <f t="shared" si="1419"/>
        <v>275</v>
      </c>
      <c r="CQ250" s="72">
        <f t="shared" si="1420"/>
        <v>334</v>
      </c>
      <c r="CR250" s="72">
        <f t="shared" si="1421"/>
        <v>372</v>
      </c>
      <c r="CS250" s="72">
        <f t="shared" si="1422"/>
        <v>388</v>
      </c>
      <c r="CT250" s="23">
        <f t="shared" si="1423"/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29" x14ac:dyDescent="0.2">
      <c r="A251" s="3" t="str">
        <f t="shared" si="1424"/>
        <v>ntr1_rat_4BUO</v>
      </c>
      <c r="B251" s="3" t="s">
        <v>913</v>
      </c>
      <c r="C251" s="3" t="s">
        <v>1332</v>
      </c>
      <c r="D251" s="3" t="str">
        <f>IFERROR(MID(VLOOKUP($B251,Seqs!$A:$B,2,0),E251,1),"")</f>
        <v>I</v>
      </c>
      <c r="E251" s="3">
        <v>61</v>
      </c>
      <c r="F251" s="3" t="str">
        <f>IFERROR(MID(VLOOKUP($B251,Seqs!$A:$B,2,0),G251,1),"")</f>
        <v>R</v>
      </c>
      <c r="G251" s="3">
        <v>91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S</v>
      </c>
      <c r="M251" s="3">
        <v>97</v>
      </c>
      <c r="N251" s="3" t="str">
        <f>IFERROR(MID(VLOOKUP($B251,Seqs!$A:$B,2,0),O251,1),"")</f>
        <v>V</v>
      </c>
      <c r="O251" s="3">
        <v>131</v>
      </c>
      <c r="P251" s="3" t="str">
        <f>IFERROR(MID(VLOOKUP($B251,Seqs!$A:$B,2,0),Q251,1),"")</f>
        <v>P</v>
      </c>
      <c r="Q251" s="3">
        <v>134</v>
      </c>
      <c r="R251" s="3" t="str">
        <f>IFERROR(MID(VLOOKUP($B251,Seqs!$A:$B,2,0),S251,1),"")</f>
        <v>F</v>
      </c>
      <c r="S251" s="3">
        <v>137</v>
      </c>
      <c r="T251" s="3" t="str">
        <f>IFERROR(MID(VLOOKUP($B251,Seqs!$A:$B,2,0),U251,1),"")</f>
        <v>G</v>
      </c>
      <c r="U251" s="3">
        <v>138</v>
      </c>
      <c r="V251" s="3" t="str">
        <f>IFERROR(MID(VLOOKUP($B251,Seqs!$A:$B,2,0),W251,1),"")</f>
        <v>H</v>
      </c>
      <c r="W251" s="3">
        <v>173</v>
      </c>
      <c r="X251" s="3" t="str">
        <f>IFERROR(MID(VLOOKUP($B251,Seqs!$A:$B,2,0),Y251,1),"")</f>
        <v/>
      </c>
      <c r="Y251" s="3" t="s">
        <v>23</v>
      </c>
      <c r="Z251" s="3" t="str">
        <f>IFERROR(MID(VLOOKUP($B251,Seqs!$A:$B,2,0),AA251,1),"")</f>
        <v/>
      </c>
      <c r="AA251" s="3" t="s">
        <v>23</v>
      </c>
      <c r="AB251" s="3" t="str">
        <f>IFERROR(MID(VLOOKUP($B251,Seqs!$A:$B,2,0),AC251,1),"")</f>
        <v>S</v>
      </c>
      <c r="AC251" s="9">
        <v>182</v>
      </c>
      <c r="AD251" s="3" t="str">
        <f>IFERROR(MID(VLOOKUP($B251,Seqs!$A:$B,2,0),AE251,1),"")</f>
        <v>M</v>
      </c>
      <c r="AE251" s="3">
        <v>208</v>
      </c>
      <c r="AF251" s="3" t="str">
        <f>IFERROR(MID(VLOOKUP($B251,Seqs!$A:$B,2,0),AG251,1),"")</f>
        <v>C</v>
      </c>
      <c r="AG251" s="3">
        <v>225</v>
      </c>
      <c r="AH251" s="3" t="str">
        <f>IFERROR(MID(VLOOKUP($B251,Seqs!$A:$B,2,0),AI251,1),"")</f>
        <v>P</v>
      </c>
      <c r="AI251" s="3">
        <v>227</v>
      </c>
      <c r="AJ251" s="3" t="str">
        <f>IFERROR(MID(VLOOKUP($B251,Seqs!$A:$B,2,0),AK251,1),"")</f>
        <v>T</v>
      </c>
      <c r="AK251" s="3">
        <v>231</v>
      </c>
      <c r="AL251" s="3" t="str">
        <f>IFERROR(MID(VLOOKUP($B251,Seqs!$A:$B,2,0),AM251,1),"")</f>
        <v>Q</v>
      </c>
      <c r="AM251" s="3">
        <v>270</v>
      </c>
      <c r="AN251" s="3" t="str">
        <f>IFERROR(MID(VLOOKUP($B251,Seqs!$A:$B,2,0),AO251,1),"")</f>
        <v>G</v>
      </c>
      <c r="AO251" s="3">
        <v>298</v>
      </c>
      <c r="AP251" s="3" t="str">
        <f>IFERROR(MID(VLOOKUP($B251,Seqs!$A:$B,2,0),AQ251,1),"")</f>
        <v>I</v>
      </c>
      <c r="AQ251" s="3">
        <v>334</v>
      </c>
      <c r="AR251" s="3" t="str">
        <f>IFERROR(MID(VLOOKUP($B251,Seqs!$A:$B,2,0),AS251,1),"")</f>
        <v>T</v>
      </c>
      <c r="AS251" s="3">
        <v>340</v>
      </c>
      <c r="AT251" s="3" t="str">
        <f>IFERROR(MID(VLOOKUP($B251,Seqs!$A:$B,2,0),AU251,1),"")</f>
        <v>V</v>
      </c>
      <c r="AU251" s="3">
        <v>372</v>
      </c>
      <c r="AV251" s="3" t="str">
        <f>IFERROR(MID(VLOOKUP($B251,Seqs!$A:$B,2,0),AW251,1),"")</f>
        <v>S</v>
      </c>
      <c r="AW251" s="3">
        <v>373</v>
      </c>
      <c r="AX251" s="3" t="str">
        <f>IFERROR(MID(VLOOKUP($B251,Seqs!$A:$B,2,0),AY251,1),"")</f>
        <v>L</v>
      </c>
      <c r="AY251" s="3">
        <v>384</v>
      </c>
      <c r="AZ251" s="77" t="str">
        <f>VLOOKUP(B251,Classification!A:D,2,0)</f>
        <v>A</v>
      </c>
      <c r="BA251" s="94" t="str">
        <f>VLOOKUP(B251,Classification!A:D,4,0)</f>
        <v>Neurotensin</v>
      </c>
      <c r="BB251" s="27" t="b">
        <f t="shared" si="1425"/>
        <v>1</v>
      </c>
      <c r="BC251" s="23">
        <f t="shared" si="1398"/>
        <v>260</v>
      </c>
      <c r="BD251" s="16" t="s">
        <v>1376</v>
      </c>
      <c r="BE251" s="3" t="s">
        <v>1374</v>
      </c>
      <c r="BF251" s="118">
        <v>2.75</v>
      </c>
      <c r="BG251" s="49" t="s">
        <v>1377</v>
      </c>
      <c r="BH251" s="49" t="s">
        <v>1377</v>
      </c>
      <c r="BI251" s="1"/>
      <c r="BJ251" s="70" t="s">
        <v>1287</v>
      </c>
      <c r="BK251" s="57" t="s">
        <v>1287</v>
      </c>
      <c r="BL251" s="57" t="s">
        <v>1287</v>
      </c>
      <c r="BM251" s="57" t="s">
        <v>1287</v>
      </c>
      <c r="BN251" s="57" t="s">
        <v>1287</v>
      </c>
      <c r="BO251" s="57" t="s">
        <v>1287</v>
      </c>
      <c r="BP251" s="57" t="s">
        <v>1287</v>
      </c>
      <c r="BQ251" s="57" t="s">
        <v>1287</v>
      </c>
      <c r="BR251" s="57" t="s">
        <v>1287</v>
      </c>
      <c r="BS251" s="57" t="s">
        <v>1287</v>
      </c>
      <c r="BT251" s="57" t="s">
        <v>1287</v>
      </c>
      <c r="BU251" s="57" t="s">
        <v>1287</v>
      </c>
      <c r="BV251" s="70">
        <f t="shared" si="1399"/>
        <v>61</v>
      </c>
      <c r="BW251" s="71" t="str">
        <f t="shared" si="1400"/>
        <v>-</v>
      </c>
      <c r="BX251" s="72">
        <f t="shared" si="1401"/>
        <v>97</v>
      </c>
      <c r="BY251" s="71">
        <f t="shared" si="1402"/>
        <v>134</v>
      </c>
      <c r="BZ251" s="72">
        <f t="shared" si="1403"/>
        <v>138</v>
      </c>
      <c r="CA251" s="71" t="str">
        <f t="shared" si="1404"/>
        <v>-</v>
      </c>
      <c r="CB251" s="72">
        <f t="shared" si="1405"/>
        <v>182</v>
      </c>
      <c r="CC251" s="71">
        <f t="shared" si="1406"/>
        <v>225</v>
      </c>
      <c r="CD251" s="72">
        <f t="shared" si="1407"/>
        <v>231</v>
      </c>
      <c r="CE251" s="71">
        <f t="shared" si="1408"/>
        <v>298</v>
      </c>
      <c r="CF251" s="72">
        <f t="shared" si="1409"/>
        <v>340</v>
      </c>
      <c r="CG251" s="71">
        <f t="shared" si="1410"/>
        <v>373</v>
      </c>
      <c r="CH251" s="70">
        <f t="shared" si="1411"/>
        <v>91</v>
      </c>
      <c r="CI251" s="71" t="str">
        <f t="shared" si="1412"/>
        <v>-</v>
      </c>
      <c r="CJ251" s="72">
        <f t="shared" si="1413"/>
        <v>131</v>
      </c>
      <c r="CK251" s="72">
        <f t="shared" si="1414"/>
        <v>137</v>
      </c>
      <c r="CL251" s="72">
        <f t="shared" si="1415"/>
        <v>173</v>
      </c>
      <c r="CM251" s="72" t="str">
        <f t="shared" si="1416"/>
        <v>-</v>
      </c>
      <c r="CN251" s="72">
        <f t="shared" si="1417"/>
        <v>208</v>
      </c>
      <c r="CO251" s="72">
        <f t="shared" si="1418"/>
        <v>227</v>
      </c>
      <c r="CP251" s="72">
        <f t="shared" si="1419"/>
        <v>270</v>
      </c>
      <c r="CQ251" s="72">
        <f t="shared" si="1420"/>
        <v>334</v>
      </c>
      <c r="CR251" s="72">
        <f t="shared" si="1421"/>
        <v>372</v>
      </c>
      <c r="CS251" s="72">
        <f t="shared" si="1422"/>
        <v>384</v>
      </c>
      <c r="CT251" s="23" t="e">
        <f t="shared" si="1423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29" x14ac:dyDescent="0.2">
      <c r="A252" s="3" t="str">
        <f t="shared" si="1424"/>
        <v>ntr1_rat_4GRV</v>
      </c>
      <c r="B252" s="3" t="s">
        <v>913</v>
      </c>
      <c r="C252" s="3" t="s">
        <v>50</v>
      </c>
      <c r="D252" s="3" t="str">
        <f>IFERROR(MID(VLOOKUP($B252,Seqs!$A:$B,2,0),E252,1),"")</f>
        <v>I</v>
      </c>
      <c r="E252" s="3">
        <v>61</v>
      </c>
      <c r="F252" s="3" t="str">
        <f>IFERROR(MID(VLOOKUP($B252,Seqs!$A:$B,2,0),G252,1),"")</f>
        <v>T</v>
      </c>
      <c r="G252" s="3">
        <v>88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Q</v>
      </c>
      <c r="M252" s="3">
        <v>99</v>
      </c>
      <c r="N252" s="3" t="str">
        <f>IFERROR(MID(VLOOKUP($B252,Seqs!$A:$B,2,0),O252,1),"")</f>
        <v>V</v>
      </c>
      <c r="O252" s="3">
        <v>131</v>
      </c>
      <c r="P252" s="3" t="str">
        <f>IFERROR(MID(VLOOKUP($B252,Seqs!$A:$B,2,0),Q252,1),"")</f>
        <v>P</v>
      </c>
      <c r="Q252" s="3">
        <v>134</v>
      </c>
      <c r="R252" s="3" t="str">
        <f>IFERROR(MID(VLOOKUP($B252,Seqs!$A:$B,2,0),S252,1),"")</f>
        <v>F</v>
      </c>
      <c r="S252" s="3">
        <v>137</v>
      </c>
      <c r="T252" s="3" t="str">
        <f>IFERROR(MID(VLOOKUP($B252,Seqs!$A:$B,2,0),U252,1),"")</f>
        <v>G</v>
      </c>
      <c r="U252" s="3">
        <v>138</v>
      </c>
      <c r="V252" s="3" t="str">
        <f>IFERROR(MID(VLOOKUP($B252,Seqs!$A:$B,2,0),W252,1),"")</f>
        <v>H</v>
      </c>
      <c r="W252" s="3">
        <v>173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T</v>
      </c>
      <c r="AC252" s="9">
        <v>186</v>
      </c>
      <c r="AD252" s="3" t="str">
        <f>IFERROR(MID(VLOOKUP($B252,Seqs!$A:$B,2,0),AE252,1),"")</f>
        <v>M</v>
      </c>
      <c r="AE252" s="3">
        <v>208</v>
      </c>
      <c r="AF252" s="3" t="str">
        <f>IFERROR(MID(VLOOKUP($B252,Seqs!$A:$B,2,0),AG252,1),"")</f>
        <v>C</v>
      </c>
      <c r="AG252" s="3">
        <v>225</v>
      </c>
      <c r="AH252" s="3" t="str">
        <f>IFERROR(MID(VLOOKUP($B252,Seqs!$A:$B,2,0),AI252,1),"")</f>
        <v>P</v>
      </c>
      <c r="AI252" s="3">
        <v>227</v>
      </c>
      <c r="AJ252" s="3" t="str">
        <f>IFERROR(MID(VLOOKUP($B252,Seqs!$A:$B,2,0),AK252,1),"")</f>
        <v>T</v>
      </c>
      <c r="AK252" s="3">
        <v>231</v>
      </c>
      <c r="AL252" s="3" t="str">
        <f>IFERROR(MID(VLOOKUP($B252,Seqs!$A:$B,2,0),AM252,1),"")</f>
        <v>T</v>
      </c>
      <c r="AM252" s="3">
        <v>265</v>
      </c>
      <c r="AN252" s="3" t="str">
        <f>IFERROR(MID(VLOOKUP($B252,Seqs!$A:$B,2,0),AO252,1),"")</f>
        <v>A</v>
      </c>
      <c r="AO252" s="3">
        <v>302</v>
      </c>
      <c r="AP252" s="3" t="str">
        <f>IFERROR(MID(VLOOKUP($B252,Seqs!$A:$B,2,0),AQ252,1),"")</f>
        <v>I</v>
      </c>
      <c r="AQ252" s="3">
        <v>334</v>
      </c>
      <c r="AR252" s="3" t="str">
        <f>IFERROR(MID(VLOOKUP($B252,Seqs!$A:$B,2,0),AS252,1),"")</f>
        <v>T</v>
      </c>
      <c r="AS252" s="3">
        <v>340</v>
      </c>
      <c r="AT252" s="3" t="str">
        <f>IFERROR(MID(VLOOKUP($B252,Seqs!$A:$B,2,0),AU252,1),"")</f>
        <v>S</v>
      </c>
      <c r="AU252" s="3">
        <v>361</v>
      </c>
      <c r="AV252" s="3" t="str">
        <f>IFERROR(MID(VLOOKUP($B252,Seqs!$A:$B,2,0),AW252,1),"")</f>
        <v/>
      </c>
      <c r="AW252" s="3" t="s">
        <v>23</v>
      </c>
      <c r="AX252" s="3" t="str">
        <f>IFERROR(MID(VLOOKUP($B252,Seqs!$A:$B,2,0),AY252,1),"")</f>
        <v/>
      </c>
      <c r="AY252" s="3" t="s">
        <v>23</v>
      </c>
      <c r="AZ252" s="77" t="str">
        <f>VLOOKUP(B252,Classification!A:D,2,0)</f>
        <v>A</v>
      </c>
      <c r="BA252" s="94" t="str">
        <f>VLOOKUP(B252,Classification!A:D,4,0)</f>
        <v>Neurotensin</v>
      </c>
      <c r="BB252" s="27" t="b">
        <f t="shared" si="1425"/>
        <v>1</v>
      </c>
      <c r="BC252" s="23">
        <f t="shared" si="1398"/>
        <v>220</v>
      </c>
      <c r="BD252" s="5" t="s">
        <v>23</v>
      </c>
      <c r="BE252" s="3" t="s">
        <v>1428</v>
      </c>
      <c r="BF252" s="118">
        <v>2.8</v>
      </c>
      <c r="BG252" s="49" t="s">
        <v>1377</v>
      </c>
      <c r="BH252" s="49" t="s">
        <v>1377</v>
      </c>
      <c r="BI252" s="1"/>
      <c r="BJ252" s="70" t="s">
        <v>1287</v>
      </c>
      <c r="BK252" s="57" t="s">
        <v>1287</v>
      </c>
      <c r="BL252" s="57" t="s">
        <v>1287</v>
      </c>
      <c r="BM252" s="57" t="s">
        <v>1287</v>
      </c>
      <c r="BN252" s="57" t="s">
        <v>1287</v>
      </c>
      <c r="BO252" s="57" t="s">
        <v>1287</v>
      </c>
      <c r="BP252" s="57" t="s">
        <v>1287</v>
      </c>
      <c r="BQ252" s="57" t="s">
        <v>1287</v>
      </c>
      <c r="BR252" s="57" t="s">
        <v>1287</v>
      </c>
      <c r="BS252" s="57" t="s">
        <v>1287</v>
      </c>
      <c r="BT252" s="57" t="s">
        <v>1287</v>
      </c>
      <c r="BU252" s="57" t="s">
        <v>1287</v>
      </c>
      <c r="BV252" s="70">
        <f t="shared" si="1399"/>
        <v>61</v>
      </c>
      <c r="BW252" s="71" t="str">
        <f t="shared" si="1400"/>
        <v>-</v>
      </c>
      <c r="BX252" s="72">
        <f t="shared" si="1401"/>
        <v>99</v>
      </c>
      <c r="BY252" s="71">
        <f t="shared" si="1402"/>
        <v>134</v>
      </c>
      <c r="BZ252" s="72">
        <f t="shared" si="1403"/>
        <v>138</v>
      </c>
      <c r="CA252" s="71" t="str">
        <f t="shared" si="1404"/>
        <v>-</v>
      </c>
      <c r="CB252" s="72">
        <f t="shared" si="1405"/>
        <v>186</v>
      </c>
      <c r="CC252" s="71">
        <f t="shared" si="1406"/>
        <v>225</v>
      </c>
      <c r="CD252" s="72">
        <f t="shared" si="1407"/>
        <v>231</v>
      </c>
      <c r="CE252" s="71">
        <f t="shared" si="1408"/>
        <v>302</v>
      </c>
      <c r="CF252" s="72">
        <f t="shared" si="1409"/>
        <v>340</v>
      </c>
      <c r="CG252" s="71" t="str">
        <f t="shared" si="1410"/>
        <v>-</v>
      </c>
      <c r="CH252" s="70">
        <f t="shared" si="1411"/>
        <v>88</v>
      </c>
      <c r="CI252" s="71" t="str">
        <f t="shared" si="1412"/>
        <v>-</v>
      </c>
      <c r="CJ252" s="72">
        <f t="shared" si="1413"/>
        <v>131</v>
      </c>
      <c r="CK252" s="72">
        <f t="shared" si="1414"/>
        <v>137</v>
      </c>
      <c r="CL252" s="72">
        <f t="shared" si="1415"/>
        <v>173</v>
      </c>
      <c r="CM252" s="72" t="str">
        <f t="shared" si="1416"/>
        <v>-</v>
      </c>
      <c r="CN252" s="72">
        <f t="shared" si="1417"/>
        <v>208</v>
      </c>
      <c r="CO252" s="72">
        <f t="shared" si="1418"/>
        <v>227</v>
      </c>
      <c r="CP252" s="72">
        <f t="shared" si="1419"/>
        <v>265</v>
      </c>
      <c r="CQ252" s="72">
        <f t="shared" si="1420"/>
        <v>334</v>
      </c>
      <c r="CR252" s="72">
        <f t="shared" si="1421"/>
        <v>361</v>
      </c>
      <c r="CS252" s="72" t="str">
        <f t="shared" si="1422"/>
        <v>-</v>
      </c>
      <c r="CT252" s="23" t="e">
        <f t="shared" si="1423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29" x14ac:dyDescent="0.2">
      <c r="A253" s="3" t="str">
        <f t="shared" si="1424"/>
        <v>ntr1_rat_4XEE</v>
      </c>
      <c r="B253" s="3" t="s">
        <v>913</v>
      </c>
      <c r="C253" s="3" t="s">
        <v>1350</v>
      </c>
      <c r="D253" s="3" t="str">
        <f>IFERROR(MID(VLOOKUP($B253,Seqs!$A:$B,2,0),E253,1),"")</f>
        <v>I</v>
      </c>
      <c r="E253" s="3">
        <v>61</v>
      </c>
      <c r="F253" s="3" t="str">
        <f>IFERROR(MID(VLOOKUP($B253,Seqs!$A:$B,2,0),G253,1),"")</f>
        <v>R</v>
      </c>
      <c r="G253" s="3">
        <v>91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S</v>
      </c>
      <c r="M253" s="3">
        <v>100</v>
      </c>
      <c r="N253" s="3" t="str">
        <f>IFERROR(MID(VLOOKUP($B253,Seqs!$A:$B,2,0),O253,1),"")</f>
        <v>V</v>
      </c>
      <c r="O253" s="3">
        <v>131</v>
      </c>
      <c r="P253" s="3" t="str">
        <f>IFERROR(MID(VLOOKUP($B253,Seqs!$A:$B,2,0),Q253,1),"")</f>
        <v>P</v>
      </c>
      <c r="Q253" s="3">
        <v>134</v>
      </c>
      <c r="R253" s="3" t="str">
        <f>IFERROR(MID(VLOOKUP($B253,Seqs!$A:$B,2,0),S253,1),"")</f>
        <v>F</v>
      </c>
      <c r="S253" s="3">
        <v>137</v>
      </c>
      <c r="T253" s="3" t="str">
        <f>IFERROR(MID(VLOOKUP($B253,Seqs!$A:$B,2,0),U253,1),"")</f>
        <v>G</v>
      </c>
      <c r="U253" s="3">
        <v>138</v>
      </c>
      <c r="V253" s="3" t="str">
        <f>IFERROR(MID(VLOOKUP($B253,Seqs!$A:$B,2,0),W253,1),"")</f>
        <v>H</v>
      </c>
      <c r="W253" s="3">
        <v>173</v>
      </c>
      <c r="X253" s="3" t="str">
        <f>IFERROR(MID(VLOOKUP($B253,Seqs!$A:$B,2,0),Y253,1),"")</f>
        <v>P</v>
      </c>
      <c r="Y253" s="3">
        <v>174</v>
      </c>
      <c r="Z253" s="3" t="str">
        <f>IFERROR(MID(VLOOKUP($B253,Seqs!$A:$B,2,0),AA253,1),"")</f>
        <v>M</v>
      </c>
      <c r="AA253" s="3">
        <v>181</v>
      </c>
      <c r="AB253" s="3" t="str">
        <f>IFERROR(MID(VLOOKUP($B253,Seqs!$A:$B,2,0),AC253,1),"")</f>
        <v>S</v>
      </c>
      <c r="AC253" s="9">
        <v>182</v>
      </c>
      <c r="AD253" s="3" t="str">
        <f>IFERROR(MID(VLOOKUP($B253,Seqs!$A:$B,2,0),AE253,1),"")</f>
        <v>M</v>
      </c>
      <c r="AE253" s="3">
        <v>208</v>
      </c>
      <c r="AF253" s="3" t="str">
        <f>IFERROR(MID(VLOOKUP($B253,Seqs!$A:$B,2,0),AG253,1),"")</f>
        <v>C</v>
      </c>
      <c r="AG253" s="3">
        <v>225</v>
      </c>
      <c r="AH253" s="3" t="str">
        <f>IFERROR(MID(VLOOKUP($B253,Seqs!$A:$B,2,0),AI253,1),"")</f>
        <v>P</v>
      </c>
      <c r="AI253" s="3">
        <v>227</v>
      </c>
      <c r="AJ253" s="3" t="str">
        <f>IFERROR(MID(VLOOKUP($B253,Seqs!$A:$B,2,0),AK253,1),"")</f>
        <v>T</v>
      </c>
      <c r="AK253" s="3">
        <v>231</v>
      </c>
      <c r="AL253" s="3" t="str">
        <f>IFERROR(MID(VLOOKUP($B253,Seqs!$A:$B,2,0),AM253,1),"")</f>
        <v>V</v>
      </c>
      <c r="AM253" s="3">
        <v>268</v>
      </c>
      <c r="AN253" s="3" t="str">
        <f>IFERROR(MID(VLOOKUP($B253,Seqs!$A:$B,2,0),AO253,1),"")</f>
        <v>Q</v>
      </c>
      <c r="AO253" s="3">
        <v>301</v>
      </c>
      <c r="AP253" s="3" t="str">
        <f>IFERROR(MID(VLOOKUP($B253,Seqs!$A:$B,2,0),AQ253,1),"")</f>
        <v>I</v>
      </c>
      <c r="AQ253" s="3">
        <v>334</v>
      </c>
      <c r="AR253" s="3" t="str">
        <f>IFERROR(MID(VLOOKUP($B253,Seqs!$A:$B,2,0),AS253,1),"")</f>
        <v>T</v>
      </c>
      <c r="AS253" s="3">
        <v>340</v>
      </c>
      <c r="AT253" s="3" t="str">
        <f>IFERROR(MID(VLOOKUP($B253,Seqs!$A:$B,2,0),AU253,1),"")</f>
        <v>I</v>
      </c>
      <c r="AU253" s="3">
        <v>364</v>
      </c>
      <c r="AV253" s="3" t="str">
        <f>IFERROR(MID(VLOOKUP($B253,Seqs!$A:$B,2,0),AW253,1),"")</f>
        <v/>
      </c>
      <c r="AW253" s="3" t="s">
        <v>23</v>
      </c>
      <c r="AX253" s="3" t="str">
        <f>IFERROR(MID(VLOOKUP($B253,Seqs!$A:$B,2,0),AY253,1),"")</f>
        <v/>
      </c>
      <c r="AY253" s="3" t="s">
        <v>23</v>
      </c>
      <c r="AZ253" s="77" t="str">
        <f>VLOOKUP(B253,Classification!A:D,2,0)</f>
        <v>A</v>
      </c>
      <c r="BA253" s="94" t="str">
        <f>VLOOKUP(B253,Classification!A:D,4,0)</f>
        <v>Neurotensin</v>
      </c>
      <c r="BB253" s="27" t="b">
        <f t="shared" si="1425"/>
        <v>1</v>
      </c>
      <c r="BC253" s="23">
        <f t="shared" si="1398"/>
        <v>240</v>
      </c>
      <c r="BD253" s="4" t="s">
        <v>23</v>
      </c>
      <c r="BE253" s="3" t="s">
        <v>1428</v>
      </c>
      <c r="BF253" s="118">
        <v>2.9</v>
      </c>
      <c r="BG253" s="49" t="s">
        <v>1377</v>
      </c>
      <c r="BH253" s="49" t="s">
        <v>1377</v>
      </c>
      <c r="BI253" s="1"/>
      <c r="BJ253" s="70" t="s">
        <v>1287</v>
      </c>
      <c r="BK253" s="57" t="s">
        <v>1287</v>
      </c>
      <c r="BL253" s="57" t="s">
        <v>1287</v>
      </c>
      <c r="BM253" s="57" t="s">
        <v>1287</v>
      </c>
      <c r="BN253" s="57" t="s">
        <v>1287</v>
      </c>
      <c r="BO253" s="57" t="s">
        <v>1287</v>
      </c>
      <c r="BP253" s="57" t="s">
        <v>1287</v>
      </c>
      <c r="BQ253" s="57" t="s">
        <v>1287</v>
      </c>
      <c r="BR253" s="57" t="s">
        <v>1287</v>
      </c>
      <c r="BS253" s="57" t="s">
        <v>1287</v>
      </c>
      <c r="BT253" s="57" t="s">
        <v>1287</v>
      </c>
      <c r="BU253" s="57" t="s">
        <v>1287</v>
      </c>
      <c r="BV253" s="70">
        <f t="shared" si="1399"/>
        <v>61</v>
      </c>
      <c r="BW253" s="71" t="str">
        <f t="shared" si="1400"/>
        <v>-</v>
      </c>
      <c r="BX253" s="72">
        <f t="shared" si="1401"/>
        <v>100</v>
      </c>
      <c r="BY253" s="71">
        <f t="shared" si="1402"/>
        <v>134</v>
      </c>
      <c r="BZ253" s="72">
        <f t="shared" si="1403"/>
        <v>138</v>
      </c>
      <c r="CA253" s="71">
        <f t="shared" si="1404"/>
        <v>174</v>
      </c>
      <c r="CB253" s="72">
        <f t="shared" si="1405"/>
        <v>182</v>
      </c>
      <c r="CC253" s="71">
        <f t="shared" si="1406"/>
        <v>225</v>
      </c>
      <c r="CD253" s="72">
        <f t="shared" si="1407"/>
        <v>231</v>
      </c>
      <c r="CE253" s="71">
        <f t="shared" si="1408"/>
        <v>301</v>
      </c>
      <c r="CF253" s="72">
        <f t="shared" si="1409"/>
        <v>340</v>
      </c>
      <c r="CG253" s="71" t="str">
        <f t="shared" si="1410"/>
        <v>-</v>
      </c>
      <c r="CH253" s="70">
        <f t="shared" si="1411"/>
        <v>91</v>
      </c>
      <c r="CI253" s="71" t="str">
        <f t="shared" si="1412"/>
        <v>-</v>
      </c>
      <c r="CJ253" s="72">
        <f t="shared" si="1413"/>
        <v>131</v>
      </c>
      <c r="CK253" s="72">
        <f t="shared" si="1414"/>
        <v>137</v>
      </c>
      <c r="CL253" s="72">
        <f t="shared" si="1415"/>
        <v>173</v>
      </c>
      <c r="CM253" s="72">
        <f t="shared" si="1416"/>
        <v>181</v>
      </c>
      <c r="CN253" s="72">
        <f t="shared" si="1417"/>
        <v>208</v>
      </c>
      <c r="CO253" s="72">
        <f t="shared" si="1418"/>
        <v>227</v>
      </c>
      <c r="CP253" s="72">
        <f t="shared" si="1419"/>
        <v>268</v>
      </c>
      <c r="CQ253" s="72">
        <f t="shared" si="1420"/>
        <v>334</v>
      </c>
      <c r="CR253" s="72">
        <f t="shared" si="1421"/>
        <v>364</v>
      </c>
      <c r="CS253" s="72" t="str">
        <f t="shared" si="1422"/>
        <v>-</v>
      </c>
      <c r="CT253" s="23" t="e">
        <f t="shared" si="1423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29" x14ac:dyDescent="0.2">
      <c r="A254" s="3" t="str">
        <f t="shared" si="1424"/>
        <v>ntr1_rat_4XES</v>
      </c>
      <c r="B254" s="3" t="s">
        <v>913</v>
      </c>
      <c r="C254" s="3" t="s">
        <v>1351</v>
      </c>
      <c r="D254" s="3" t="str">
        <f>IFERROR(MID(VLOOKUP($B254,Seqs!$A:$B,2,0),E254,1),"")</f>
        <v>I</v>
      </c>
      <c r="E254" s="3">
        <v>61</v>
      </c>
      <c r="F254" s="3" t="str">
        <f>IFERROR(MID(VLOOKUP($B254,Seqs!$A:$B,2,0),G254,1),"")</f>
        <v>K</v>
      </c>
      <c r="G254" s="3">
        <v>92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S</v>
      </c>
      <c r="M254" s="3">
        <v>97</v>
      </c>
      <c r="N254" s="3" t="str">
        <f>IFERROR(MID(VLOOKUP($B254,Seqs!$A:$B,2,0),O254,1),"")</f>
        <v>V</v>
      </c>
      <c r="O254" s="3">
        <v>131</v>
      </c>
      <c r="P254" s="3" t="str">
        <f>IFERROR(MID(VLOOKUP($B254,Seqs!$A:$B,2,0),Q254,1),"")</f>
        <v>P</v>
      </c>
      <c r="Q254" s="3">
        <v>134</v>
      </c>
      <c r="R254" s="3" t="str">
        <f>IFERROR(MID(VLOOKUP($B254,Seqs!$A:$B,2,0),S254,1),"")</f>
        <v>F</v>
      </c>
      <c r="S254" s="3">
        <v>137</v>
      </c>
      <c r="T254" s="3" t="str">
        <f>IFERROR(MID(VLOOKUP($B254,Seqs!$A:$B,2,0),U254,1),"")</f>
        <v>G</v>
      </c>
      <c r="U254" s="3">
        <v>138</v>
      </c>
      <c r="V254" s="3" t="str">
        <f>IFERROR(MID(VLOOKUP($B254,Seqs!$A:$B,2,0),W254,1),"")</f>
        <v>H</v>
      </c>
      <c r="W254" s="3">
        <v>173</v>
      </c>
      <c r="X254" s="3" t="str">
        <f>IFERROR(MID(VLOOKUP($B254,Seqs!$A:$B,2,0),Y254,1),"")</f>
        <v>P</v>
      </c>
      <c r="Y254" s="3">
        <v>174</v>
      </c>
      <c r="Z254" s="3" t="str">
        <f>IFERROR(MID(VLOOKUP($B254,Seqs!$A:$B,2,0),AA254,1),"")</f>
        <v>M</v>
      </c>
      <c r="AA254" s="3">
        <v>181</v>
      </c>
      <c r="AB254" s="3" t="str">
        <f>IFERROR(MID(VLOOKUP($B254,Seqs!$A:$B,2,0),AC254,1),"")</f>
        <v>S</v>
      </c>
      <c r="AC254" s="9">
        <v>182</v>
      </c>
      <c r="AD254" s="3" t="str">
        <f>IFERROR(MID(VLOOKUP($B254,Seqs!$A:$B,2,0),AE254,1),"")</f>
        <v>M</v>
      </c>
      <c r="AE254" s="3">
        <v>208</v>
      </c>
      <c r="AF254" s="3" t="str">
        <f>IFERROR(MID(VLOOKUP($B254,Seqs!$A:$B,2,0),AG254,1),"")</f>
        <v>C</v>
      </c>
      <c r="AG254" s="3">
        <v>225</v>
      </c>
      <c r="AH254" s="3" t="str">
        <f>IFERROR(MID(VLOOKUP($B254,Seqs!$A:$B,2,0),AI254,1),"")</f>
        <v>P</v>
      </c>
      <c r="AI254" s="3">
        <v>227</v>
      </c>
      <c r="AJ254" s="3" t="str">
        <f>IFERROR(MID(VLOOKUP($B254,Seqs!$A:$B,2,0),AK254,1),"")</f>
        <v>T</v>
      </c>
      <c r="AK254" s="3">
        <v>231</v>
      </c>
      <c r="AL254" s="3" t="str">
        <f>IFERROR(MID(VLOOKUP($B254,Seqs!$A:$B,2,0),AM254,1),"")</f>
        <v>V</v>
      </c>
      <c r="AM254" s="3">
        <v>268</v>
      </c>
      <c r="AN254" s="3" t="str">
        <f>IFERROR(MID(VLOOKUP($B254,Seqs!$A:$B,2,0),AO254,1),"")</f>
        <v>A</v>
      </c>
      <c r="AO254" s="3">
        <v>302</v>
      </c>
      <c r="AP254" s="3" t="str">
        <f>IFERROR(MID(VLOOKUP($B254,Seqs!$A:$B,2,0),AQ254,1),"")</f>
        <v>I</v>
      </c>
      <c r="AQ254" s="3">
        <v>334</v>
      </c>
      <c r="AR254" s="3" t="str">
        <f>IFERROR(MID(VLOOKUP($B254,Seqs!$A:$B,2,0),AS254,1),"")</f>
        <v>T</v>
      </c>
      <c r="AS254" s="3">
        <v>340</v>
      </c>
      <c r="AT254" s="3" t="str">
        <f>IFERROR(MID(VLOOKUP($B254,Seqs!$A:$B,2,0),AU254,1),"")</f>
        <v>I</v>
      </c>
      <c r="AU254" s="3">
        <v>364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A</v>
      </c>
      <c r="BA254" s="94" t="str">
        <f>VLOOKUP(B254,Classification!A:D,4,0)</f>
        <v>Neurotensin</v>
      </c>
      <c r="BB254" s="27" t="b">
        <f t="shared" si="1425"/>
        <v>1</v>
      </c>
      <c r="BC254" s="23">
        <f t="shared" si="1398"/>
        <v>243</v>
      </c>
      <c r="BD254" s="5" t="s">
        <v>23</v>
      </c>
      <c r="BE254" s="3" t="s">
        <v>1428</v>
      </c>
      <c r="BF254" s="118">
        <v>2.6</v>
      </c>
      <c r="BG254" s="49" t="s">
        <v>1377</v>
      </c>
      <c r="BH254" s="49" t="s">
        <v>1377</v>
      </c>
      <c r="BI254" s="1"/>
      <c r="BJ254" s="70" t="s">
        <v>1287</v>
      </c>
      <c r="BK254" s="57" t="s">
        <v>1287</v>
      </c>
      <c r="BL254" s="57" t="s">
        <v>1287</v>
      </c>
      <c r="BM254" s="57" t="s">
        <v>1287</v>
      </c>
      <c r="BN254" s="57" t="s">
        <v>1287</v>
      </c>
      <c r="BO254" s="57" t="s">
        <v>1287</v>
      </c>
      <c r="BP254" s="57" t="s">
        <v>1287</v>
      </c>
      <c r="BQ254" s="57" t="s">
        <v>1287</v>
      </c>
      <c r="BR254" s="57" t="s">
        <v>1287</v>
      </c>
      <c r="BS254" s="57" t="s">
        <v>1287</v>
      </c>
      <c r="BT254" s="57" t="s">
        <v>1287</v>
      </c>
      <c r="BU254" s="57" t="s">
        <v>1287</v>
      </c>
      <c r="BV254" s="70">
        <f t="shared" si="1399"/>
        <v>61</v>
      </c>
      <c r="BW254" s="71" t="str">
        <f t="shared" si="1400"/>
        <v>-</v>
      </c>
      <c r="BX254" s="72">
        <f t="shared" si="1401"/>
        <v>97</v>
      </c>
      <c r="BY254" s="71">
        <f t="shared" si="1402"/>
        <v>134</v>
      </c>
      <c r="BZ254" s="72">
        <f t="shared" si="1403"/>
        <v>138</v>
      </c>
      <c r="CA254" s="71">
        <f t="shared" si="1404"/>
        <v>174</v>
      </c>
      <c r="CB254" s="72">
        <f t="shared" si="1405"/>
        <v>182</v>
      </c>
      <c r="CC254" s="71">
        <f t="shared" si="1406"/>
        <v>225</v>
      </c>
      <c r="CD254" s="72">
        <f t="shared" si="1407"/>
        <v>231</v>
      </c>
      <c r="CE254" s="71">
        <f t="shared" si="1408"/>
        <v>302</v>
      </c>
      <c r="CF254" s="72">
        <f t="shared" si="1409"/>
        <v>340</v>
      </c>
      <c r="CG254" s="71" t="str">
        <f t="shared" si="1410"/>
        <v>-</v>
      </c>
      <c r="CH254" s="70">
        <f t="shared" si="1411"/>
        <v>92</v>
      </c>
      <c r="CI254" s="71" t="str">
        <f t="shared" si="1412"/>
        <v>-</v>
      </c>
      <c r="CJ254" s="72">
        <f t="shared" si="1413"/>
        <v>131</v>
      </c>
      <c r="CK254" s="72">
        <f t="shared" si="1414"/>
        <v>137</v>
      </c>
      <c r="CL254" s="72">
        <f t="shared" si="1415"/>
        <v>173</v>
      </c>
      <c r="CM254" s="72">
        <f t="shared" si="1416"/>
        <v>181</v>
      </c>
      <c r="CN254" s="72">
        <f t="shared" si="1417"/>
        <v>208</v>
      </c>
      <c r="CO254" s="72">
        <f t="shared" si="1418"/>
        <v>227</v>
      </c>
      <c r="CP254" s="72">
        <f t="shared" si="1419"/>
        <v>268</v>
      </c>
      <c r="CQ254" s="72">
        <f t="shared" si="1420"/>
        <v>334</v>
      </c>
      <c r="CR254" s="72">
        <f t="shared" si="1421"/>
        <v>364</v>
      </c>
      <c r="CS254" s="72" t="str">
        <f t="shared" si="1422"/>
        <v>-</v>
      </c>
      <c r="CT254" s="23" t="e">
        <f t="shared" si="1423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29" x14ac:dyDescent="0.2">
      <c r="A255" s="3" t="str">
        <f>CONCATENATE(B255,"_",C255)</f>
        <v>ntr1_rat_5T04</v>
      </c>
      <c r="B255" s="3" t="s">
        <v>913</v>
      </c>
      <c r="C255" s="3" t="s">
        <v>1385</v>
      </c>
      <c r="D255" s="3" t="str">
        <f>IFERROR(MID(VLOOKUP($B255,Seqs!$A:$B,2,0),E255,1),"")</f>
        <v>I</v>
      </c>
      <c r="E255" s="3">
        <v>61</v>
      </c>
      <c r="F255" s="3" t="str">
        <f>IFERROR(MID(VLOOKUP($B255,Seqs!$A:$B,2,0),G255,1),"")</f>
        <v>T</v>
      </c>
      <c r="G255" s="3">
        <v>88</v>
      </c>
      <c r="H255" s="3" t="str">
        <f>IFERROR(MID(VLOOKUP($B255,Seqs!$A:$B,2,0),I255,1),"")</f>
        <v/>
      </c>
      <c r="I255" s="23" t="s">
        <v>23</v>
      </c>
      <c r="J255" s="3" t="str">
        <f>IFERROR(MID(VLOOKUP($B255,Seqs!$A:$B,2,0),K255,1),"")</f>
        <v/>
      </c>
      <c r="K255" s="23" t="s">
        <v>23</v>
      </c>
      <c r="L255" s="3" t="str">
        <f>IFERROR(MID(VLOOKUP($B255,Seqs!$A:$B,2,0),M255,1),"")</f>
        <v>H</v>
      </c>
      <c r="M255" s="3">
        <v>103</v>
      </c>
      <c r="N255" s="3" t="str">
        <f>IFERROR(MID(VLOOKUP($B255,Seqs!$A:$B,2,0),O255,1),"")</f>
        <v>V</v>
      </c>
      <c r="O255" s="3">
        <v>131</v>
      </c>
      <c r="P255" s="3" t="str">
        <f>IFERROR(MID(VLOOKUP($B255,Seqs!$A:$B,2,0),Q255,1),"")</f>
        <v>P</v>
      </c>
      <c r="Q255" s="3">
        <v>134</v>
      </c>
      <c r="R255" s="3" t="str">
        <f>IFERROR(MID(VLOOKUP($B255,Seqs!$A:$B,2,0),S255,1),"")</f>
        <v>F</v>
      </c>
      <c r="S255" s="3">
        <v>137</v>
      </c>
      <c r="T255" s="3" t="str">
        <f>IFERROR(MID(VLOOKUP($B255,Seqs!$A:$B,2,0),U255,1),"")</f>
        <v>G</v>
      </c>
      <c r="U255" s="3">
        <v>138</v>
      </c>
      <c r="V255" s="3" t="str">
        <f>IFERROR(MID(VLOOKUP($B255,Seqs!$A:$B,2,0),W255,1),"")</f>
        <v>H</v>
      </c>
      <c r="W255" s="3">
        <v>173</v>
      </c>
      <c r="X255" s="3" t="str">
        <f>IFERROR(MID(VLOOKUP($B255,Seqs!$A:$B,2,0),Y255,1),"")</f>
        <v>P</v>
      </c>
      <c r="Y255" s="3">
        <v>174</v>
      </c>
      <c r="Z255" s="3" t="str">
        <f>IFERROR(MID(VLOOKUP($B255,Seqs!$A:$B,2,0),AA255,1),"")</f>
        <v>M</v>
      </c>
      <c r="AA255" s="3">
        <v>181</v>
      </c>
      <c r="AB255" s="3" t="str">
        <f>IFERROR(MID(VLOOKUP($B255,Seqs!$A:$B,2,0),AC255,1),"")</f>
        <v>S</v>
      </c>
      <c r="AC255" s="3">
        <v>182</v>
      </c>
      <c r="AD255" s="3" t="str">
        <f>IFERROR(MID(VLOOKUP($B255,Seqs!$A:$B,2,0),AE255,1),"")</f>
        <v>M</v>
      </c>
      <c r="AE255" s="3">
        <v>208</v>
      </c>
      <c r="AF255" s="3" t="str">
        <f>IFERROR(MID(VLOOKUP($B255,Seqs!$A:$B,2,0),AG255,1),"")</f>
        <v>C</v>
      </c>
      <c r="AG255" s="3">
        <v>225</v>
      </c>
      <c r="AH255" s="3" t="str">
        <f>IFERROR(MID(VLOOKUP($B255,Seqs!$A:$B,2,0),AI255,1),"")</f>
        <v>P</v>
      </c>
      <c r="AI255" s="3">
        <v>227</v>
      </c>
      <c r="AJ255" s="3" t="str">
        <f>IFERROR(MID(VLOOKUP($B255,Seqs!$A:$B,2,0),AK255,1),"")</f>
        <v>T</v>
      </c>
      <c r="AK255" s="3">
        <v>231</v>
      </c>
      <c r="AL255" s="3" t="str">
        <f>IFERROR(MID(VLOOKUP($B255,Seqs!$A:$B,2,0),AM255,1),"")</f>
        <v>V</v>
      </c>
      <c r="AM255" s="3">
        <v>268</v>
      </c>
      <c r="AN255" s="3" t="str">
        <f>IFERROR(MID(VLOOKUP($B255,Seqs!$A:$B,2,0),AO255,1),"")</f>
        <v>P</v>
      </c>
      <c r="AO255" s="3">
        <v>297</v>
      </c>
      <c r="AP255" s="3" t="str">
        <f>IFERROR(MID(VLOOKUP($B255,Seqs!$A:$B,2,0),AQ255,1),"")</f>
        <v>I</v>
      </c>
      <c r="AQ255" s="3">
        <v>334</v>
      </c>
      <c r="AR255" s="3" t="str">
        <f>IFERROR(MID(VLOOKUP($B255,Seqs!$A:$B,2,0),AS255,1),"")</f>
        <v>T</v>
      </c>
      <c r="AS255" s="3">
        <v>340</v>
      </c>
      <c r="AT255" s="3" t="str">
        <f>IFERROR(MID(VLOOKUP($B255,Seqs!$A:$B,2,0),AU255,1),"")</f>
        <v>I</v>
      </c>
      <c r="AU255" s="3">
        <v>364</v>
      </c>
      <c r="AV255" s="3" t="str">
        <f>IFERROR(MID(VLOOKUP($B255,Seqs!$A:$B,2,0),AW255,1),"")</f>
        <v/>
      </c>
      <c r="AW255" s="3" t="s">
        <v>23</v>
      </c>
      <c r="AX255" s="3" t="str">
        <f>IFERROR(MID(VLOOKUP($B255,Seqs!$A:$B,2,0),AY255,1),"")</f>
        <v/>
      </c>
      <c r="AY255" s="3" t="s">
        <v>23</v>
      </c>
      <c r="AZ255" s="77" t="str">
        <f>VLOOKUP(B255,Classification!A:D,2,0)</f>
        <v>A</v>
      </c>
      <c r="BA255" s="94" t="str">
        <f>VLOOKUP(B255,Classification!A:D,4,0)</f>
        <v>Neurotensin</v>
      </c>
      <c r="BB255" s="27" t="b">
        <f>AND(E255&lt;G255,OR(G255&lt;I255,I255="-"),OR(I255&lt;K255,I255="-"),OR(K255&lt;M255,K255="-"),M255&lt;O255,OR(O255&lt;Q255,Q255="-"),OR(Q255&lt;S255,Q255="-"),OR(S255&lt;U255,S255="-"),U255&lt;W255,OR(W255&lt;Y255,Y255="-"),OR(Y255&lt;AA255,Y255="-"),OR(AA255&lt;AC255,AA255="-"),AC255&lt;AE255,OR(AE255&lt;AG255,AG255="-"),OR(AG255&lt;AI255,AG255="-"),OR(AI255&lt;AK255,AI255="-"),AK255&lt;AM255,AM255&lt;AO255,AO255&lt;AQ255,AQ255&lt;AS255,AS255&lt;AU255,OR(AU255&lt;AW255,AW255="-"),OR(AW255&lt;AY255,AW255="-"))</f>
        <v>1</v>
      </c>
      <c r="BC255" s="23">
        <f>_xlfn.AGGREGATE(9,6,CH255:CS255)-_xlfn.AGGREGATE(9,6,BV255:CG255)+12</f>
        <v>238</v>
      </c>
      <c r="BD255" s="5" t="s">
        <v>23</v>
      </c>
      <c r="BE255" s="3" t="s">
        <v>1291</v>
      </c>
      <c r="BF255" s="118">
        <v>3.3</v>
      </c>
      <c r="BG255" s="49" t="s">
        <v>1377</v>
      </c>
      <c r="BH255" s="49" t="s">
        <v>1377</v>
      </c>
      <c r="BI255" s="1"/>
      <c r="BJ255" s="70" t="s">
        <v>1287</v>
      </c>
      <c r="BK255" s="57" t="s">
        <v>1287</v>
      </c>
      <c r="BL255" s="57" t="s">
        <v>1287</v>
      </c>
      <c r="BM255" s="57" t="s">
        <v>1287</v>
      </c>
      <c r="BN255" s="57" t="s">
        <v>1287</v>
      </c>
      <c r="BO255" s="57" t="s">
        <v>1287</v>
      </c>
      <c r="BP255" s="57" t="s">
        <v>1287</v>
      </c>
      <c r="BQ255" s="57" t="s">
        <v>1287</v>
      </c>
      <c r="BR255" s="57" t="s">
        <v>1287</v>
      </c>
      <c r="BS255" s="57" t="s">
        <v>1287</v>
      </c>
      <c r="BT255" s="57" t="s">
        <v>1287</v>
      </c>
      <c r="BU255" s="57" t="s">
        <v>1287</v>
      </c>
      <c r="BV255" s="70">
        <f>E255</f>
        <v>61</v>
      </c>
      <c r="BW255" s="71" t="str">
        <f>I255</f>
        <v>-</v>
      </c>
      <c r="BX255" s="72">
        <f>M255</f>
        <v>103</v>
      </c>
      <c r="BY255" s="71">
        <f>Q255</f>
        <v>134</v>
      </c>
      <c r="BZ255" s="72">
        <f>U255</f>
        <v>138</v>
      </c>
      <c r="CA255" s="71">
        <f>Y255</f>
        <v>174</v>
      </c>
      <c r="CB255" s="72">
        <f>AC255</f>
        <v>182</v>
      </c>
      <c r="CC255" s="71">
        <f>AG255</f>
        <v>225</v>
      </c>
      <c r="CD255" s="72">
        <f>AK255</f>
        <v>231</v>
      </c>
      <c r="CE255" s="71">
        <f>AO255</f>
        <v>297</v>
      </c>
      <c r="CF255" s="72">
        <f>AS255</f>
        <v>340</v>
      </c>
      <c r="CG255" s="71" t="str">
        <f>AW255</f>
        <v>-</v>
      </c>
      <c r="CH255" s="70">
        <f>G255</f>
        <v>88</v>
      </c>
      <c r="CI255" s="71" t="str">
        <f>K255</f>
        <v>-</v>
      </c>
      <c r="CJ255" s="72">
        <f>O255</f>
        <v>131</v>
      </c>
      <c r="CK255" s="72">
        <f>S255</f>
        <v>137</v>
      </c>
      <c r="CL255" s="72">
        <f>W255</f>
        <v>173</v>
      </c>
      <c r="CM255" s="72">
        <f>AA255</f>
        <v>181</v>
      </c>
      <c r="CN255" s="72">
        <f>AE255</f>
        <v>208</v>
      </c>
      <c r="CO255" s="72">
        <f>AI255</f>
        <v>227</v>
      </c>
      <c r="CP255" s="72">
        <f>AM255</f>
        <v>268</v>
      </c>
      <c r="CQ255" s="72">
        <f>AQ255</f>
        <v>334</v>
      </c>
      <c r="CR255" s="72">
        <f>AU255</f>
        <v>364</v>
      </c>
      <c r="CS255" s="72" t="str">
        <f>AY255</f>
        <v>-</v>
      </c>
      <c r="CT255" s="23" t="e">
        <f>M255-K255</f>
        <v>#VALUE!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29" x14ac:dyDescent="0.2">
      <c r="A256" s="3" t="str">
        <f t="shared" si="1424"/>
        <v>oprd_human__wt</v>
      </c>
      <c r="B256" s="3" t="s">
        <v>335</v>
      </c>
      <c r="C256" s="3" t="s">
        <v>100</v>
      </c>
      <c r="D256" s="3" t="str">
        <f>IFERROR(MID(VLOOKUP($B256,Seqs!$A:$B,2,0),E256,1),"")</f>
        <v>G</v>
      </c>
      <c r="E256" s="3">
        <v>39</v>
      </c>
      <c r="F256" s="3" t="str">
        <f>IFERROR(MID(VLOOKUP($B256,Seqs!$A:$B,2,0),G256,1),"")</f>
        <v>Y</v>
      </c>
      <c r="G256" s="3">
        <v>77</v>
      </c>
      <c r="H256" s="3" t="str">
        <f>IFERROR(MID(VLOOKUP($B256,Seqs!$A:$B,2,0),I256,1),"")</f>
        <v>T</v>
      </c>
      <c r="I256" s="23">
        <v>78</v>
      </c>
      <c r="J256" s="3" t="str">
        <f>IFERROR(MID(VLOOKUP($B256,Seqs!$A:$B,2,0),K256,1),"")</f>
        <v>K</v>
      </c>
      <c r="K256" s="23">
        <v>81</v>
      </c>
      <c r="L256" s="3" t="str">
        <f>IFERROR(MID(VLOOKUP($B256,Seqs!$A:$B,2,0),M256,1),"")</f>
        <v>T</v>
      </c>
      <c r="M256" s="3">
        <v>82</v>
      </c>
      <c r="N256" s="3" t="str">
        <f>IFERROR(MID(VLOOKUP($B256,Seqs!$A:$B,2,0),O256,1),"")</f>
        <v>M</v>
      </c>
      <c r="O256" s="3">
        <v>111</v>
      </c>
      <c r="P256" s="3" t="str">
        <f>IFERROR(MID(VLOOKUP($B256,Seqs!$A:$B,2,0),Q256,1),"")</f>
        <v>T</v>
      </c>
      <c r="Q256" s="3">
        <v>113</v>
      </c>
      <c r="R256" s="3" t="str">
        <f>IFERROR(MID(VLOOKUP($B256,Seqs!$A:$B,2,0),S256,1),"")</f>
        <v>F</v>
      </c>
      <c r="S256" s="3">
        <v>116</v>
      </c>
      <c r="T256" s="3" t="str">
        <f>IFERROR(MID(VLOOKUP($B256,Seqs!$A:$B,2,0),U256,1),"")</f>
        <v>G</v>
      </c>
      <c r="U256" s="3">
        <v>117</v>
      </c>
      <c r="V256" s="3" t="str">
        <f>IFERROR(MID(VLOOKUP($B256,Seqs!$A:$B,2,0),W256,1),"")</f>
        <v>H</v>
      </c>
      <c r="W256" s="3">
        <v>152</v>
      </c>
      <c r="X256" s="3" t="str">
        <f>IFERROR(MID(VLOOKUP($B256,Seqs!$A:$B,2,0),Y256,1),"")</f>
        <v>P</v>
      </c>
      <c r="Y256" s="3">
        <v>153</v>
      </c>
      <c r="Z256" s="3" t="str">
        <f>IFERROR(MID(VLOOKUP($B256,Seqs!$A:$B,2,0),AA256,1),"")</f>
        <v>R</v>
      </c>
      <c r="AA256" s="3">
        <v>160</v>
      </c>
      <c r="AB256" s="3" t="str">
        <f>IFERROR(MID(VLOOKUP($B256,Seqs!$A:$B,2,0),AC256,1),"")</f>
        <v>T</v>
      </c>
      <c r="AC256" s="9">
        <v>161</v>
      </c>
      <c r="AD256" s="3" t="str">
        <f>IFERROR(MID(VLOOKUP($B256,Seqs!$A:$B,2,0),AE256,1),"")</f>
        <v>A</v>
      </c>
      <c r="AE256" s="3">
        <v>187</v>
      </c>
      <c r="AF256" s="3" t="str">
        <f>IFERROR(MID(VLOOKUP($B256,Seqs!$A:$B,2,0),AG256,1),"")</f>
        <v>C</v>
      </c>
      <c r="AG256" s="3">
        <v>198</v>
      </c>
      <c r="AH256" s="3" t="str">
        <f>IFERROR(MID(VLOOKUP($B256,Seqs!$A:$B,2,0),AI256,1),"")</f>
        <v>L</v>
      </c>
      <c r="AI256" s="3">
        <v>200</v>
      </c>
      <c r="AJ256" s="3" t="str">
        <f>IFERROR(MID(VLOOKUP($B256,Seqs!$A:$B,2,0),AK256,1),"")</f>
        <v>S</v>
      </c>
      <c r="AK256" s="3">
        <v>206</v>
      </c>
      <c r="AL256" s="3" t="str">
        <f>IFERROR(MID(VLOOKUP($B256,Seqs!$A:$B,2,0),AM256,1),"")</f>
        <v>V</v>
      </c>
      <c r="AM256" s="3">
        <v>243</v>
      </c>
      <c r="AN256" s="3" t="str">
        <f>IFERROR(MID(VLOOKUP($B256,Seqs!$A:$B,2,0),AO256,1),"")</f>
        <v>S</v>
      </c>
      <c r="AO256" s="3">
        <v>249</v>
      </c>
      <c r="AP256" s="3" t="str">
        <f>IFERROR(MID(VLOOKUP($B256,Seqs!$A:$B,2,0),AQ256,1),"")</f>
        <v>V</v>
      </c>
      <c r="AQ256" s="3">
        <v>287</v>
      </c>
      <c r="AR256" s="3" t="str">
        <f>IFERROR(MID(VLOOKUP($B256,Seqs!$A:$B,2,0),AS256,1),"")</f>
        <v>D</v>
      </c>
      <c r="AS256" s="3">
        <v>293</v>
      </c>
      <c r="AT256" s="3" t="str">
        <f>IFERROR(MID(VLOOKUP($B256,Seqs!$A:$B,2,0),AU256,1),"")</f>
        <v>L</v>
      </c>
      <c r="AU256" s="3">
        <v>321</v>
      </c>
      <c r="AV256" s="3" t="str">
        <f>IFERROR(MID(VLOOKUP($B256,Seqs!$A:$B,2,0),AW256,1),"")</f>
        <v>D</v>
      </c>
      <c r="AW256" s="3">
        <v>322</v>
      </c>
      <c r="AX256" s="3" t="str">
        <f>IFERROR(MID(VLOOKUP($B256,Seqs!$A:$B,2,0),AY256,1),"")</f>
        <v>K</v>
      </c>
      <c r="AY256" s="3">
        <v>335</v>
      </c>
      <c r="AZ256" s="77" t="str">
        <f>VLOOKUP(B256,Classification!A:D,2,0)</f>
        <v>A</v>
      </c>
      <c r="BA256" s="94" t="str">
        <f>VLOOKUP(B256,Classification!A:D,4,0)</f>
        <v>Opioid</v>
      </c>
      <c r="BB256" s="27" t="b">
        <f t="shared" si="1425"/>
        <v>1</v>
      </c>
      <c r="BC256" s="23">
        <f t="shared" si="1398"/>
        <v>271</v>
      </c>
      <c r="BD256" s="56" t="s">
        <v>23</v>
      </c>
      <c r="BE256" s="3" t="s">
        <v>23</v>
      </c>
      <c r="BF256" s="118" t="s">
        <v>23</v>
      </c>
      <c r="BG256" s="49" t="s">
        <v>1372</v>
      </c>
      <c r="BH256" s="49" t="s">
        <v>1377</v>
      </c>
      <c r="BI256" s="1"/>
      <c r="BJ256" s="70" t="s">
        <v>1287</v>
      </c>
      <c r="BK256" s="57" t="s">
        <v>1287</v>
      </c>
      <c r="BL256" s="57" t="s">
        <v>1287</v>
      </c>
      <c r="BM256" s="57" t="s">
        <v>1287</v>
      </c>
      <c r="BN256" s="57" t="s">
        <v>1287</v>
      </c>
      <c r="BO256" s="57" t="s">
        <v>1287</v>
      </c>
      <c r="BP256" s="57" t="s">
        <v>1287</v>
      </c>
      <c r="BQ256" s="57" t="s">
        <v>1287</v>
      </c>
      <c r="BR256" s="57" t="s">
        <v>1287</v>
      </c>
      <c r="BS256" s="57" t="s">
        <v>1287</v>
      </c>
      <c r="BT256" s="57" t="s">
        <v>1287</v>
      </c>
      <c r="BU256" s="57" t="s">
        <v>1287</v>
      </c>
      <c r="BV256" s="70">
        <f t="shared" si="1399"/>
        <v>39</v>
      </c>
      <c r="BW256" s="71">
        <f t="shared" si="1400"/>
        <v>78</v>
      </c>
      <c r="BX256" s="72">
        <f t="shared" si="1401"/>
        <v>82</v>
      </c>
      <c r="BY256" s="71">
        <f t="shared" si="1402"/>
        <v>113</v>
      </c>
      <c r="BZ256" s="72">
        <f t="shared" si="1403"/>
        <v>117</v>
      </c>
      <c r="CA256" s="71">
        <f t="shared" si="1404"/>
        <v>153</v>
      </c>
      <c r="CB256" s="72">
        <f t="shared" si="1405"/>
        <v>161</v>
      </c>
      <c r="CC256" s="71">
        <f t="shared" si="1406"/>
        <v>198</v>
      </c>
      <c r="CD256" s="72">
        <f t="shared" si="1407"/>
        <v>206</v>
      </c>
      <c r="CE256" s="71">
        <f t="shared" si="1408"/>
        <v>249</v>
      </c>
      <c r="CF256" s="72">
        <f t="shared" si="1409"/>
        <v>293</v>
      </c>
      <c r="CG256" s="71">
        <f t="shared" si="1410"/>
        <v>322</v>
      </c>
      <c r="CH256" s="70">
        <f t="shared" si="1411"/>
        <v>77</v>
      </c>
      <c r="CI256" s="71">
        <f t="shared" si="1412"/>
        <v>81</v>
      </c>
      <c r="CJ256" s="72">
        <f t="shared" si="1413"/>
        <v>111</v>
      </c>
      <c r="CK256" s="72">
        <f t="shared" si="1414"/>
        <v>116</v>
      </c>
      <c r="CL256" s="72">
        <f t="shared" si="1415"/>
        <v>152</v>
      </c>
      <c r="CM256" s="72">
        <f t="shared" si="1416"/>
        <v>160</v>
      </c>
      <c r="CN256" s="72">
        <f t="shared" si="1417"/>
        <v>187</v>
      </c>
      <c r="CO256" s="72">
        <f t="shared" si="1418"/>
        <v>200</v>
      </c>
      <c r="CP256" s="72">
        <f t="shared" si="1419"/>
        <v>243</v>
      </c>
      <c r="CQ256" s="72">
        <f t="shared" si="1420"/>
        <v>287</v>
      </c>
      <c r="CR256" s="72">
        <f t="shared" si="1421"/>
        <v>321</v>
      </c>
      <c r="CS256" s="72">
        <f t="shared" si="1422"/>
        <v>335</v>
      </c>
      <c r="CT256" s="23">
        <f t="shared" si="1423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30" x14ac:dyDescent="0.2">
      <c r="A257" s="3" t="str">
        <f t="shared" si="1424"/>
        <v>oprd_human_4N6H</v>
      </c>
      <c r="B257" s="3" t="s">
        <v>335</v>
      </c>
      <c r="C257" s="3" t="s">
        <v>87</v>
      </c>
      <c r="D257" s="3" t="str">
        <f>IFERROR(MID(VLOOKUP($B257,Seqs!$A:$B,2,0),E257,1),"")</f>
        <v>G</v>
      </c>
      <c r="E257" s="3">
        <v>39</v>
      </c>
      <c r="F257" s="3" t="str">
        <f>IFERROR(MID(VLOOKUP($B257,Seqs!$A:$B,2,0),G257,1),"")</f>
        <v>Y</v>
      </c>
      <c r="G257" s="3">
        <v>77</v>
      </c>
      <c r="H257" s="3" t="str">
        <f>IFERROR(MID(VLOOKUP($B257,Seqs!$A:$B,2,0),I257,1),"")</f>
        <v>T</v>
      </c>
      <c r="I257" s="23">
        <v>78</v>
      </c>
      <c r="J257" s="3" t="str">
        <f>IFERROR(MID(VLOOKUP($B257,Seqs!$A:$B,2,0),K257,1),"")</f>
        <v>K</v>
      </c>
      <c r="K257" s="23">
        <v>81</v>
      </c>
      <c r="L257" s="3" t="str">
        <f>IFERROR(MID(VLOOKUP($B257,Seqs!$A:$B,2,0),M257,1),"")</f>
        <v>T</v>
      </c>
      <c r="M257" s="3">
        <v>82</v>
      </c>
      <c r="N257" s="3" t="str">
        <f>IFERROR(MID(VLOOKUP($B257,Seqs!$A:$B,2,0),O257,1),"")</f>
        <v>M</v>
      </c>
      <c r="O257" s="3">
        <v>111</v>
      </c>
      <c r="P257" s="3" t="str">
        <f>IFERROR(MID(VLOOKUP($B257,Seqs!$A:$B,2,0),Q257,1),"")</f>
        <v>T</v>
      </c>
      <c r="Q257" s="3">
        <v>113</v>
      </c>
      <c r="R257" s="3" t="str">
        <f>IFERROR(MID(VLOOKUP($B257,Seqs!$A:$B,2,0),S257,1),"")</f>
        <v>F</v>
      </c>
      <c r="S257" s="3">
        <v>116</v>
      </c>
      <c r="T257" s="3" t="str">
        <f>IFERROR(MID(VLOOKUP($B257,Seqs!$A:$B,2,0),U257,1),"")</f>
        <v>G</v>
      </c>
      <c r="U257" s="3">
        <v>117</v>
      </c>
      <c r="V257" s="3" t="str">
        <f>IFERROR(MID(VLOOKUP($B257,Seqs!$A:$B,2,0),W257,1),"")</f>
        <v>H</v>
      </c>
      <c r="W257" s="3">
        <v>152</v>
      </c>
      <c r="X257" s="3" t="str">
        <f>IFERROR(MID(VLOOKUP($B257,Seqs!$A:$B,2,0),Y257,1),"")</f>
        <v>P</v>
      </c>
      <c r="Y257" s="3">
        <v>153</v>
      </c>
      <c r="Z257" s="3" t="str">
        <f>IFERROR(MID(VLOOKUP($B257,Seqs!$A:$B,2,0),AA257,1),"")</f>
        <v>R</v>
      </c>
      <c r="AA257" s="3">
        <v>160</v>
      </c>
      <c r="AB257" s="3" t="str">
        <f>IFERROR(MID(VLOOKUP($B257,Seqs!$A:$B,2,0),AC257,1),"")</f>
        <v>T</v>
      </c>
      <c r="AC257" s="9">
        <v>161</v>
      </c>
      <c r="AD257" s="3" t="str">
        <f>IFERROR(MID(VLOOKUP($B257,Seqs!$A:$B,2,0),AE257,1),"")</f>
        <v>A</v>
      </c>
      <c r="AE257" s="3">
        <v>187</v>
      </c>
      <c r="AF257" s="3" t="str">
        <f>IFERROR(MID(VLOOKUP($B257,Seqs!$A:$B,2,0),AG257,1),"")</f>
        <v>C</v>
      </c>
      <c r="AG257" s="3">
        <v>198</v>
      </c>
      <c r="AH257" s="3" t="str">
        <f>IFERROR(MID(VLOOKUP($B257,Seqs!$A:$B,2,0),AI257,1),"")</f>
        <v>L</v>
      </c>
      <c r="AI257" s="3">
        <v>200</v>
      </c>
      <c r="AJ257" s="3" t="str">
        <f>IFERROR(MID(VLOOKUP($B257,Seqs!$A:$B,2,0),AK257,1),"")</f>
        <v>S</v>
      </c>
      <c r="AK257" s="3">
        <v>206</v>
      </c>
      <c r="AL257" s="3" t="str">
        <f>IFERROR(MID(VLOOKUP($B257,Seqs!$A:$B,2,0),AM257,1),"")</f>
        <v>V</v>
      </c>
      <c r="AM257" s="3">
        <v>243</v>
      </c>
      <c r="AN257" s="3" t="str">
        <f>IFERROR(MID(VLOOKUP($B257,Seqs!$A:$B,2,0),AO257,1),"")</f>
        <v>S</v>
      </c>
      <c r="AO257" s="3">
        <v>249</v>
      </c>
      <c r="AP257" s="3" t="str">
        <f>IFERROR(MID(VLOOKUP($B257,Seqs!$A:$B,2,0),AQ257,1),"")</f>
        <v>V</v>
      </c>
      <c r="AQ257" s="3">
        <v>287</v>
      </c>
      <c r="AR257" s="3" t="str">
        <f>IFERROR(MID(VLOOKUP($B257,Seqs!$A:$B,2,0),AS257,1),"")</f>
        <v>D</v>
      </c>
      <c r="AS257" s="3">
        <v>293</v>
      </c>
      <c r="AT257" s="3" t="str">
        <f>IFERROR(MID(VLOOKUP($B257,Seqs!$A:$B,2,0),AU257,1),"")</f>
        <v>L</v>
      </c>
      <c r="AU257" s="3">
        <v>321</v>
      </c>
      <c r="AV257" s="3" t="str">
        <f>IFERROR(MID(VLOOKUP($B257,Seqs!$A:$B,2,0),AW257,1),"")</f>
        <v>D</v>
      </c>
      <c r="AW257" s="3">
        <v>322</v>
      </c>
      <c r="AX257" s="3" t="str">
        <f>IFERROR(MID(VLOOKUP($B257,Seqs!$A:$B,2,0),AY257,1),"")</f>
        <v>K</v>
      </c>
      <c r="AY257" s="3">
        <v>335</v>
      </c>
      <c r="AZ257" s="77" t="str">
        <f>VLOOKUP(B257,Classification!A:D,2,0)</f>
        <v>A</v>
      </c>
      <c r="BA257" s="94" t="str">
        <f>VLOOKUP(B257,Classification!A:D,4,0)</f>
        <v>Opioid</v>
      </c>
      <c r="BB257" s="27" t="b">
        <f t="shared" si="1425"/>
        <v>1</v>
      </c>
      <c r="BC257" s="23">
        <f t="shared" si="1398"/>
        <v>271</v>
      </c>
      <c r="BD257" s="16" t="s">
        <v>1376</v>
      </c>
      <c r="BE257" s="3" t="s">
        <v>1374</v>
      </c>
      <c r="BF257" s="118">
        <v>1.8</v>
      </c>
      <c r="BG257" s="49" t="s">
        <v>1377</v>
      </c>
      <c r="BH257" s="49" t="s">
        <v>1377</v>
      </c>
      <c r="BJ257" s="70" t="s">
        <v>1287</v>
      </c>
      <c r="BK257" s="57" t="s">
        <v>1287</v>
      </c>
      <c r="BL257" s="57" t="s">
        <v>1287</v>
      </c>
      <c r="BM257" s="57" t="s">
        <v>1287</v>
      </c>
      <c r="BN257" s="57" t="s">
        <v>1287</v>
      </c>
      <c r="BO257" s="57" t="s">
        <v>1287</v>
      </c>
      <c r="BP257" s="57" t="s">
        <v>1287</v>
      </c>
      <c r="BQ257" s="57" t="s">
        <v>1287</v>
      </c>
      <c r="BR257" s="57" t="s">
        <v>1287</v>
      </c>
      <c r="BS257" s="57" t="s">
        <v>1287</v>
      </c>
      <c r="BT257" s="57" t="s">
        <v>1287</v>
      </c>
      <c r="BU257" s="57" t="s">
        <v>1287</v>
      </c>
      <c r="BV257" s="70">
        <f t="shared" si="1399"/>
        <v>39</v>
      </c>
      <c r="BW257" s="71">
        <f t="shared" si="1400"/>
        <v>78</v>
      </c>
      <c r="BX257" s="72">
        <f t="shared" si="1401"/>
        <v>82</v>
      </c>
      <c r="BY257" s="71">
        <f t="shared" si="1402"/>
        <v>113</v>
      </c>
      <c r="BZ257" s="72">
        <f t="shared" si="1403"/>
        <v>117</v>
      </c>
      <c r="CA257" s="71">
        <f t="shared" si="1404"/>
        <v>153</v>
      </c>
      <c r="CB257" s="72">
        <f t="shared" si="1405"/>
        <v>161</v>
      </c>
      <c r="CC257" s="71">
        <f t="shared" si="1406"/>
        <v>198</v>
      </c>
      <c r="CD257" s="72">
        <f t="shared" si="1407"/>
        <v>206</v>
      </c>
      <c r="CE257" s="71">
        <f t="shared" si="1408"/>
        <v>249</v>
      </c>
      <c r="CF257" s="72">
        <f t="shared" si="1409"/>
        <v>293</v>
      </c>
      <c r="CG257" s="71">
        <f t="shared" si="1410"/>
        <v>322</v>
      </c>
      <c r="CH257" s="70">
        <f t="shared" si="1411"/>
        <v>77</v>
      </c>
      <c r="CI257" s="71">
        <f t="shared" si="1412"/>
        <v>81</v>
      </c>
      <c r="CJ257" s="72">
        <f t="shared" si="1413"/>
        <v>111</v>
      </c>
      <c r="CK257" s="72">
        <f t="shared" si="1414"/>
        <v>116</v>
      </c>
      <c r="CL257" s="72">
        <f t="shared" si="1415"/>
        <v>152</v>
      </c>
      <c r="CM257" s="72">
        <f t="shared" si="1416"/>
        <v>160</v>
      </c>
      <c r="CN257" s="72">
        <f t="shared" si="1417"/>
        <v>187</v>
      </c>
      <c r="CO257" s="72">
        <f t="shared" si="1418"/>
        <v>200</v>
      </c>
      <c r="CP257" s="72">
        <f t="shared" si="1419"/>
        <v>243</v>
      </c>
      <c r="CQ257" s="72">
        <f t="shared" si="1420"/>
        <v>287</v>
      </c>
      <c r="CR257" s="72">
        <f t="shared" si="1421"/>
        <v>321</v>
      </c>
      <c r="CS257" s="72">
        <f t="shared" si="1422"/>
        <v>335</v>
      </c>
      <c r="CT257" s="23">
        <f t="shared" si="1423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30" s="2" customFormat="1" x14ac:dyDescent="0.2">
      <c r="A258" s="3" t="str">
        <f t="shared" si="1424"/>
        <v>oprd_human_4RWD</v>
      </c>
      <c r="B258" s="1" t="s">
        <v>335</v>
      </c>
      <c r="C258" s="1" t="s">
        <v>1338</v>
      </c>
      <c r="D258" s="3" t="str">
        <f>IFERROR(MID(VLOOKUP($B258,Seqs!$A:$B,2,0),E258,1),"")</f>
        <v>A</v>
      </c>
      <c r="E258" s="3">
        <v>43</v>
      </c>
      <c r="F258" s="3" t="str">
        <f>IFERROR(MID(VLOOKUP($B258,Seqs!$A:$B,2,0),G258,1),"")</f>
        <v>Y</v>
      </c>
      <c r="G258" s="3">
        <v>77</v>
      </c>
      <c r="H258" s="3" t="str">
        <f>IFERROR(MID(VLOOKUP($B258,Seqs!$A:$B,2,0),I258,1),"")</f>
        <v>T</v>
      </c>
      <c r="I258" s="23">
        <v>78</v>
      </c>
      <c r="J258" s="3" t="str">
        <f>IFERROR(MID(VLOOKUP($B258,Seqs!$A:$B,2,0),K258,1),"")</f>
        <v>K</v>
      </c>
      <c r="K258" s="23">
        <v>81</v>
      </c>
      <c r="L258" s="3" t="str">
        <f>IFERROR(MID(VLOOKUP($B258,Seqs!$A:$B,2,0),M258,1),"")</f>
        <v>T</v>
      </c>
      <c r="M258" s="3">
        <v>82</v>
      </c>
      <c r="N258" s="3" t="str">
        <f>IFERROR(MID(VLOOKUP($B258,Seqs!$A:$B,2,0),O258,1),"")</f>
        <v>M</v>
      </c>
      <c r="O258" s="3">
        <v>111</v>
      </c>
      <c r="P258" s="3" t="str">
        <f>IFERROR(MID(VLOOKUP($B258,Seqs!$A:$B,2,0),Q258,1),"")</f>
        <v>T</v>
      </c>
      <c r="Q258" s="3">
        <v>113</v>
      </c>
      <c r="R258" s="3" t="str">
        <f>IFERROR(MID(VLOOKUP($B258,Seqs!$A:$B,2,0),S258,1),"")</f>
        <v>F</v>
      </c>
      <c r="S258" s="3">
        <v>116</v>
      </c>
      <c r="T258" s="3" t="str">
        <f>IFERROR(MID(VLOOKUP($B258,Seqs!$A:$B,2,0),U258,1),"")</f>
        <v>G</v>
      </c>
      <c r="U258" s="3">
        <v>117</v>
      </c>
      <c r="V258" s="3" t="str">
        <f>IFERROR(MID(VLOOKUP($B258,Seqs!$A:$B,2,0),W258,1),"")</f>
        <v>H</v>
      </c>
      <c r="W258" s="3">
        <v>152</v>
      </c>
      <c r="X258" s="3" t="str">
        <f>IFERROR(MID(VLOOKUP($B258,Seqs!$A:$B,2,0),Y258,1),"")</f>
        <v>P</v>
      </c>
      <c r="Y258" s="3">
        <v>153</v>
      </c>
      <c r="Z258" s="3" t="str">
        <f>IFERROR(MID(VLOOKUP($B258,Seqs!$A:$B,2,0),AA258,1),"")</f>
        <v>R</v>
      </c>
      <c r="AA258" s="3">
        <v>160</v>
      </c>
      <c r="AB258" s="3" t="str">
        <f>IFERROR(MID(VLOOKUP($B258,Seqs!$A:$B,2,0),AC258,1),"")</f>
        <v>T</v>
      </c>
      <c r="AC258" s="9">
        <v>161</v>
      </c>
      <c r="AD258" s="3" t="str">
        <f>IFERROR(MID(VLOOKUP($B258,Seqs!$A:$B,2,0),AE258,1),"")</f>
        <v>A</v>
      </c>
      <c r="AE258" s="3">
        <v>187</v>
      </c>
      <c r="AF258" s="3" t="str">
        <f>IFERROR(MID(VLOOKUP($B258,Seqs!$A:$B,2,0),AG258,1),"")</f>
        <v>C</v>
      </c>
      <c r="AG258" s="3">
        <v>198</v>
      </c>
      <c r="AH258" s="3" t="str">
        <f>IFERROR(MID(VLOOKUP($B258,Seqs!$A:$B,2,0),AI258,1),"")</f>
        <v>L</v>
      </c>
      <c r="AI258" s="3">
        <v>200</v>
      </c>
      <c r="AJ258" s="3" t="str">
        <f>IFERROR(MID(VLOOKUP($B258,Seqs!$A:$B,2,0),AK258,1),"")</f>
        <v>S</v>
      </c>
      <c r="AK258" s="3">
        <v>206</v>
      </c>
      <c r="AL258" s="3" t="str">
        <f>IFERROR(MID(VLOOKUP($B258,Seqs!$A:$B,2,0),AM258,1),"")</f>
        <v>V</v>
      </c>
      <c r="AM258" s="3">
        <v>243</v>
      </c>
      <c r="AN258" s="3" t="str">
        <f>IFERROR(MID(VLOOKUP($B258,Seqs!$A:$B,2,0),AO258,1),"")</f>
        <v>S</v>
      </c>
      <c r="AO258" s="3">
        <v>249</v>
      </c>
      <c r="AP258" s="3" t="str">
        <f>IFERROR(MID(VLOOKUP($B258,Seqs!$A:$B,2,0),AQ258,1),"")</f>
        <v>V</v>
      </c>
      <c r="AQ258" s="3">
        <v>287</v>
      </c>
      <c r="AR258" s="3" t="str">
        <f>IFERROR(MID(VLOOKUP($B258,Seqs!$A:$B,2,0),AS258,1),"")</f>
        <v>D</v>
      </c>
      <c r="AS258" s="3">
        <v>293</v>
      </c>
      <c r="AT258" s="3" t="str">
        <f>IFERROR(MID(VLOOKUP($B258,Seqs!$A:$B,2,0),AU258,1),"")</f>
        <v>L</v>
      </c>
      <c r="AU258" s="3">
        <v>321</v>
      </c>
      <c r="AV258" s="3" t="str">
        <f>IFERROR(MID(VLOOKUP($B258,Seqs!$A:$B,2,0),AW258,1),"")</f>
        <v>D</v>
      </c>
      <c r="AW258" s="3">
        <v>322</v>
      </c>
      <c r="AX258" s="3" t="str">
        <f>IFERROR(MID(VLOOKUP($B258,Seqs!$A:$B,2,0),AY258,1),"")</f>
        <v>C</v>
      </c>
      <c r="AY258" s="3">
        <v>333</v>
      </c>
      <c r="AZ258" s="77" t="str">
        <f>VLOOKUP(B258,Classification!A:D,2,0)</f>
        <v>A</v>
      </c>
      <c r="BA258" s="94" t="str">
        <f>VLOOKUP(B258,Classification!A:D,4,0)</f>
        <v>Opioid</v>
      </c>
      <c r="BB258" s="27" t="b">
        <f t="shared" si="1425"/>
        <v>1</v>
      </c>
      <c r="BC258" s="23">
        <f t="shared" si="1398"/>
        <v>265</v>
      </c>
      <c r="BD258" s="16" t="s">
        <v>23</v>
      </c>
      <c r="BE258" s="3" t="s">
        <v>1374</v>
      </c>
      <c r="BF258" s="118">
        <v>2.7</v>
      </c>
      <c r="BG258" s="49" t="s">
        <v>1377</v>
      </c>
      <c r="BH258" s="49" t="s">
        <v>1377</v>
      </c>
      <c r="BI258" s="3"/>
      <c r="BJ258" s="70" t="s">
        <v>1287</v>
      </c>
      <c r="BK258" s="57" t="s">
        <v>1287</v>
      </c>
      <c r="BL258" s="57" t="s">
        <v>1287</v>
      </c>
      <c r="BM258" s="57" t="s">
        <v>1287</v>
      </c>
      <c r="BN258" s="57" t="s">
        <v>1287</v>
      </c>
      <c r="BO258" s="57" t="s">
        <v>1287</v>
      </c>
      <c r="BP258" s="57" t="s">
        <v>1287</v>
      </c>
      <c r="BQ258" s="57" t="s">
        <v>1287</v>
      </c>
      <c r="BR258" s="57" t="s">
        <v>1287</v>
      </c>
      <c r="BS258" s="57" t="s">
        <v>1287</v>
      </c>
      <c r="BT258" s="57" t="s">
        <v>1287</v>
      </c>
      <c r="BU258" s="57" t="s">
        <v>1287</v>
      </c>
      <c r="BV258" s="70">
        <f t="shared" si="1399"/>
        <v>43</v>
      </c>
      <c r="BW258" s="71">
        <f t="shared" si="1400"/>
        <v>78</v>
      </c>
      <c r="BX258" s="72">
        <f t="shared" si="1401"/>
        <v>82</v>
      </c>
      <c r="BY258" s="71">
        <f t="shared" si="1402"/>
        <v>113</v>
      </c>
      <c r="BZ258" s="72">
        <f t="shared" si="1403"/>
        <v>117</v>
      </c>
      <c r="CA258" s="71">
        <f t="shared" si="1404"/>
        <v>153</v>
      </c>
      <c r="CB258" s="72">
        <f t="shared" si="1405"/>
        <v>161</v>
      </c>
      <c r="CC258" s="71">
        <f t="shared" si="1406"/>
        <v>198</v>
      </c>
      <c r="CD258" s="72">
        <f t="shared" si="1407"/>
        <v>206</v>
      </c>
      <c r="CE258" s="71">
        <f t="shared" si="1408"/>
        <v>249</v>
      </c>
      <c r="CF258" s="72">
        <f t="shared" si="1409"/>
        <v>293</v>
      </c>
      <c r="CG258" s="71">
        <f t="shared" si="1410"/>
        <v>322</v>
      </c>
      <c r="CH258" s="70">
        <f t="shared" si="1411"/>
        <v>77</v>
      </c>
      <c r="CI258" s="71">
        <f t="shared" si="1412"/>
        <v>81</v>
      </c>
      <c r="CJ258" s="72">
        <f t="shared" si="1413"/>
        <v>111</v>
      </c>
      <c r="CK258" s="72">
        <f t="shared" si="1414"/>
        <v>116</v>
      </c>
      <c r="CL258" s="72">
        <f t="shared" si="1415"/>
        <v>152</v>
      </c>
      <c r="CM258" s="72">
        <f t="shared" si="1416"/>
        <v>160</v>
      </c>
      <c r="CN258" s="72">
        <f t="shared" si="1417"/>
        <v>187</v>
      </c>
      <c r="CO258" s="72">
        <f t="shared" si="1418"/>
        <v>200</v>
      </c>
      <c r="CP258" s="72">
        <f t="shared" si="1419"/>
        <v>243</v>
      </c>
      <c r="CQ258" s="72">
        <f t="shared" si="1420"/>
        <v>287</v>
      </c>
      <c r="CR258" s="72">
        <f t="shared" si="1421"/>
        <v>321</v>
      </c>
      <c r="CS258" s="72">
        <f t="shared" si="1422"/>
        <v>333</v>
      </c>
      <c r="CT258" s="23">
        <f t="shared" si="1423"/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</row>
    <row r="259" spans="1:1030" s="2" customFormat="1" x14ac:dyDescent="0.2">
      <c r="A259" s="3" t="str">
        <f t="shared" si="1424"/>
        <v>oprd_mouse__wt</v>
      </c>
      <c r="B259" s="3" t="s">
        <v>915</v>
      </c>
      <c r="C259" s="3" t="s">
        <v>100</v>
      </c>
      <c r="D259" s="3" t="str">
        <f>IFERROR(MID(VLOOKUP($B259,Seqs!$A:$B,2,0),E259,1),"")</f>
        <v>R</v>
      </c>
      <c r="E259" s="3">
        <v>41</v>
      </c>
      <c r="F259" s="3" t="str">
        <f>IFERROR(MID(VLOOKUP($B259,Seqs!$A:$B,2,0),G259,1),"")</f>
        <v>Y</v>
      </c>
      <c r="G259" s="3">
        <v>77</v>
      </c>
      <c r="H259" s="3" t="str">
        <f>IFERROR(MID(VLOOKUP($B259,Seqs!$A:$B,2,0),I259,1),"")</f>
        <v>T</v>
      </c>
      <c r="I259" s="23">
        <v>78</v>
      </c>
      <c r="J259" s="3" t="str">
        <f>IFERROR(MID(VLOOKUP($B259,Seqs!$A:$B,2,0),K259,1),"")</f>
        <v>K</v>
      </c>
      <c r="K259" s="23">
        <v>81</v>
      </c>
      <c r="L259" s="3" t="str">
        <f>IFERROR(MID(VLOOKUP($B259,Seqs!$A:$B,2,0),M259,1),"")</f>
        <v>T</v>
      </c>
      <c r="M259" s="3">
        <v>82</v>
      </c>
      <c r="N259" s="3" t="str">
        <f>IFERROR(MID(VLOOKUP($B259,Seqs!$A:$B,2,0),O259,1),"")</f>
        <v>M</v>
      </c>
      <c r="O259" s="3">
        <v>111</v>
      </c>
      <c r="P259" s="3" t="str">
        <f>IFERROR(MID(VLOOKUP($B259,Seqs!$A:$B,2,0),Q259,1),"")</f>
        <v>T</v>
      </c>
      <c r="Q259" s="3">
        <v>113</v>
      </c>
      <c r="R259" s="3" t="str">
        <f>IFERROR(MID(VLOOKUP($B259,Seqs!$A:$B,2,0),S259,1),"")</f>
        <v>F</v>
      </c>
      <c r="S259" s="3">
        <v>116</v>
      </c>
      <c r="T259" s="3" t="str">
        <f>IFERROR(MID(VLOOKUP($B259,Seqs!$A:$B,2,0),U259,1),"")</f>
        <v>G</v>
      </c>
      <c r="U259" s="3">
        <v>117</v>
      </c>
      <c r="V259" s="3" t="str">
        <f>IFERROR(MID(VLOOKUP($B259,Seqs!$A:$B,2,0),W259,1),"")</f>
        <v>H</v>
      </c>
      <c r="W259" s="3">
        <v>152</v>
      </c>
      <c r="X259" s="3" t="str">
        <f>IFERROR(MID(VLOOKUP($B259,Seqs!$A:$B,2,0),Y259,1),"")</f>
        <v>P</v>
      </c>
      <c r="Y259" s="3">
        <v>153</v>
      </c>
      <c r="Z259" s="3" t="str">
        <f>IFERROR(MID(VLOOKUP($B259,Seqs!$A:$B,2,0),AA259,1),"")</f>
        <v>R</v>
      </c>
      <c r="AA259" s="3">
        <v>160</v>
      </c>
      <c r="AB259" s="3" t="str">
        <f>IFERROR(MID(VLOOKUP($B259,Seqs!$A:$B,2,0),AC259,1),"")</f>
        <v>T</v>
      </c>
      <c r="AC259" s="9">
        <v>161</v>
      </c>
      <c r="AD259" s="3" t="str">
        <f>IFERROR(MID(VLOOKUP($B259,Seqs!$A:$B,2,0),AE259,1),"")</f>
        <v>A</v>
      </c>
      <c r="AE259" s="3">
        <v>187</v>
      </c>
      <c r="AF259" s="3" t="str">
        <f>IFERROR(MID(VLOOKUP($B259,Seqs!$A:$B,2,0),AG259,1),"")</f>
        <v>C</v>
      </c>
      <c r="AG259" s="3">
        <v>198</v>
      </c>
      <c r="AH259" s="3" t="str">
        <f>IFERROR(MID(VLOOKUP($B259,Seqs!$A:$B,2,0),AI259,1),"")</f>
        <v>L</v>
      </c>
      <c r="AI259" s="3">
        <v>200</v>
      </c>
      <c r="AJ259" s="3" t="str">
        <f>IFERROR(MID(VLOOKUP($B259,Seqs!$A:$B,2,0),AK259,1),"")</f>
        <v>S</v>
      </c>
      <c r="AK259" s="3">
        <v>206</v>
      </c>
      <c r="AL259" s="3" t="str">
        <f>IFERROR(MID(VLOOKUP($B259,Seqs!$A:$B,2,0),AM259,1),"")</f>
        <v>V</v>
      </c>
      <c r="AM259" s="3">
        <v>243</v>
      </c>
      <c r="AN259" s="3" t="str">
        <f>IFERROR(MID(VLOOKUP($B259,Seqs!$A:$B,2,0),AO259,1),"")</f>
        <v>S</v>
      </c>
      <c r="AO259" s="3">
        <v>249</v>
      </c>
      <c r="AP259" s="3" t="str">
        <f>IFERROR(MID(VLOOKUP($B259,Seqs!$A:$B,2,0),AQ259,1),"")</f>
        <v>V</v>
      </c>
      <c r="AQ259" s="3">
        <v>287</v>
      </c>
      <c r="AR259" s="3" t="str">
        <f>IFERROR(MID(VLOOKUP($B259,Seqs!$A:$B,2,0),AS259,1),"")</f>
        <v>D</v>
      </c>
      <c r="AS259" s="3">
        <v>293</v>
      </c>
      <c r="AT259" s="3" t="str">
        <f>IFERROR(MID(VLOOKUP($B259,Seqs!$A:$B,2,0),AU259,1),"")</f>
        <v>L</v>
      </c>
      <c r="AU259" s="3">
        <v>321</v>
      </c>
      <c r="AV259" s="3" t="str">
        <f>IFERROR(MID(VLOOKUP($B259,Seqs!$A:$B,2,0),AW259,1),"")</f>
        <v>D</v>
      </c>
      <c r="AW259" s="3">
        <v>322</v>
      </c>
      <c r="AX259" s="3" t="str">
        <f>IFERROR(MID(VLOOKUP($B259,Seqs!$A:$B,2,0),AY259,1),"")</f>
        <v>T</v>
      </c>
      <c r="AY259" s="3">
        <v>335</v>
      </c>
      <c r="AZ259" s="77" t="str">
        <f>VLOOKUP(B259,Classification!A:D,2,0)</f>
        <v>A</v>
      </c>
      <c r="BA259" s="94" t="str">
        <f>VLOOKUP(B259,Classification!A:D,4,0)</f>
        <v>Opioid</v>
      </c>
      <c r="BB259" s="27" t="b">
        <f t="shared" si="1425"/>
        <v>1</v>
      </c>
      <c r="BC259" s="23">
        <f t="shared" si="1398"/>
        <v>269</v>
      </c>
      <c r="BD259" s="56" t="s">
        <v>23</v>
      </c>
      <c r="BE259" s="3" t="s">
        <v>23</v>
      </c>
      <c r="BF259" s="118" t="s">
        <v>23</v>
      </c>
      <c r="BG259" s="49" t="s">
        <v>1372</v>
      </c>
      <c r="BH259" s="49" t="s">
        <v>1377</v>
      </c>
      <c r="BI259" s="1"/>
      <c r="BJ259" s="70" t="s">
        <v>1287</v>
      </c>
      <c r="BK259" s="57" t="s">
        <v>1287</v>
      </c>
      <c r="BL259" s="57" t="s">
        <v>1287</v>
      </c>
      <c r="BM259" s="57" t="s">
        <v>1287</v>
      </c>
      <c r="BN259" s="57" t="s">
        <v>1287</v>
      </c>
      <c r="BO259" s="57" t="s">
        <v>1287</v>
      </c>
      <c r="BP259" s="57" t="s">
        <v>1287</v>
      </c>
      <c r="BQ259" s="57" t="s">
        <v>1287</v>
      </c>
      <c r="BR259" s="57" t="s">
        <v>1287</v>
      </c>
      <c r="BS259" s="57" t="s">
        <v>1287</v>
      </c>
      <c r="BT259" s="57" t="s">
        <v>1287</v>
      </c>
      <c r="BU259" s="57" t="s">
        <v>1287</v>
      </c>
      <c r="BV259" s="70">
        <f t="shared" si="1399"/>
        <v>41</v>
      </c>
      <c r="BW259" s="71">
        <f t="shared" si="1400"/>
        <v>78</v>
      </c>
      <c r="BX259" s="72">
        <f t="shared" si="1401"/>
        <v>82</v>
      </c>
      <c r="BY259" s="71">
        <f t="shared" si="1402"/>
        <v>113</v>
      </c>
      <c r="BZ259" s="72">
        <f t="shared" si="1403"/>
        <v>117</v>
      </c>
      <c r="CA259" s="71">
        <f t="shared" si="1404"/>
        <v>153</v>
      </c>
      <c r="CB259" s="72">
        <f t="shared" si="1405"/>
        <v>161</v>
      </c>
      <c r="CC259" s="71">
        <f t="shared" si="1406"/>
        <v>198</v>
      </c>
      <c r="CD259" s="72">
        <f t="shared" si="1407"/>
        <v>206</v>
      </c>
      <c r="CE259" s="71">
        <f t="shared" si="1408"/>
        <v>249</v>
      </c>
      <c r="CF259" s="72">
        <f t="shared" si="1409"/>
        <v>293</v>
      </c>
      <c r="CG259" s="71">
        <f t="shared" si="1410"/>
        <v>322</v>
      </c>
      <c r="CH259" s="70">
        <f t="shared" si="1411"/>
        <v>77</v>
      </c>
      <c r="CI259" s="71">
        <f t="shared" si="1412"/>
        <v>81</v>
      </c>
      <c r="CJ259" s="72">
        <f t="shared" si="1413"/>
        <v>111</v>
      </c>
      <c r="CK259" s="72">
        <f t="shared" si="1414"/>
        <v>116</v>
      </c>
      <c r="CL259" s="72">
        <f t="shared" si="1415"/>
        <v>152</v>
      </c>
      <c r="CM259" s="72">
        <f t="shared" si="1416"/>
        <v>160</v>
      </c>
      <c r="CN259" s="72">
        <f t="shared" si="1417"/>
        <v>187</v>
      </c>
      <c r="CO259" s="72">
        <f t="shared" si="1418"/>
        <v>200</v>
      </c>
      <c r="CP259" s="72">
        <f t="shared" si="1419"/>
        <v>243</v>
      </c>
      <c r="CQ259" s="72">
        <f t="shared" si="1420"/>
        <v>287</v>
      </c>
      <c r="CR259" s="72">
        <f t="shared" si="1421"/>
        <v>321</v>
      </c>
      <c r="CS259" s="72">
        <f t="shared" si="1422"/>
        <v>335</v>
      </c>
      <c r="CT259" s="23">
        <f t="shared" si="1423"/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</row>
    <row r="260" spans="1:1030" s="2" customFormat="1" x14ac:dyDescent="0.2">
      <c r="A260" s="3" t="str">
        <f t="shared" si="1424"/>
        <v>oprd_mouse_4EJ4</v>
      </c>
      <c r="B260" s="3" t="s">
        <v>915</v>
      </c>
      <c r="C260" s="3" t="s">
        <v>64</v>
      </c>
      <c r="D260" s="3" t="str">
        <f>IFERROR(MID(VLOOKUP($B260,Seqs!$A:$B,2,0),E260,1),"")</f>
        <v>R</v>
      </c>
      <c r="E260" s="3">
        <v>41</v>
      </c>
      <c r="F260" s="3" t="str">
        <f>IFERROR(MID(VLOOKUP($B260,Seqs!$A:$B,2,0),G260,1),"")</f>
        <v>Y</v>
      </c>
      <c r="G260" s="3">
        <v>77</v>
      </c>
      <c r="H260" s="3" t="str">
        <f>IFERROR(MID(VLOOKUP($B260,Seqs!$A:$B,2,0),I260,1),"")</f>
        <v>T</v>
      </c>
      <c r="I260" s="23">
        <v>78</v>
      </c>
      <c r="J260" s="3" t="str">
        <f>IFERROR(MID(VLOOKUP($B260,Seqs!$A:$B,2,0),K260,1),"")</f>
        <v>K</v>
      </c>
      <c r="K260" s="23">
        <v>81</v>
      </c>
      <c r="L260" s="3" t="str">
        <f>IFERROR(MID(VLOOKUP($B260,Seqs!$A:$B,2,0),M260,1),"")</f>
        <v>T</v>
      </c>
      <c r="M260" s="3">
        <v>82</v>
      </c>
      <c r="N260" s="3" t="str">
        <f>IFERROR(MID(VLOOKUP($B260,Seqs!$A:$B,2,0),O260,1),"")</f>
        <v>M</v>
      </c>
      <c r="O260" s="3">
        <v>111</v>
      </c>
      <c r="P260" s="3" t="str">
        <f>IFERROR(MID(VLOOKUP($B260,Seqs!$A:$B,2,0),Q260,1),"")</f>
        <v>T</v>
      </c>
      <c r="Q260" s="3">
        <v>113</v>
      </c>
      <c r="R260" s="3" t="str">
        <f>IFERROR(MID(VLOOKUP($B260,Seqs!$A:$B,2,0),S260,1),"")</f>
        <v>F</v>
      </c>
      <c r="S260" s="3">
        <v>116</v>
      </c>
      <c r="T260" s="3" t="str">
        <f>IFERROR(MID(VLOOKUP($B260,Seqs!$A:$B,2,0),U260,1),"")</f>
        <v>G</v>
      </c>
      <c r="U260" s="3">
        <v>117</v>
      </c>
      <c r="V260" s="3" t="str">
        <f>IFERROR(MID(VLOOKUP($B260,Seqs!$A:$B,2,0),W260,1),"")</f>
        <v>H</v>
      </c>
      <c r="W260" s="3">
        <v>152</v>
      </c>
      <c r="X260" s="3" t="str">
        <f>IFERROR(MID(VLOOKUP($B260,Seqs!$A:$B,2,0),Y260,1),"")</f>
        <v>P</v>
      </c>
      <c r="Y260" s="3">
        <v>153</v>
      </c>
      <c r="Z260" s="3" t="str">
        <f>IFERROR(MID(VLOOKUP($B260,Seqs!$A:$B,2,0),AA260,1),"")</f>
        <v>R</v>
      </c>
      <c r="AA260" s="3">
        <v>160</v>
      </c>
      <c r="AB260" s="3" t="str">
        <f>IFERROR(MID(VLOOKUP($B260,Seqs!$A:$B,2,0),AC260,1),"")</f>
        <v>T</v>
      </c>
      <c r="AC260" s="9">
        <v>161</v>
      </c>
      <c r="AD260" s="3" t="str">
        <f>IFERROR(MID(VLOOKUP($B260,Seqs!$A:$B,2,0),AE260,1),"")</f>
        <v>A</v>
      </c>
      <c r="AE260" s="3">
        <v>187</v>
      </c>
      <c r="AF260" s="3" t="str">
        <f>IFERROR(MID(VLOOKUP($B260,Seqs!$A:$B,2,0),AG260,1),"")</f>
        <v>C</v>
      </c>
      <c r="AG260" s="3">
        <v>198</v>
      </c>
      <c r="AH260" s="3" t="str">
        <f>IFERROR(MID(VLOOKUP($B260,Seqs!$A:$B,2,0),AI260,1),"")</f>
        <v>L</v>
      </c>
      <c r="AI260" s="3">
        <v>200</v>
      </c>
      <c r="AJ260" s="3" t="str">
        <f>IFERROR(MID(VLOOKUP($B260,Seqs!$A:$B,2,0),AK260,1),"")</f>
        <v>S</v>
      </c>
      <c r="AK260" s="3">
        <v>206</v>
      </c>
      <c r="AL260" s="3" t="str">
        <f>IFERROR(MID(VLOOKUP($B260,Seqs!$A:$B,2,0),AM260,1),"")</f>
        <v>L</v>
      </c>
      <c r="AM260" s="3">
        <v>238</v>
      </c>
      <c r="AN260" s="3" t="str">
        <f>IFERROR(MID(VLOOKUP($B260,Seqs!$A:$B,2,0),AO260,1),"")</f>
        <v>R</v>
      </c>
      <c r="AO260" s="3">
        <v>258</v>
      </c>
      <c r="AP260" s="3" t="str">
        <f>IFERROR(MID(VLOOKUP($B260,Seqs!$A:$B,2,0),AQ260,1),"")</f>
        <v>V</v>
      </c>
      <c r="AQ260" s="3">
        <v>287</v>
      </c>
      <c r="AR260" s="3" t="str">
        <f>IFERROR(MID(VLOOKUP($B260,Seqs!$A:$B,2,0),AS260,1),"")</f>
        <v>D</v>
      </c>
      <c r="AS260" s="3">
        <v>293</v>
      </c>
      <c r="AT260" s="3" t="str">
        <f>IFERROR(MID(VLOOKUP($B260,Seqs!$A:$B,2,0),AU260,1),"")</f>
        <v>L</v>
      </c>
      <c r="AU260" s="3">
        <v>321</v>
      </c>
      <c r="AV260" s="3" t="str">
        <f>IFERROR(MID(VLOOKUP($B260,Seqs!$A:$B,2,0),AW260,1),"")</f>
        <v>D</v>
      </c>
      <c r="AW260" s="3">
        <v>322</v>
      </c>
      <c r="AX260" s="3" t="str">
        <f>IFERROR(MID(VLOOKUP($B260,Seqs!$A:$B,2,0),AY260,1),"")</f>
        <v>C</v>
      </c>
      <c r="AY260" s="3">
        <v>328</v>
      </c>
      <c r="AZ260" s="77" t="str">
        <f>VLOOKUP(B260,Classification!A:D,2,0)</f>
        <v>A</v>
      </c>
      <c r="BA260" s="94" t="str">
        <f>VLOOKUP(B260,Classification!A:D,4,0)</f>
        <v>Opioid</v>
      </c>
      <c r="BB260" s="27" t="b">
        <f t="shared" si="1425"/>
        <v>1</v>
      </c>
      <c r="BC260" s="23">
        <f t="shared" si="1398"/>
        <v>248</v>
      </c>
      <c r="BD260" s="2" t="s">
        <v>23</v>
      </c>
      <c r="BE260" s="3" t="s">
        <v>1374</v>
      </c>
      <c r="BF260" s="118">
        <v>3.4</v>
      </c>
      <c r="BG260" s="49" t="s">
        <v>1377</v>
      </c>
      <c r="BH260" s="49" t="s">
        <v>1377</v>
      </c>
      <c r="BI260" s="1"/>
      <c r="BJ260" s="70" t="s">
        <v>1287</v>
      </c>
      <c r="BK260" s="57" t="s">
        <v>1287</v>
      </c>
      <c r="BL260" s="57" t="s">
        <v>1287</v>
      </c>
      <c r="BM260" s="57" t="s">
        <v>1287</v>
      </c>
      <c r="BN260" s="57" t="s">
        <v>1287</v>
      </c>
      <c r="BO260" s="57" t="s">
        <v>1287</v>
      </c>
      <c r="BP260" s="57" t="s">
        <v>1287</v>
      </c>
      <c r="BQ260" s="57" t="s">
        <v>1287</v>
      </c>
      <c r="BR260" s="57" t="s">
        <v>1287</v>
      </c>
      <c r="BS260" s="57" t="s">
        <v>1287</v>
      </c>
      <c r="BT260" s="57" t="s">
        <v>1287</v>
      </c>
      <c r="BU260" s="57" t="s">
        <v>1287</v>
      </c>
      <c r="BV260" s="70">
        <f t="shared" si="1399"/>
        <v>41</v>
      </c>
      <c r="BW260" s="71">
        <f t="shared" si="1400"/>
        <v>78</v>
      </c>
      <c r="BX260" s="72">
        <f t="shared" si="1401"/>
        <v>82</v>
      </c>
      <c r="BY260" s="71">
        <f t="shared" si="1402"/>
        <v>113</v>
      </c>
      <c r="BZ260" s="72">
        <f t="shared" si="1403"/>
        <v>117</v>
      </c>
      <c r="CA260" s="71">
        <f t="shared" si="1404"/>
        <v>153</v>
      </c>
      <c r="CB260" s="72">
        <f t="shared" si="1405"/>
        <v>161</v>
      </c>
      <c r="CC260" s="71">
        <f t="shared" si="1406"/>
        <v>198</v>
      </c>
      <c r="CD260" s="72">
        <f t="shared" si="1407"/>
        <v>206</v>
      </c>
      <c r="CE260" s="71">
        <f t="shared" si="1408"/>
        <v>258</v>
      </c>
      <c r="CF260" s="72">
        <f t="shared" si="1409"/>
        <v>293</v>
      </c>
      <c r="CG260" s="71">
        <f t="shared" si="1410"/>
        <v>322</v>
      </c>
      <c r="CH260" s="70">
        <f t="shared" si="1411"/>
        <v>77</v>
      </c>
      <c r="CI260" s="71">
        <f t="shared" si="1412"/>
        <v>81</v>
      </c>
      <c r="CJ260" s="72">
        <f t="shared" si="1413"/>
        <v>111</v>
      </c>
      <c r="CK260" s="72">
        <f t="shared" si="1414"/>
        <v>116</v>
      </c>
      <c r="CL260" s="72">
        <f t="shared" si="1415"/>
        <v>152</v>
      </c>
      <c r="CM260" s="72">
        <f t="shared" si="1416"/>
        <v>160</v>
      </c>
      <c r="CN260" s="72">
        <f t="shared" si="1417"/>
        <v>187</v>
      </c>
      <c r="CO260" s="72">
        <f t="shared" si="1418"/>
        <v>200</v>
      </c>
      <c r="CP260" s="72">
        <f t="shared" si="1419"/>
        <v>238</v>
      </c>
      <c r="CQ260" s="72">
        <f t="shared" si="1420"/>
        <v>287</v>
      </c>
      <c r="CR260" s="72">
        <f t="shared" si="1421"/>
        <v>321</v>
      </c>
      <c r="CS260" s="72">
        <f t="shared" si="1422"/>
        <v>328</v>
      </c>
      <c r="CT260" s="23">
        <f t="shared" si="1423"/>
        <v>1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</row>
    <row r="261" spans="1:1030" x14ac:dyDescent="0.2">
      <c r="A261" s="3" t="str">
        <f t="shared" si="1424"/>
        <v>oprk_human__wt</v>
      </c>
      <c r="B261" s="3" t="s">
        <v>336</v>
      </c>
      <c r="C261" s="3" t="s">
        <v>100</v>
      </c>
      <c r="D261" s="3" t="str">
        <f>IFERROR(MID(VLOOKUP($B261,Seqs!$A:$B,2,0),E261,1),"")</f>
        <v>A</v>
      </c>
      <c r="E261" s="3">
        <v>57</v>
      </c>
      <c r="F261" s="3" t="str">
        <f>IFERROR(MID(VLOOKUP($B261,Seqs!$A:$B,2,0),G261,1),"")</f>
        <v>Y</v>
      </c>
      <c r="G261" s="3">
        <v>87</v>
      </c>
      <c r="H261" s="3" t="str">
        <f>IFERROR(MID(VLOOKUP($B261,Seqs!$A:$B,2,0),I261,1),"")</f>
        <v>T</v>
      </c>
      <c r="I261" s="23">
        <v>88</v>
      </c>
      <c r="J261" s="3" t="str">
        <f>IFERROR(MID(VLOOKUP($B261,Seqs!$A:$B,2,0),K261,1),"")</f>
        <v>K</v>
      </c>
      <c r="K261" s="23">
        <v>91</v>
      </c>
      <c r="L261" s="3" t="str">
        <f>IFERROR(MID(VLOOKUP($B261,Seqs!$A:$B,2,0),M261,1),"")</f>
        <v>T</v>
      </c>
      <c r="M261" s="3">
        <v>92</v>
      </c>
      <c r="N261" s="3" t="str">
        <f>IFERROR(MID(VLOOKUP($B261,Seqs!$A:$B,2,0),O261,1),"")</f>
        <v>N</v>
      </c>
      <c r="O261" s="105">
        <v>122</v>
      </c>
      <c r="P261" s="3" t="str">
        <f>IFERROR(MID(VLOOKUP($B261,Seqs!$A:$B,2,0),Q261,1),"")</f>
        <v>S</v>
      </c>
      <c r="Q261" s="3">
        <v>123</v>
      </c>
      <c r="R261" s="3" t="str">
        <f>IFERROR(MID(VLOOKUP($B261,Seqs!$A:$B,2,0),S261,1),"")</f>
        <v>F</v>
      </c>
      <c r="S261" s="3">
        <v>126</v>
      </c>
      <c r="T261" s="3" t="str">
        <f>IFERROR(MID(VLOOKUP($B261,Seqs!$A:$B,2,0),U261,1),"")</f>
        <v>G</v>
      </c>
      <c r="U261" s="3">
        <v>127</v>
      </c>
      <c r="V261" s="3" t="str">
        <f>IFERROR(MID(VLOOKUP($B261,Seqs!$A:$B,2,0),W261,1),"")</f>
        <v>H</v>
      </c>
      <c r="W261" s="3">
        <v>162</v>
      </c>
      <c r="X261" s="3" t="str">
        <f>IFERROR(MID(VLOOKUP($B261,Seqs!$A:$B,2,0),Y261,1),"")</f>
        <v>P</v>
      </c>
      <c r="Y261" s="3">
        <v>163</v>
      </c>
      <c r="Z261" s="3" t="str">
        <f>IFERROR(MID(VLOOKUP($B261,Seqs!$A:$B,2,0),AA261,1),"")</f>
        <v>R</v>
      </c>
      <c r="AA261" s="3">
        <v>170</v>
      </c>
      <c r="AB261" s="3" t="str">
        <f>IFERROR(MID(VLOOKUP($B261,Seqs!$A:$B,2,0),AC261,1),"")</f>
        <v>T</v>
      </c>
      <c r="AC261" s="9">
        <v>171</v>
      </c>
      <c r="AD261" s="3" t="str">
        <f>IFERROR(MID(VLOOKUP($B261,Seqs!$A:$B,2,0),AE261,1),"")</f>
        <v>G</v>
      </c>
      <c r="AE261" s="3">
        <v>197</v>
      </c>
      <c r="AF261" s="3" t="str">
        <f>IFERROR(MID(VLOOKUP($B261,Seqs!$A:$B,2,0),AG261,1),"")</f>
        <v>C</v>
      </c>
      <c r="AG261" s="3">
        <v>210</v>
      </c>
      <c r="AH261" s="3" t="str">
        <f>IFERROR(MID(VLOOKUP($B261,Seqs!$A:$B,2,0),AI261,1),"")</f>
        <v>L</v>
      </c>
      <c r="AI261" s="3">
        <v>212</v>
      </c>
      <c r="AJ261" s="3" t="str">
        <f>IFERROR(MID(VLOOKUP($B261,Seqs!$A:$B,2,0),AK261,1),"")</f>
        <v>D</v>
      </c>
      <c r="AK261" s="105">
        <v>218</v>
      </c>
      <c r="AL261" s="3" t="str">
        <f>IFERROR(MID(VLOOKUP($B261,Seqs!$A:$B,2,0),AM261,1),"")</f>
        <v>V</v>
      </c>
      <c r="AM261" s="3">
        <v>256</v>
      </c>
      <c r="AN261" s="3" t="str">
        <f>IFERROR(MID(VLOOKUP($B261,Seqs!$A:$B,2,0),AO261,1),"")</f>
        <v>S</v>
      </c>
      <c r="AO261" s="3">
        <v>262</v>
      </c>
      <c r="AP261" s="3" t="str">
        <f>IFERROR(MID(VLOOKUP($B261,Seqs!$A:$B,2,0),AQ261,1),"")</f>
        <v>G</v>
      </c>
      <c r="AQ261" s="3">
        <v>300</v>
      </c>
      <c r="AR261" s="3" t="str">
        <f>IFERROR(MID(VLOOKUP($B261,Seqs!$A:$B,2,0),AS261,1),"")</f>
        <v>S</v>
      </c>
      <c r="AS261" s="3">
        <v>305</v>
      </c>
      <c r="AT261" s="3" t="str">
        <f>IFERROR(MID(VLOOKUP($B261,Seqs!$A:$B,2,0),AU261,1),"")</f>
        <v>L</v>
      </c>
      <c r="AU261" s="3">
        <v>333</v>
      </c>
      <c r="AV261" s="3" t="str">
        <f>IFERROR(MID(VLOOKUP($B261,Seqs!$A:$B,2,0),AW261,1),"")</f>
        <v>D</v>
      </c>
      <c r="AW261" s="3">
        <v>334</v>
      </c>
      <c r="AX261" s="3" t="str">
        <f>IFERROR(MID(VLOOKUP($B261,Seqs!$A:$B,2,0),AY261,1),"")</f>
        <v>F</v>
      </c>
      <c r="AY261" s="3">
        <v>346</v>
      </c>
      <c r="AZ261" s="77" t="str">
        <f>VLOOKUP(B261,Classification!A:D,2,0)</f>
        <v>A</v>
      </c>
      <c r="BA261" s="94" t="str">
        <f>VLOOKUP(B261,Classification!A:D,4,0)</f>
        <v>Opioid</v>
      </c>
      <c r="BB261" s="27" t="b">
        <f t="shared" si="1425"/>
        <v>1</v>
      </c>
      <c r="BC261" s="23">
        <f t="shared" si="1398"/>
        <v>264</v>
      </c>
      <c r="BD261" s="56" t="s">
        <v>23</v>
      </c>
      <c r="BE261" s="3" t="s">
        <v>23</v>
      </c>
      <c r="BF261" s="118" t="s">
        <v>23</v>
      </c>
      <c r="BG261" s="49" t="s">
        <v>1372</v>
      </c>
      <c r="BH261" s="49" t="s">
        <v>1377</v>
      </c>
      <c r="BI261" s="1"/>
      <c r="BJ261" s="70" t="s">
        <v>1287</v>
      </c>
      <c r="BK261" s="57" t="s">
        <v>1287</v>
      </c>
      <c r="BL261" s="57" t="s">
        <v>1287</v>
      </c>
      <c r="BM261" s="57" t="s">
        <v>1287</v>
      </c>
      <c r="BN261" s="57" t="s">
        <v>1287</v>
      </c>
      <c r="BO261" s="57" t="s">
        <v>1287</v>
      </c>
      <c r="BP261" s="57" t="s">
        <v>1287</v>
      </c>
      <c r="BQ261" s="57" t="s">
        <v>1287</v>
      </c>
      <c r="BR261" s="57" t="s">
        <v>1287</v>
      </c>
      <c r="BS261" s="57" t="s">
        <v>1287</v>
      </c>
      <c r="BT261" s="57" t="s">
        <v>1287</v>
      </c>
      <c r="BU261" s="57" t="s">
        <v>1287</v>
      </c>
      <c r="BV261" s="70">
        <f t="shared" si="1399"/>
        <v>57</v>
      </c>
      <c r="BW261" s="71">
        <f t="shared" si="1400"/>
        <v>88</v>
      </c>
      <c r="BX261" s="72">
        <f t="shared" si="1401"/>
        <v>92</v>
      </c>
      <c r="BY261" s="71">
        <f t="shared" si="1402"/>
        <v>123</v>
      </c>
      <c r="BZ261" s="72">
        <f t="shared" si="1403"/>
        <v>127</v>
      </c>
      <c r="CA261" s="71">
        <f t="shared" si="1404"/>
        <v>163</v>
      </c>
      <c r="CB261" s="72">
        <f t="shared" si="1405"/>
        <v>171</v>
      </c>
      <c r="CC261" s="71">
        <f t="shared" si="1406"/>
        <v>210</v>
      </c>
      <c r="CD261" s="72">
        <f t="shared" si="1407"/>
        <v>218</v>
      </c>
      <c r="CE261" s="71">
        <f t="shared" si="1408"/>
        <v>262</v>
      </c>
      <c r="CF261" s="72">
        <f t="shared" si="1409"/>
        <v>305</v>
      </c>
      <c r="CG261" s="71">
        <f t="shared" si="1410"/>
        <v>334</v>
      </c>
      <c r="CH261" s="70">
        <f t="shared" si="1411"/>
        <v>87</v>
      </c>
      <c r="CI261" s="71">
        <f t="shared" si="1412"/>
        <v>91</v>
      </c>
      <c r="CJ261" s="72">
        <f t="shared" si="1413"/>
        <v>122</v>
      </c>
      <c r="CK261" s="72">
        <f t="shared" si="1414"/>
        <v>126</v>
      </c>
      <c r="CL261" s="72">
        <f t="shared" si="1415"/>
        <v>162</v>
      </c>
      <c r="CM261" s="72">
        <f t="shared" si="1416"/>
        <v>170</v>
      </c>
      <c r="CN261" s="72">
        <f t="shared" si="1417"/>
        <v>197</v>
      </c>
      <c r="CO261" s="72">
        <f t="shared" si="1418"/>
        <v>212</v>
      </c>
      <c r="CP261" s="72">
        <f t="shared" si="1419"/>
        <v>256</v>
      </c>
      <c r="CQ261" s="72">
        <f t="shared" si="1420"/>
        <v>300</v>
      </c>
      <c r="CR261" s="72">
        <f t="shared" si="1421"/>
        <v>333</v>
      </c>
      <c r="CS261" s="72">
        <f t="shared" si="1422"/>
        <v>346</v>
      </c>
      <c r="CT261" s="23">
        <f t="shared" si="1423"/>
        <v>1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30" x14ac:dyDescent="0.2">
      <c r="A262" s="3" t="str">
        <f t="shared" si="1424"/>
        <v>oprk_human_4DJH</v>
      </c>
      <c r="B262" s="3" t="s">
        <v>336</v>
      </c>
      <c r="C262" s="3" t="s">
        <v>88</v>
      </c>
      <c r="D262" s="3" t="str">
        <f>IFERROR(MID(VLOOKUP($B262,Seqs!$A:$B,2,0),E262,1),"")</f>
        <v>A</v>
      </c>
      <c r="E262" s="3">
        <v>57</v>
      </c>
      <c r="F262" s="3" t="str">
        <f>IFERROR(MID(VLOOKUP($B262,Seqs!$A:$B,2,0),G262,1),"")</f>
        <v>Y</v>
      </c>
      <c r="G262" s="3">
        <v>87</v>
      </c>
      <c r="H262" s="3" t="str">
        <f>IFERROR(MID(VLOOKUP($B262,Seqs!$A:$B,2,0),I262,1),"")</f>
        <v>T</v>
      </c>
      <c r="I262" s="23">
        <v>88</v>
      </c>
      <c r="J262" s="3" t="str">
        <f>IFERROR(MID(VLOOKUP($B262,Seqs!$A:$B,2,0),K262,1),"")</f>
        <v>K</v>
      </c>
      <c r="K262" s="23">
        <v>91</v>
      </c>
      <c r="L262" s="3" t="str">
        <f>IFERROR(MID(VLOOKUP($B262,Seqs!$A:$B,2,0),M262,1),"")</f>
        <v>T</v>
      </c>
      <c r="M262" s="3">
        <v>92</v>
      </c>
      <c r="N262" s="3" t="str">
        <f>IFERROR(MID(VLOOKUP($B262,Seqs!$A:$B,2,0),O262,1),"")</f>
        <v>N</v>
      </c>
      <c r="O262" s="3">
        <v>122</v>
      </c>
      <c r="P262" s="3" t="str">
        <f>IFERROR(MID(VLOOKUP($B262,Seqs!$A:$B,2,0),Q262,1),"")</f>
        <v>S</v>
      </c>
      <c r="Q262" s="3">
        <v>123</v>
      </c>
      <c r="R262" s="3" t="str">
        <f>IFERROR(MID(VLOOKUP($B262,Seqs!$A:$B,2,0),S262,1),"")</f>
        <v>F</v>
      </c>
      <c r="S262" s="3">
        <v>126</v>
      </c>
      <c r="T262" s="3" t="str">
        <f>IFERROR(MID(VLOOKUP($B262,Seqs!$A:$B,2,0),U262,1),"")</f>
        <v>G</v>
      </c>
      <c r="U262" s="3">
        <v>127</v>
      </c>
      <c r="V262" s="3" t="str">
        <f>IFERROR(MID(VLOOKUP($B262,Seqs!$A:$B,2,0),W262,1),"")</f>
        <v>H</v>
      </c>
      <c r="W262" s="3">
        <v>162</v>
      </c>
      <c r="X262" s="3" t="str">
        <f>IFERROR(MID(VLOOKUP($B262,Seqs!$A:$B,2,0),Y262,1),"")</f>
        <v/>
      </c>
      <c r="Y262" s="3" t="s">
        <v>23</v>
      </c>
      <c r="Z262" s="3" t="str">
        <f>IFERROR(MID(VLOOKUP($B262,Seqs!$A:$B,2,0),AA262,1),"")</f>
        <v/>
      </c>
      <c r="AA262" s="3" t="s">
        <v>23</v>
      </c>
      <c r="AB262" s="3" t="str">
        <f>IFERROR(MID(VLOOKUP($B262,Seqs!$A:$B,2,0),AC262,1),"")</f>
        <v>R</v>
      </c>
      <c r="AC262" s="9">
        <v>170</v>
      </c>
      <c r="AD262" s="3" t="str">
        <f>IFERROR(MID(VLOOKUP($B262,Seqs!$A:$B,2,0),AE262,1),"")</f>
        <v>G</v>
      </c>
      <c r="AE262" s="3">
        <v>197</v>
      </c>
      <c r="AF262" s="3" t="str">
        <f>IFERROR(MID(VLOOKUP($B262,Seqs!$A:$B,2,0),AG262,1),"")</f>
        <v>C</v>
      </c>
      <c r="AG262" s="3">
        <v>210</v>
      </c>
      <c r="AH262" s="3" t="str">
        <f>IFERROR(MID(VLOOKUP($B262,Seqs!$A:$B,2,0),AI262,1),"")</f>
        <v>L</v>
      </c>
      <c r="AI262" s="3">
        <v>212</v>
      </c>
      <c r="AJ262" s="3" t="str">
        <f>IFERROR(MID(VLOOKUP($B262,Seqs!$A:$B,2,0),AK262,1),"")</f>
        <v>D</v>
      </c>
      <c r="AK262" s="3">
        <v>218</v>
      </c>
      <c r="AL262" s="3" t="str">
        <f>IFERROR(MID(VLOOKUP($B262,Seqs!$A:$B,2,0),AM262,1),"")</f>
        <v>V</v>
      </c>
      <c r="AM262" s="3">
        <v>256</v>
      </c>
      <c r="AN262" s="3" t="str">
        <f>IFERROR(MID(VLOOKUP($B262,Seqs!$A:$B,2,0),AO262,1),"")</f>
        <v>R</v>
      </c>
      <c r="AO262" s="3">
        <v>267</v>
      </c>
      <c r="AP262" s="3" t="str">
        <f>IFERROR(MID(VLOOKUP($B262,Seqs!$A:$B,2,0),AQ262,1),"")</f>
        <v>G</v>
      </c>
      <c r="AQ262" s="3">
        <v>300</v>
      </c>
      <c r="AR262" s="3" t="str">
        <f>IFERROR(MID(VLOOKUP($B262,Seqs!$A:$B,2,0),AS262,1),"")</f>
        <v>A</v>
      </c>
      <c r="AS262" s="3">
        <v>308</v>
      </c>
      <c r="AT262" s="3" t="str">
        <f>IFERROR(MID(VLOOKUP($B262,Seqs!$A:$B,2,0),AU262,1),"")</f>
        <v>L</v>
      </c>
      <c r="AU262" s="3">
        <v>333</v>
      </c>
      <c r="AV262" s="3" t="str">
        <f>IFERROR(MID(VLOOKUP($B262,Seqs!$A:$B,2,0),AW262,1),"")</f>
        <v>D</v>
      </c>
      <c r="AW262" s="3">
        <v>334</v>
      </c>
      <c r="AX262" s="3" t="str">
        <f>IFERROR(MID(VLOOKUP($B262,Seqs!$A:$B,2,0),AY262,1),"")</f>
        <v>F</v>
      </c>
      <c r="AY262" s="3">
        <v>346</v>
      </c>
      <c r="AZ262" s="77" t="str">
        <f>VLOOKUP(B262,Classification!A:D,2,0)</f>
        <v>A</v>
      </c>
      <c r="BA262" s="94" t="str">
        <f>VLOOKUP(B262,Classification!A:D,4,0)</f>
        <v>Opioid</v>
      </c>
      <c r="BB262" s="27" t="b">
        <f t="shared" si="1425"/>
        <v>1</v>
      </c>
      <c r="BC262" s="23">
        <f t="shared" si="1398"/>
        <v>250</v>
      </c>
      <c r="BD262" s="2" t="s">
        <v>1376</v>
      </c>
      <c r="BE262" s="3" t="s">
        <v>1374</v>
      </c>
      <c r="BF262" s="118">
        <v>2.9</v>
      </c>
      <c r="BG262" s="49" t="s">
        <v>1377</v>
      </c>
      <c r="BH262" s="49" t="s">
        <v>1377</v>
      </c>
      <c r="BI262" s="1"/>
      <c r="BJ262" s="70" t="s">
        <v>1287</v>
      </c>
      <c r="BK262" s="57" t="s">
        <v>1287</v>
      </c>
      <c r="BL262" s="57" t="s">
        <v>1287</v>
      </c>
      <c r="BM262" s="57" t="s">
        <v>1287</v>
      </c>
      <c r="BN262" s="57" t="s">
        <v>1287</v>
      </c>
      <c r="BO262" s="57" t="s">
        <v>1287</v>
      </c>
      <c r="BP262" s="57" t="s">
        <v>1287</v>
      </c>
      <c r="BQ262" s="57" t="s">
        <v>1287</v>
      </c>
      <c r="BR262" s="57" t="s">
        <v>1287</v>
      </c>
      <c r="BS262" s="57" t="s">
        <v>1287</v>
      </c>
      <c r="BT262" s="57" t="s">
        <v>1287</v>
      </c>
      <c r="BU262" s="57" t="s">
        <v>1287</v>
      </c>
      <c r="BV262" s="70">
        <f t="shared" si="1399"/>
        <v>57</v>
      </c>
      <c r="BW262" s="71">
        <f t="shared" si="1400"/>
        <v>88</v>
      </c>
      <c r="BX262" s="72">
        <f t="shared" si="1401"/>
        <v>92</v>
      </c>
      <c r="BY262" s="71">
        <f t="shared" si="1402"/>
        <v>123</v>
      </c>
      <c r="BZ262" s="72">
        <f t="shared" si="1403"/>
        <v>127</v>
      </c>
      <c r="CA262" s="71" t="str">
        <f t="shared" si="1404"/>
        <v>-</v>
      </c>
      <c r="CB262" s="72">
        <f t="shared" si="1405"/>
        <v>170</v>
      </c>
      <c r="CC262" s="71">
        <f t="shared" si="1406"/>
        <v>210</v>
      </c>
      <c r="CD262" s="72">
        <f t="shared" si="1407"/>
        <v>218</v>
      </c>
      <c r="CE262" s="71">
        <f t="shared" si="1408"/>
        <v>267</v>
      </c>
      <c r="CF262" s="72">
        <f t="shared" si="1409"/>
        <v>308</v>
      </c>
      <c r="CG262" s="71">
        <f t="shared" si="1410"/>
        <v>334</v>
      </c>
      <c r="CH262" s="70">
        <f t="shared" si="1411"/>
        <v>87</v>
      </c>
      <c r="CI262" s="71">
        <f t="shared" si="1412"/>
        <v>91</v>
      </c>
      <c r="CJ262" s="72">
        <f t="shared" si="1413"/>
        <v>122</v>
      </c>
      <c r="CK262" s="72">
        <f t="shared" si="1414"/>
        <v>126</v>
      </c>
      <c r="CL262" s="72">
        <f t="shared" si="1415"/>
        <v>162</v>
      </c>
      <c r="CM262" s="72" t="str">
        <f t="shared" si="1416"/>
        <v>-</v>
      </c>
      <c r="CN262" s="72">
        <f t="shared" si="1417"/>
        <v>197</v>
      </c>
      <c r="CO262" s="72">
        <f t="shared" si="1418"/>
        <v>212</v>
      </c>
      <c r="CP262" s="72">
        <f t="shared" si="1419"/>
        <v>256</v>
      </c>
      <c r="CQ262" s="72">
        <f t="shared" si="1420"/>
        <v>300</v>
      </c>
      <c r="CR262" s="72">
        <f t="shared" si="1421"/>
        <v>333</v>
      </c>
      <c r="CS262" s="72">
        <f t="shared" si="1422"/>
        <v>346</v>
      </c>
      <c r="CT262" s="23">
        <f t="shared" si="1423"/>
        <v>1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30" x14ac:dyDescent="0.2">
      <c r="A263" s="3" t="str">
        <f>CONCATENATE(B263,"_",C263)</f>
        <v>oprk_human_6B73</v>
      </c>
      <c r="B263" s="3" t="s">
        <v>336</v>
      </c>
      <c r="C263" s="3" t="s">
        <v>1463</v>
      </c>
      <c r="D263" s="3" t="str">
        <f>IFERROR(MID(VLOOKUP($B263,Seqs!$A:$B,2,0),E263,1),"")</f>
        <v>A</v>
      </c>
      <c r="E263" s="3">
        <v>57</v>
      </c>
      <c r="F263" s="3" t="str">
        <f>IFERROR(MID(VLOOKUP($B263,Seqs!$A:$B,2,0),G263,1),"")</f>
        <v>Y</v>
      </c>
      <c r="G263" s="3">
        <v>87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T</v>
      </c>
      <c r="M263" s="3">
        <v>92</v>
      </c>
      <c r="N263" s="3" t="str">
        <f>IFERROR(MID(VLOOKUP($B263,Seqs!$A:$B,2,0),O263,1),"")</f>
        <v>N</v>
      </c>
      <c r="O263" s="3">
        <v>122</v>
      </c>
      <c r="P263" s="3" t="str">
        <f>IFERROR(MID(VLOOKUP($B263,Seqs!$A:$B,2,0),Q263,1),"")</f>
        <v>S</v>
      </c>
      <c r="Q263" s="3">
        <v>123</v>
      </c>
      <c r="R263" s="3" t="str">
        <f>IFERROR(MID(VLOOKUP($B263,Seqs!$A:$B,2,0),S263,1),"")</f>
        <v>F</v>
      </c>
      <c r="S263" s="3">
        <v>126</v>
      </c>
      <c r="T263" s="3" t="str">
        <f>IFERROR(MID(VLOOKUP($B263,Seqs!$A:$B,2,0),U263,1),"")</f>
        <v>G</v>
      </c>
      <c r="U263" s="3">
        <v>127</v>
      </c>
      <c r="V263" s="3" t="str">
        <f>IFERROR(MID(VLOOKUP($B263,Seqs!$A:$B,2,0),W263,1),"")</f>
        <v>H</v>
      </c>
      <c r="W263" s="3">
        <v>162</v>
      </c>
      <c r="X263" s="3" t="str">
        <f>IFERROR(MID(VLOOKUP($B263,Seqs!$A:$B,2,0),Y263,1),"")</f>
        <v>P</v>
      </c>
      <c r="Y263" s="3">
        <v>163</v>
      </c>
      <c r="Z263" s="3" t="str">
        <f>IFERROR(MID(VLOOKUP($B263,Seqs!$A:$B,2,0),AA263,1),"")</f>
        <v>R</v>
      </c>
      <c r="AA263" s="3">
        <v>170</v>
      </c>
      <c r="AB263" s="3" t="str">
        <f>IFERROR(MID(VLOOKUP($B263,Seqs!$A:$B,2,0),AC263,1),"")</f>
        <v>T</v>
      </c>
      <c r="AC263" s="3">
        <v>171</v>
      </c>
      <c r="AD263" s="3" t="str">
        <f>IFERROR(MID(VLOOKUP($B263,Seqs!$A:$B,2,0),AE263,1),"")</f>
        <v>G</v>
      </c>
      <c r="AE263" s="3">
        <v>197</v>
      </c>
      <c r="AF263" s="3" t="str">
        <f>IFERROR(MID(VLOOKUP($B263,Seqs!$A:$B,2,0),AG263,1),"")</f>
        <v>C</v>
      </c>
      <c r="AG263" s="3">
        <v>210</v>
      </c>
      <c r="AH263" s="3" t="str">
        <f>IFERROR(MID(VLOOKUP($B263,Seqs!$A:$B,2,0),AI263,1),"")</f>
        <v>L</v>
      </c>
      <c r="AI263" s="3">
        <v>212</v>
      </c>
      <c r="AJ263" s="3" t="str">
        <f>IFERROR(MID(VLOOKUP($B263,Seqs!$A:$B,2,0),AK263,1),"")</f>
        <v>W</v>
      </c>
      <c r="AK263" s="3">
        <v>221</v>
      </c>
      <c r="AL263" s="3" t="str">
        <f>IFERROR(MID(VLOOKUP($B263,Seqs!$A:$B,2,0),AM263,1),"")</f>
        <v>S</v>
      </c>
      <c r="AM263" s="3">
        <v>255</v>
      </c>
      <c r="AN263" s="3" t="str">
        <f>IFERROR(MID(VLOOKUP($B263,Seqs!$A:$B,2,0),AO263,1),"")</f>
        <v>S</v>
      </c>
      <c r="AO263" s="3">
        <v>262</v>
      </c>
      <c r="AP263" s="3" t="str">
        <f>IFERROR(MID(VLOOKUP($B263,Seqs!$A:$B,2,0),AQ263,1),"")</f>
        <v>G</v>
      </c>
      <c r="AQ263" s="3">
        <v>300</v>
      </c>
      <c r="AR263" s="3" t="str">
        <f>IFERROR(MID(VLOOKUP($B263,Seqs!$A:$B,2,0),AS263,1),"")</f>
        <v>S</v>
      </c>
      <c r="AS263" s="3">
        <v>305</v>
      </c>
      <c r="AT263" s="3" t="str">
        <f>IFERROR(MID(VLOOKUP($B263,Seqs!$A:$B,2,0),AU263,1),"")</f>
        <v>I</v>
      </c>
      <c r="AU263" s="3">
        <v>328</v>
      </c>
      <c r="AV263" s="3" t="str">
        <f>IFERROR(MID(VLOOKUP($B263,Seqs!$A:$B,2,0),AW263,1),"")</f>
        <v/>
      </c>
      <c r="AW263" s="3" t="s">
        <v>23</v>
      </c>
      <c r="AX263" s="3" t="str">
        <f>IFERROR(MID(VLOOKUP($B263,Seqs!$A:$B,2,0),AY263,1),"")</f>
        <v/>
      </c>
      <c r="AY263" s="3" t="s">
        <v>23</v>
      </c>
      <c r="AZ263" s="77" t="str">
        <f>VLOOKUP(B263,Classification!A:D,2,0)</f>
        <v>A</v>
      </c>
      <c r="BA263" s="94" t="str">
        <f>VLOOKUP(B263,Classification!A:D,4,0)</f>
        <v>Opioid</v>
      </c>
      <c r="BB263" s="27" t="b">
        <f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>_xlfn.AGGREGATE(9,6,CH263:CS263)-_xlfn.AGGREGATE(9,6,BV263:CG263)+12</f>
        <v>240</v>
      </c>
      <c r="BD263" s="2" t="s">
        <v>1375</v>
      </c>
      <c r="BE263" s="3" t="s">
        <v>1291</v>
      </c>
      <c r="BF263" s="118">
        <v>3.1</v>
      </c>
      <c r="BG263" s="49" t="s">
        <v>1</v>
      </c>
      <c r="BH263" s="49" t="s">
        <v>1</v>
      </c>
      <c r="BI263" s="1"/>
      <c r="BJ263" s="70" t="s">
        <v>1287</v>
      </c>
      <c r="BK263" s="57" t="s">
        <v>1287</v>
      </c>
      <c r="BL263" s="57" t="s">
        <v>1287</v>
      </c>
      <c r="BM263" s="57" t="s">
        <v>1287</v>
      </c>
      <c r="BN263" s="57" t="s">
        <v>1287</v>
      </c>
      <c r="BO263" s="57" t="s">
        <v>1287</v>
      </c>
      <c r="BP263" s="57" t="s">
        <v>1287</v>
      </c>
      <c r="BQ263" s="57" t="s">
        <v>1287</v>
      </c>
      <c r="BR263" s="57" t="s">
        <v>1287</v>
      </c>
      <c r="BS263" s="57" t="s">
        <v>1287</v>
      </c>
      <c r="BT263" s="57" t="s">
        <v>1287</v>
      </c>
      <c r="BU263" s="57" t="s">
        <v>1287</v>
      </c>
      <c r="BV263" s="70">
        <f>E263</f>
        <v>57</v>
      </c>
      <c r="BW263" s="71" t="str">
        <f>I263</f>
        <v>-</v>
      </c>
      <c r="BX263" s="72">
        <f>M263</f>
        <v>92</v>
      </c>
      <c r="BY263" s="71">
        <f>Q263</f>
        <v>123</v>
      </c>
      <c r="BZ263" s="72">
        <f>U263</f>
        <v>127</v>
      </c>
      <c r="CA263" s="71">
        <f>Y263</f>
        <v>163</v>
      </c>
      <c r="CB263" s="72">
        <f>AC263</f>
        <v>171</v>
      </c>
      <c r="CC263" s="71">
        <f>AG263</f>
        <v>210</v>
      </c>
      <c r="CD263" s="72">
        <f>AK263</f>
        <v>221</v>
      </c>
      <c r="CE263" s="71">
        <f>AO263</f>
        <v>262</v>
      </c>
      <c r="CF263" s="72">
        <f>AS263</f>
        <v>305</v>
      </c>
      <c r="CG263" s="71" t="str">
        <f>AW263</f>
        <v>-</v>
      </c>
      <c r="CH263" s="70">
        <f>G263</f>
        <v>87</v>
      </c>
      <c r="CI263" s="71" t="str">
        <f>K263</f>
        <v>-</v>
      </c>
      <c r="CJ263" s="72">
        <f>O263</f>
        <v>122</v>
      </c>
      <c r="CK263" s="72">
        <f>S263</f>
        <v>126</v>
      </c>
      <c r="CL263" s="72">
        <f>W263</f>
        <v>162</v>
      </c>
      <c r="CM263" s="72">
        <f>AA263</f>
        <v>170</v>
      </c>
      <c r="CN263" s="72">
        <f>AE263</f>
        <v>197</v>
      </c>
      <c r="CO263" s="72">
        <f>AI263</f>
        <v>212</v>
      </c>
      <c r="CP263" s="72">
        <f>AM263</f>
        <v>255</v>
      </c>
      <c r="CQ263" s="72">
        <f>AQ263</f>
        <v>300</v>
      </c>
      <c r="CR263" s="72">
        <f>AU263</f>
        <v>328</v>
      </c>
      <c r="CS263" s="72" t="str">
        <f>AY263</f>
        <v>-</v>
      </c>
      <c r="CT263" s="23" t="e">
        <f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30" x14ac:dyDescent="0.2">
      <c r="A264" s="3" t="str">
        <f t="shared" si="1424"/>
        <v>oprm_mouse__wt</v>
      </c>
      <c r="B264" s="3" t="s">
        <v>917</v>
      </c>
      <c r="C264" s="3" t="s">
        <v>100</v>
      </c>
      <c r="D264" s="3" t="str">
        <f>IFERROR(MID(VLOOKUP($B264,Seqs!$A:$B,2,0),E264,1),"")</f>
        <v>M</v>
      </c>
      <c r="E264" s="3">
        <v>65</v>
      </c>
      <c r="F264" s="3" t="str">
        <f>IFERROR(MID(VLOOKUP($B264,Seqs!$A:$B,2,0),G264,1),"")</f>
        <v>Y</v>
      </c>
      <c r="G264" s="3">
        <v>96</v>
      </c>
      <c r="H264" s="3" t="str">
        <f>IFERROR(MID(VLOOKUP($B264,Seqs!$A:$B,2,0),I264,1),"")</f>
        <v>T</v>
      </c>
      <c r="I264" s="23">
        <v>97</v>
      </c>
      <c r="J264" s="3" t="str">
        <f>IFERROR(MID(VLOOKUP($B264,Seqs!$A:$B,2,0),K264,1),"")</f>
        <v>K</v>
      </c>
      <c r="K264" s="23">
        <v>100</v>
      </c>
      <c r="L264" s="3" t="str">
        <f>IFERROR(MID(VLOOKUP($B264,Seqs!$A:$B,2,0),M264,1),"")</f>
        <v>T</v>
      </c>
      <c r="M264" s="3">
        <v>101</v>
      </c>
      <c r="N264" s="3" t="str">
        <f>IFERROR(MID(VLOOKUP($B264,Seqs!$A:$B,2,0),O264,1),"")</f>
        <v>M</v>
      </c>
      <c r="O264" s="3">
        <v>130</v>
      </c>
      <c r="P264" s="3" t="str">
        <f>IFERROR(MID(VLOOKUP($B264,Seqs!$A:$B,2,0),Q264,1),"")</f>
        <v>T</v>
      </c>
      <c r="Q264" s="3">
        <v>132</v>
      </c>
      <c r="R264" s="3" t="str">
        <f>IFERROR(MID(VLOOKUP($B264,Seqs!$A:$B,2,0),S264,1),"")</f>
        <v>F</v>
      </c>
      <c r="S264" s="3">
        <v>135</v>
      </c>
      <c r="T264" s="3" t="str">
        <f>IFERROR(MID(VLOOKUP($B264,Seqs!$A:$B,2,0),U264,1),"")</f>
        <v>G</v>
      </c>
      <c r="U264" s="3">
        <v>136</v>
      </c>
      <c r="V264" s="3" t="str">
        <f>IFERROR(MID(VLOOKUP($B264,Seqs!$A:$B,2,0),W264,1),"")</f>
        <v>H</v>
      </c>
      <c r="W264" s="3">
        <v>171</v>
      </c>
      <c r="X264" s="3" t="str">
        <f>IFERROR(MID(VLOOKUP($B264,Seqs!$A:$B,2,0),Y264,1),"")</f>
        <v>P</v>
      </c>
      <c r="Y264" s="3">
        <v>172</v>
      </c>
      <c r="Z264" s="3" t="str">
        <f>IFERROR(MID(VLOOKUP($B264,Seqs!$A:$B,2,0),AA264,1),"")</f>
        <v>R</v>
      </c>
      <c r="AA264" s="3">
        <v>179</v>
      </c>
      <c r="AB264" s="3" t="str">
        <f>IFERROR(MID(VLOOKUP($B264,Seqs!$A:$B,2,0),AC264,1),"")</f>
        <v>T</v>
      </c>
      <c r="AC264" s="3">
        <v>180</v>
      </c>
      <c r="AD264" s="3" t="str">
        <f>IFERROR(MID(VLOOKUP($B264,Seqs!$A:$B,2,0),AE264,1),"")</f>
        <v>A</v>
      </c>
      <c r="AE264" s="3">
        <v>206</v>
      </c>
      <c r="AF264" s="3" t="str">
        <f>IFERROR(MID(VLOOKUP($B264,Seqs!$A:$B,2,0),AG264,1),"")</f>
        <v>C</v>
      </c>
      <c r="AG264" s="3">
        <v>217</v>
      </c>
      <c r="AH264" s="3" t="str">
        <f>IFERROR(MID(VLOOKUP($B264,Seqs!$A:$B,2,0),AI264,1),"")</f>
        <v>L</v>
      </c>
      <c r="AI264" s="3">
        <v>219</v>
      </c>
      <c r="AJ264" s="3" t="str">
        <f>IFERROR(MID(VLOOKUP($B264,Seqs!$A:$B,2,0),AK264,1),"")</f>
        <v>T</v>
      </c>
      <c r="AK264" s="3">
        <v>225</v>
      </c>
      <c r="AL264" s="3" t="str">
        <f>IFERROR(MID(VLOOKUP($B264,Seqs!$A:$B,2,0),AM264,1),"")</f>
        <v>V</v>
      </c>
      <c r="AM264" s="3">
        <v>262</v>
      </c>
      <c r="AN264" s="3" t="str">
        <f>IFERROR(MID(VLOOKUP($B264,Seqs!$A:$B,2,0),AO264,1),"")</f>
        <v>S</v>
      </c>
      <c r="AO264" s="3">
        <v>268</v>
      </c>
      <c r="AP264" s="3" t="str">
        <f>IFERROR(MID(VLOOKUP($B264,Seqs!$A:$B,2,0),AQ264,1),"")</f>
        <v>I</v>
      </c>
      <c r="AQ264" s="3">
        <v>306</v>
      </c>
      <c r="AR264" s="3" t="str">
        <f>IFERROR(MID(VLOOKUP($B264,Seqs!$A:$B,2,0),AS264,1),"")</f>
        <v>T</v>
      </c>
      <c r="AS264" s="3">
        <v>311</v>
      </c>
      <c r="AT264" s="3" t="str">
        <f>IFERROR(MID(VLOOKUP($B264,Seqs!$A:$B,2,0),AU264,1),"")</f>
        <v>L</v>
      </c>
      <c r="AU264" s="3">
        <v>339</v>
      </c>
      <c r="AV264" s="3" t="str">
        <f>IFERROR(MID(VLOOKUP($B264,Seqs!$A:$B,2,0),AW264,1),"")</f>
        <v>D</v>
      </c>
      <c r="AW264" s="3">
        <v>340</v>
      </c>
      <c r="AX264" s="3" t="str">
        <f>IFERROR(MID(VLOOKUP($B264,Seqs!$A:$B,2,0),AY264,1),"")</f>
        <v>I</v>
      </c>
      <c r="AY264" s="3">
        <v>352</v>
      </c>
      <c r="AZ264" s="77" t="str">
        <f>VLOOKUP(B264,Classification!A:D,2,0)</f>
        <v>A</v>
      </c>
      <c r="BA264" s="94" t="str">
        <f>VLOOKUP(B264,Classification!A:D,4,0)</f>
        <v>Opioid</v>
      </c>
      <c r="BB264" s="27" t="b">
        <f t="shared" si="1425"/>
        <v>1</v>
      </c>
      <c r="BC264" s="23">
        <f t="shared" si="1398"/>
        <v>263</v>
      </c>
      <c r="BD264" s="56" t="s">
        <v>23</v>
      </c>
      <c r="BE264" s="3" t="s">
        <v>23</v>
      </c>
      <c r="BF264" s="118" t="s">
        <v>23</v>
      </c>
      <c r="BG264" s="49" t="s">
        <v>1372</v>
      </c>
      <c r="BH264" s="49" t="s">
        <v>1377</v>
      </c>
      <c r="BI264" s="1"/>
      <c r="BJ264" s="70" t="s">
        <v>1287</v>
      </c>
      <c r="BK264" s="57" t="s">
        <v>1287</v>
      </c>
      <c r="BL264" s="57" t="s">
        <v>1287</v>
      </c>
      <c r="BM264" s="57" t="s">
        <v>1287</v>
      </c>
      <c r="BN264" s="57" t="s">
        <v>1287</v>
      </c>
      <c r="BO264" s="57" t="s">
        <v>1287</v>
      </c>
      <c r="BP264" s="57" t="s">
        <v>1287</v>
      </c>
      <c r="BQ264" s="57" t="s">
        <v>1287</v>
      </c>
      <c r="BR264" s="57" t="s">
        <v>1287</v>
      </c>
      <c r="BS264" s="57" t="s">
        <v>1287</v>
      </c>
      <c r="BT264" s="57" t="s">
        <v>1287</v>
      </c>
      <c r="BU264" s="57" t="s">
        <v>1287</v>
      </c>
      <c r="BV264" s="70">
        <f t="shared" si="1399"/>
        <v>65</v>
      </c>
      <c r="BW264" s="71">
        <f t="shared" si="1400"/>
        <v>97</v>
      </c>
      <c r="BX264" s="72">
        <f t="shared" si="1401"/>
        <v>101</v>
      </c>
      <c r="BY264" s="71">
        <f t="shared" si="1402"/>
        <v>132</v>
      </c>
      <c r="BZ264" s="72">
        <f t="shared" si="1403"/>
        <v>136</v>
      </c>
      <c r="CA264" s="71">
        <f t="shared" si="1404"/>
        <v>172</v>
      </c>
      <c r="CB264" s="72">
        <f t="shared" si="1405"/>
        <v>180</v>
      </c>
      <c r="CC264" s="71">
        <f t="shared" si="1406"/>
        <v>217</v>
      </c>
      <c r="CD264" s="72">
        <f t="shared" si="1407"/>
        <v>225</v>
      </c>
      <c r="CE264" s="71">
        <f t="shared" si="1408"/>
        <v>268</v>
      </c>
      <c r="CF264" s="72">
        <f t="shared" si="1409"/>
        <v>311</v>
      </c>
      <c r="CG264" s="71">
        <f t="shared" si="1410"/>
        <v>340</v>
      </c>
      <c r="CH264" s="70">
        <f t="shared" si="1411"/>
        <v>96</v>
      </c>
      <c r="CI264" s="71">
        <f t="shared" si="1412"/>
        <v>100</v>
      </c>
      <c r="CJ264" s="72">
        <f t="shared" si="1413"/>
        <v>130</v>
      </c>
      <c r="CK264" s="72">
        <f t="shared" si="1414"/>
        <v>135</v>
      </c>
      <c r="CL264" s="72">
        <f t="shared" si="1415"/>
        <v>171</v>
      </c>
      <c r="CM264" s="72">
        <f t="shared" si="1416"/>
        <v>179</v>
      </c>
      <c r="CN264" s="72">
        <f t="shared" si="1417"/>
        <v>206</v>
      </c>
      <c r="CO264" s="72">
        <f t="shared" si="1418"/>
        <v>219</v>
      </c>
      <c r="CP264" s="72">
        <f t="shared" si="1419"/>
        <v>262</v>
      </c>
      <c r="CQ264" s="72">
        <f t="shared" si="1420"/>
        <v>306</v>
      </c>
      <c r="CR264" s="72">
        <f t="shared" si="1421"/>
        <v>339</v>
      </c>
      <c r="CS264" s="72">
        <f t="shared" si="1422"/>
        <v>352</v>
      </c>
      <c r="CT264" s="23">
        <f t="shared" si="1423"/>
        <v>1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30" x14ac:dyDescent="0.2">
      <c r="A265" s="3" t="str">
        <f t="shared" si="1424"/>
        <v>oprm_mouse_4DKL</v>
      </c>
      <c r="B265" s="3" t="s">
        <v>917</v>
      </c>
      <c r="C265" s="3" t="s">
        <v>65</v>
      </c>
      <c r="D265" s="3" t="str">
        <f>IFERROR(MID(VLOOKUP($B265,Seqs!$A:$B,2,0),E265,1),"")</f>
        <v>M</v>
      </c>
      <c r="E265" s="3">
        <v>65</v>
      </c>
      <c r="F265" s="3" t="str">
        <f>IFERROR(MID(VLOOKUP($B265,Seqs!$A:$B,2,0),G265,1),"")</f>
        <v>Y</v>
      </c>
      <c r="G265" s="3">
        <v>96</v>
      </c>
      <c r="H265" s="3" t="str">
        <f>IFERROR(MID(VLOOKUP($B265,Seqs!$A:$B,2,0),I265,1),"")</f>
        <v>T</v>
      </c>
      <c r="I265" s="23">
        <v>97</v>
      </c>
      <c r="J265" s="3" t="str">
        <f>IFERROR(MID(VLOOKUP($B265,Seqs!$A:$B,2,0),K265,1),"")</f>
        <v>K</v>
      </c>
      <c r="K265" s="23">
        <v>100</v>
      </c>
      <c r="L265" s="3" t="str">
        <f>IFERROR(MID(VLOOKUP($B265,Seqs!$A:$B,2,0),M265,1),"")</f>
        <v>T</v>
      </c>
      <c r="M265" s="3">
        <v>101</v>
      </c>
      <c r="N265" s="3" t="str">
        <f>IFERROR(MID(VLOOKUP($B265,Seqs!$A:$B,2,0),O265,1),"")</f>
        <v>M</v>
      </c>
      <c r="O265" s="3">
        <v>130</v>
      </c>
      <c r="P265" s="3" t="str">
        <f>IFERROR(MID(VLOOKUP($B265,Seqs!$A:$B,2,0),Q265,1),"")</f>
        <v>T</v>
      </c>
      <c r="Q265" s="3">
        <v>132</v>
      </c>
      <c r="R265" s="3" t="str">
        <f>IFERROR(MID(VLOOKUP($B265,Seqs!$A:$B,2,0),S265,1),"")</f>
        <v>F</v>
      </c>
      <c r="S265" s="3">
        <v>135</v>
      </c>
      <c r="T265" s="3" t="str">
        <f>IFERROR(MID(VLOOKUP($B265,Seqs!$A:$B,2,0),U265,1),"")</f>
        <v>G</v>
      </c>
      <c r="U265" s="3">
        <v>136</v>
      </c>
      <c r="V265" s="3" t="str">
        <f>IFERROR(MID(VLOOKUP($B265,Seqs!$A:$B,2,0),W265,1),"")</f>
        <v>H</v>
      </c>
      <c r="W265" s="3">
        <v>171</v>
      </c>
      <c r="X265" s="3" t="str">
        <f>IFERROR(MID(VLOOKUP($B265,Seqs!$A:$B,2,0),Y265,1),"")</f>
        <v>P</v>
      </c>
      <c r="Y265" s="3">
        <v>172</v>
      </c>
      <c r="Z265" s="3" t="str">
        <f>IFERROR(MID(VLOOKUP($B265,Seqs!$A:$B,2,0),AA265,1),"")</f>
        <v>R</v>
      </c>
      <c r="AA265" s="3">
        <v>179</v>
      </c>
      <c r="AB265" s="3" t="str">
        <f>IFERROR(MID(VLOOKUP($B265,Seqs!$A:$B,2,0),AC265,1),"")</f>
        <v>T</v>
      </c>
      <c r="AC265" s="3">
        <v>180</v>
      </c>
      <c r="AD265" s="3" t="str">
        <f>IFERROR(MID(VLOOKUP($B265,Seqs!$A:$B,2,0),AE265,1),"")</f>
        <v>A</v>
      </c>
      <c r="AE265" s="3">
        <v>206</v>
      </c>
      <c r="AF265" s="3" t="str">
        <f>IFERROR(MID(VLOOKUP($B265,Seqs!$A:$B,2,0),AG265,1),"")</f>
        <v>C</v>
      </c>
      <c r="AG265" s="3">
        <v>217</v>
      </c>
      <c r="AH265" s="3" t="str">
        <f>IFERROR(MID(VLOOKUP($B265,Seqs!$A:$B,2,0),AI265,1),"")</f>
        <v>L</v>
      </c>
      <c r="AI265" s="3">
        <v>219</v>
      </c>
      <c r="AJ265" s="3" t="str">
        <f>IFERROR(MID(VLOOKUP($B265,Seqs!$A:$B,2,0),AK265,1),"")</f>
        <v>T</v>
      </c>
      <c r="AK265" s="3">
        <v>225</v>
      </c>
      <c r="AL265" s="3" t="str">
        <f>IFERROR(MID(VLOOKUP($B265,Seqs!$A:$B,2,0),AM265,1),"")</f>
        <v>L</v>
      </c>
      <c r="AM265" s="3">
        <v>257</v>
      </c>
      <c r="AN265" s="3" t="str">
        <f>IFERROR(MID(VLOOKUP($B265,Seqs!$A:$B,2,0),AO265,1),"")</f>
        <v>N</v>
      </c>
      <c r="AO265" s="3">
        <v>274</v>
      </c>
      <c r="AP265" s="3" t="str">
        <f>IFERROR(MID(VLOOKUP($B265,Seqs!$A:$B,2,0),AQ265,1),"")</f>
        <v>I</v>
      </c>
      <c r="AQ265" s="3">
        <v>306</v>
      </c>
      <c r="AR265" s="3" t="str">
        <f>IFERROR(MID(VLOOKUP($B265,Seqs!$A:$B,2,0),AS265,1),"")</f>
        <v>T</v>
      </c>
      <c r="AS265" s="3">
        <v>311</v>
      </c>
      <c r="AT265" s="3" t="str">
        <f>IFERROR(MID(VLOOKUP($B265,Seqs!$A:$B,2,0),AU265,1),"")</f>
        <v>L</v>
      </c>
      <c r="AU265" s="3">
        <v>339</v>
      </c>
      <c r="AV265" s="3" t="str">
        <f>IFERROR(MID(VLOOKUP($B265,Seqs!$A:$B,2,0),AW265,1),"")</f>
        <v>D</v>
      </c>
      <c r="AW265" s="3">
        <v>340</v>
      </c>
      <c r="AX265" s="3" t="str">
        <f>IFERROR(MID(VLOOKUP($B265,Seqs!$A:$B,2,0),AY265,1),"")</f>
        <v>I</v>
      </c>
      <c r="AY265" s="3">
        <v>352</v>
      </c>
      <c r="AZ265" s="77" t="str">
        <f>VLOOKUP(B265,Classification!A:D,2,0)</f>
        <v>A</v>
      </c>
      <c r="BA265" s="94" t="str">
        <f>VLOOKUP(B265,Classification!A:D,4,0)</f>
        <v>Opioid</v>
      </c>
      <c r="BB265" s="27" t="b">
        <f t="shared" si="1425"/>
        <v>1</v>
      </c>
      <c r="BC265" s="23">
        <f t="shared" si="1398"/>
        <v>252</v>
      </c>
      <c r="BD265" s="2" t="s">
        <v>1376</v>
      </c>
      <c r="BE265" s="3" t="s">
        <v>1374</v>
      </c>
      <c r="BF265" s="118">
        <v>2.8</v>
      </c>
      <c r="BG265" s="49" t="s">
        <v>1377</v>
      </c>
      <c r="BH265" s="49" t="s">
        <v>1377</v>
      </c>
      <c r="BI265" s="1"/>
      <c r="BJ265" s="70" t="s">
        <v>1287</v>
      </c>
      <c r="BK265" s="57" t="s">
        <v>1287</v>
      </c>
      <c r="BL265" s="57" t="s">
        <v>1287</v>
      </c>
      <c r="BM265" s="57" t="s">
        <v>1287</v>
      </c>
      <c r="BN265" s="57" t="s">
        <v>1287</v>
      </c>
      <c r="BO265" s="57" t="s">
        <v>1287</v>
      </c>
      <c r="BP265" s="57" t="s">
        <v>1287</v>
      </c>
      <c r="BQ265" s="57" t="s">
        <v>1287</v>
      </c>
      <c r="BR265" s="57" t="s">
        <v>1287</v>
      </c>
      <c r="BS265" s="57" t="s">
        <v>1287</v>
      </c>
      <c r="BT265" s="57" t="s">
        <v>1287</v>
      </c>
      <c r="BU265" s="57" t="s">
        <v>1287</v>
      </c>
      <c r="BV265" s="70">
        <f t="shared" si="1399"/>
        <v>65</v>
      </c>
      <c r="BW265" s="71">
        <f t="shared" si="1400"/>
        <v>97</v>
      </c>
      <c r="BX265" s="72">
        <f t="shared" si="1401"/>
        <v>101</v>
      </c>
      <c r="BY265" s="71">
        <f t="shared" si="1402"/>
        <v>132</v>
      </c>
      <c r="BZ265" s="72">
        <f t="shared" si="1403"/>
        <v>136</v>
      </c>
      <c r="CA265" s="71">
        <f t="shared" si="1404"/>
        <v>172</v>
      </c>
      <c r="CB265" s="72">
        <f t="shared" si="1405"/>
        <v>180</v>
      </c>
      <c r="CC265" s="71">
        <f t="shared" si="1406"/>
        <v>217</v>
      </c>
      <c r="CD265" s="72">
        <f t="shared" si="1407"/>
        <v>225</v>
      </c>
      <c r="CE265" s="71">
        <f t="shared" si="1408"/>
        <v>274</v>
      </c>
      <c r="CF265" s="72">
        <f t="shared" si="1409"/>
        <v>311</v>
      </c>
      <c r="CG265" s="71">
        <f t="shared" si="1410"/>
        <v>340</v>
      </c>
      <c r="CH265" s="70">
        <f t="shared" si="1411"/>
        <v>96</v>
      </c>
      <c r="CI265" s="71">
        <f t="shared" si="1412"/>
        <v>100</v>
      </c>
      <c r="CJ265" s="72">
        <f t="shared" si="1413"/>
        <v>130</v>
      </c>
      <c r="CK265" s="72">
        <f t="shared" si="1414"/>
        <v>135</v>
      </c>
      <c r="CL265" s="72">
        <f t="shared" si="1415"/>
        <v>171</v>
      </c>
      <c r="CM265" s="72">
        <f t="shared" si="1416"/>
        <v>179</v>
      </c>
      <c r="CN265" s="72">
        <f t="shared" si="1417"/>
        <v>206</v>
      </c>
      <c r="CO265" s="72">
        <f t="shared" si="1418"/>
        <v>219</v>
      </c>
      <c r="CP265" s="72">
        <f t="shared" si="1419"/>
        <v>257</v>
      </c>
      <c r="CQ265" s="72">
        <f t="shared" si="1420"/>
        <v>306</v>
      </c>
      <c r="CR265" s="72">
        <f t="shared" si="1421"/>
        <v>339</v>
      </c>
      <c r="CS265" s="72">
        <f t="shared" si="1422"/>
        <v>352</v>
      </c>
      <c r="CT265" s="23">
        <f t="shared" si="1423"/>
        <v>1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30" x14ac:dyDescent="0.2">
      <c r="A266" s="3" t="str">
        <f t="shared" si="1424"/>
        <v>oprm_mouse_5C1M</v>
      </c>
      <c r="B266" s="3" t="s">
        <v>917</v>
      </c>
      <c r="C266" s="3" t="s">
        <v>84</v>
      </c>
      <c r="D266" s="3" t="str">
        <f>IFERROR(MID(VLOOKUP($B266,Seqs!$A:$B,2,0),E266,1),"")</f>
        <v>M</v>
      </c>
      <c r="E266" s="3">
        <v>65</v>
      </c>
      <c r="F266" s="3" t="str">
        <f>IFERROR(MID(VLOOKUP($B266,Seqs!$A:$B,2,0),G266,1),"")</f>
        <v>Y</v>
      </c>
      <c r="G266" s="3">
        <v>96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T</v>
      </c>
      <c r="M266" s="3">
        <v>101</v>
      </c>
      <c r="N266" s="3" t="str">
        <f>IFERROR(MID(VLOOKUP($B266,Seqs!$A:$B,2,0),O266,1),"")</f>
        <v>M</v>
      </c>
      <c r="O266" s="3">
        <v>130</v>
      </c>
      <c r="P266" s="3" t="str">
        <f>IFERROR(MID(VLOOKUP($B266,Seqs!$A:$B,2,0),Q266,1),"")</f>
        <v>T</v>
      </c>
      <c r="Q266" s="3">
        <v>132</v>
      </c>
      <c r="R266" s="3" t="str">
        <f>IFERROR(MID(VLOOKUP($B266,Seqs!$A:$B,2,0),S266,1),"")</f>
        <v>F</v>
      </c>
      <c r="S266" s="3">
        <v>135</v>
      </c>
      <c r="T266" s="3" t="str">
        <f>IFERROR(MID(VLOOKUP($B266,Seqs!$A:$B,2,0),U266,1),"")</f>
        <v>G</v>
      </c>
      <c r="U266" s="3">
        <v>136</v>
      </c>
      <c r="V266" s="3" t="str">
        <f>IFERROR(MID(VLOOKUP($B266,Seqs!$A:$B,2,0),W266,1),"")</f>
        <v>H</v>
      </c>
      <c r="W266" s="3">
        <v>171</v>
      </c>
      <c r="X266" s="3" t="str">
        <f>IFERROR(MID(VLOOKUP($B266,Seqs!$A:$B,2,0),Y266,1),"")</f>
        <v>P</v>
      </c>
      <c r="Y266" s="3">
        <v>172</v>
      </c>
      <c r="Z266" s="3" t="str">
        <f>IFERROR(MID(VLOOKUP($B266,Seqs!$A:$B,2,0),AA266,1),"")</f>
        <v>R</v>
      </c>
      <c r="AA266" s="3">
        <v>179</v>
      </c>
      <c r="AB266" s="3" t="str">
        <f>IFERROR(MID(VLOOKUP($B266,Seqs!$A:$B,2,0),AC266,1),"")</f>
        <v>T</v>
      </c>
      <c r="AC266" s="3">
        <v>180</v>
      </c>
      <c r="AD266" s="3" t="str">
        <f>IFERROR(MID(VLOOKUP($B266,Seqs!$A:$B,2,0),AE266,1),"")</f>
        <v>A</v>
      </c>
      <c r="AE266" s="3">
        <v>206</v>
      </c>
      <c r="AF266" s="3" t="str">
        <f>IFERROR(MID(VLOOKUP($B266,Seqs!$A:$B,2,0),AG266,1),"")</f>
        <v>C</v>
      </c>
      <c r="AG266" s="3">
        <v>217</v>
      </c>
      <c r="AH266" s="3" t="str">
        <f>IFERROR(MID(VLOOKUP($B266,Seqs!$A:$B,2,0),AI266,1),"")</f>
        <v>L</v>
      </c>
      <c r="AI266" s="3">
        <v>219</v>
      </c>
      <c r="AJ266" s="3" t="str">
        <f>IFERROR(MID(VLOOKUP($B266,Seqs!$A:$B,2,0),AK266,1),"")</f>
        <v>T</v>
      </c>
      <c r="AK266" s="3">
        <v>225</v>
      </c>
      <c r="AL266" s="3" t="str">
        <f>IFERROR(MID(VLOOKUP($B266,Seqs!$A:$B,2,0),AM266,1),"")</f>
        <v>V</v>
      </c>
      <c r="AM266" s="3">
        <v>262</v>
      </c>
      <c r="AN266" s="3" t="str">
        <f>IFERROR(MID(VLOOKUP($B266,Seqs!$A:$B,2,0),AO266,1),"")</f>
        <v>S</v>
      </c>
      <c r="AO266" s="3">
        <v>268</v>
      </c>
      <c r="AP266" s="3" t="str">
        <f>IFERROR(MID(VLOOKUP($B266,Seqs!$A:$B,2,0),AQ266,1),"")</f>
        <v>I</v>
      </c>
      <c r="AQ266" s="3">
        <v>306</v>
      </c>
      <c r="AR266" s="3" t="str">
        <f>IFERROR(MID(VLOOKUP($B266,Seqs!$A:$B,2,0),AS266,1),"")</f>
        <v>T</v>
      </c>
      <c r="AS266" s="3">
        <v>311</v>
      </c>
      <c r="AT266" s="3" t="str">
        <f>IFERROR(MID(VLOOKUP($B266,Seqs!$A:$B,2,0),AU266,1),"")</f>
        <v>P</v>
      </c>
      <c r="AU266" s="3">
        <v>333</v>
      </c>
      <c r="AV266" s="3" t="str">
        <f>IFERROR(MID(VLOOKUP($B266,Seqs!$A:$B,2,0),AW266,1),"")</f>
        <v/>
      </c>
      <c r="AW266" s="3" t="s">
        <v>23</v>
      </c>
      <c r="AX266" s="3" t="str">
        <f>IFERROR(MID(VLOOKUP($B266,Seqs!$A:$B,2,0),AY266,1),"")</f>
        <v/>
      </c>
      <c r="AY266" s="3" t="s">
        <v>23</v>
      </c>
      <c r="AZ266" s="77" t="str">
        <f>VLOOKUP(B266,Classification!A:D,2,0)</f>
        <v>A</v>
      </c>
      <c r="BA266" s="94" t="str">
        <f>VLOOKUP(B266,Classification!A:D,4,0)</f>
        <v>Opioid</v>
      </c>
      <c r="BB266" s="27" t="b">
        <f t="shared" si="1425"/>
        <v>1</v>
      </c>
      <c r="BC266" s="23">
        <f t="shared" si="1398"/>
        <v>242</v>
      </c>
      <c r="BD266" s="5" t="s">
        <v>1375</v>
      </c>
      <c r="BE266" s="3" t="s">
        <v>1291</v>
      </c>
      <c r="BF266" s="118">
        <v>2.1</v>
      </c>
      <c r="BG266" s="49" t="s">
        <v>1377</v>
      </c>
      <c r="BH266" s="49" t="s">
        <v>1377</v>
      </c>
      <c r="BI266" s="1"/>
      <c r="BJ266" s="70" t="s">
        <v>1287</v>
      </c>
      <c r="BK266" s="57" t="s">
        <v>1287</v>
      </c>
      <c r="BL266" s="57" t="s">
        <v>1287</v>
      </c>
      <c r="BM266" s="57" t="s">
        <v>1287</v>
      </c>
      <c r="BN266" s="57" t="s">
        <v>1287</v>
      </c>
      <c r="BO266" s="57" t="s">
        <v>1287</v>
      </c>
      <c r="BP266" s="57" t="s">
        <v>1287</v>
      </c>
      <c r="BQ266" s="57" t="s">
        <v>1287</v>
      </c>
      <c r="BR266" s="57" t="s">
        <v>1287</v>
      </c>
      <c r="BS266" s="57" t="s">
        <v>1287</v>
      </c>
      <c r="BT266" s="57" t="s">
        <v>1287</v>
      </c>
      <c r="BU266" s="57" t="s">
        <v>1287</v>
      </c>
      <c r="BV266" s="70">
        <f t="shared" si="1399"/>
        <v>65</v>
      </c>
      <c r="BW266" s="71" t="str">
        <f t="shared" si="1400"/>
        <v>-</v>
      </c>
      <c r="BX266" s="72">
        <f t="shared" si="1401"/>
        <v>101</v>
      </c>
      <c r="BY266" s="71">
        <f t="shared" si="1402"/>
        <v>132</v>
      </c>
      <c r="BZ266" s="72">
        <f t="shared" si="1403"/>
        <v>136</v>
      </c>
      <c r="CA266" s="71">
        <f t="shared" si="1404"/>
        <v>172</v>
      </c>
      <c r="CB266" s="72">
        <f t="shared" si="1405"/>
        <v>180</v>
      </c>
      <c r="CC266" s="71">
        <f t="shared" si="1406"/>
        <v>217</v>
      </c>
      <c r="CD266" s="72">
        <f t="shared" si="1407"/>
        <v>225</v>
      </c>
      <c r="CE266" s="71">
        <f t="shared" si="1408"/>
        <v>268</v>
      </c>
      <c r="CF266" s="72">
        <f t="shared" si="1409"/>
        <v>311</v>
      </c>
      <c r="CG266" s="71" t="str">
        <f t="shared" si="1410"/>
        <v>-</v>
      </c>
      <c r="CH266" s="70">
        <f t="shared" si="1411"/>
        <v>96</v>
      </c>
      <c r="CI266" s="71" t="str">
        <f t="shared" si="1412"/>
        <v>-</v>
      </c>
      <c r="CJ266" s="72">
        <f t="shared" si="1413"/>
        <v>130</v>
      </c>
      <c r="CK266" s="72">
        <f t="shared" si="1414"/>
        <v>135</v>
      </c>
      <c r="CL266" s="72">
        <f t="shared" si="1415"/>
        <v>171</v>
      </c>
      <c r="CM266" s="72">
        <f t="shared" si="1416"/>
        <v>179</v>
      </c>
      <c r="CN266" s="72">
        <f t="shared" si="1417"/>
        <v>206</v>
      </c>
      <c r="CO266" s="72">
        <f t="shared" si="1418"/>
        <v>219</v>
      </c>
      <c r="CP266" s="72">
        <f t="shared" si="1419"/>
        <v>262</v>
      </c>
      <c r="CQ266" s="72">
        <f t="shared" si="1420"/>
        <v>306</v>
      </c>
      <c r="CR266" s="72">
        <f t="shared" si="1421"/>
        <v>333</v>
      </c>
      <c r="CS266" s="72" t="str">
        <f t="shared" si="1422"/>
        <v>-</v>
      </c>
      <c r="CT266" s="23" t="e">
        <f t="shared" si="1423"/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30" x14ac:dyDescent="0.2">
      <c r="A267" s="3" t="str">
        <f>CONCATENATE(B267,"_",C267)</f>
        <v>oprm_mouse_6DDE</v>
      </c>
      <c r="B267" s="3" t="s">
        <v>917</v>
      </c>
      <c r="C267" s="3" t="s">
        <v>1500</v>
      </c>
      <c r="D267" s="3" t="str">
        <f>IFERROR(MID(VLOOKUP($B267,Seqs!$A:$B,2,0),E267,1),"")</f>
        <v>T</v>
      </c>
      <c r="E267" s="3">
        <v>67</v>
      </c>
      <c r="F267" s="3" t="str">
        <f>IFERROR(MID(VLOOKUP($B267,Seqs!$A:$B,2,0),G267,1),"")</f>
        <v>K</v>
      </c>
      <c r="G267" s="3">
        <v>98</v>
      </c>
      <c r="H267" s="3" t="str">
        <f>IFERROR(MID(VLOOKUP($B267,Seqs!$A:$B,2,0),I267,1),"")</f>
        <v/>
      </c>
      <c r="I267" s="23" t="s">
        <v>23</v>
      </c>
      <c r="J267" s="3" t="str">
        <f>IFERROR(MID(VLOOKUP($B267,Seqs!$A:$B,2,0),K267,1),"")</f>
        <v/>
      </c>
      <c r="K267" s="23" t="s">
        <v>23</v>
      </c>
      <c r="L267" s="3" t="str">
        <f>IFERROR(MID(VLOOKUP($B267,Seqs!$A:$B,2,0),M267,1),"")</f>
        <v>A</v>
      </c>
      <c r="M267" s="3">
        <v>102</v>
      </c>
      <c r="N267" s="3" t="str">
        <f>IFERROR(MID(VLOOKUP($B267,Seqs!$A:$B,2,0),O267,1),"")</f>
        <v>G</v>
      </c>
      <c r="O267" s="3">
        <v>131</v>
      </c>
      <c r="P267" s="3" t="str">
        <f>IFERROR(MID(VLOOKUP($B267,Seqs!$A:$B,2,0),Q267,1),"")</f>
        <v>T</v>
      </c>
      <c r="Q267" s="3">
        <v>132</v>
      </c>
      <c r="R267" s="3" t="str">
        <f>IFERROR(MID(VLOOKUP($B267,Seqs!$A:$B,2,0),S267,1),"")</f>
        <v>F</v>
      </c>
      <c r="S267" s="3">
        <v>135</v>
      </c>
      <c r="T267" s="3" t="str">
        <f>IFERROR(MID(VLOOKUP($B267,Seqs!$A:$B,2,0),U267,1),"")</f>
        <v>G</v>
      </c>
      <c r="U267" s="3">
        <v>136</v>
      </c>
      <c r="V267" s="3" t="str">
        <f>IFERROR(MID(VLOOKUP($B267,Seqs!$A:$B,2,0),W267,1),"")</f>
        <v>H</v>
      </c>
      <c r="W267" s="3">
        <v>171</v>
      </c>
      <c r="X267" s="3" t="str">
        <f>IFERROR(MID(VLOOKUP($B267,Seqs!$A:$B,2,0),Y267,1),"")</f>
        <v>P</v>
      </c>
      <c r="Y267" s="3">
        <v>172</v>
      </c>
      <c r="Z267" s="3" t="str">
        <f>IFERROR(MID(VLOOKUP($B267,Seqs!$A:$B,2,0),AA267,1),"")</f>
        <v>R</v>
      </c>
      <c r="AA267" s="3">
        <v>179</v>
      </c>
      <c r="AB267" s="3" t="str">
        <f>IFERROR(MID(VLOOKUP($B267,Seqs!$A:$B,2,0),AC267,1),"")</f>
        <v>T</v>
      </c>
      <c r="AC267" s="3">
        <v>180</v>
      </c>
      <c r="AD267" s="3" t="str">
        <f>IFERROR(MID(VLOOKUP($B267,Seqs!$A:$B,2,0),AE267,1),"")</f>
        <v>F</v>
      </c>
      <c r="AE267" s="3">
        <v>204</v>
      </c>
      <c r="AF267" s="3" t="str">
        <f>IFERROR(MID(VLOOKUP($B267,Seqs!$A:$B,2,0),AG267,1),"")</f>
        <v>C</v>
      </c>
      <c r="AG267" s="3">
        <v>217</v>
      </c>
      <c r="AH267" s="3" t="str">
        <f>IFERROR(MID(VLOOKUP($B267,Seqs!$A:$B,2,0),AI267,1),"")</f>
        <v>L</v>
      </c>
      <c r="AI267" s="3">
        <v>219</v>
      </c>
      <c r="AJ267" s="3" t="str">
        <f>IFERROR(MID(VLOOKUP($B267,Seqs!$A:$B,2,0),AK267,1),"")</f>
        <v>Y</v>
      </c>
      <c r="AK267" s="3">
        <v>227</v>
      </c>
      <c r="AL267" s="3" t="str">
        <f>IFERROR(MID(VLOOKUP($B267,Seqs!$A:$B,2,0),AM267,1),"")</f>
        <v>V</v>
      </c>
      <c r="AM267" s="3">
        <v>262</v>
      </c>
      <c r="AN267" s="3" t="str">
        <f>IFERROR(MID(VLOOKUP($B267,Seqs!$A:$B,2,0),AO267,1),"")</f>
        <v>S</v>
      </c>
      <c r="AO267" s="3">
        <v>268</v>
      </c>
      <c r="AP267" s="3" t="str">
        <f>IFERROR(MID(VLOOKUP($B267,Seqs!$A:$B,2,0),AQ267,1),"")</f>
        <v>I</v>
      </c>
      <c r="AQ267" s="3">
        <v>306</v>
      </c>
      <c r="AR267" s="3" t="str">
        <f>IFERROR(MID(VLOOKUP($B267,Seqs!$A:$B,2,0),AS267,1),"")</f>
        <v>F</v>
      </c>
      <c r="AS267" s="3">
        <v>313</v>
      </c>
      <c r="AT267" s="3" t="str">
        <f>IFERROR(MID(VLOOKUP($B267,Seqs!$A:$B,2,0),AU267,1),"")</f>
        <v>Y</v>
      </c>
      <c r="AU267" s="3">
        <v>336</v>
      </c>
      <c r="AV267" s="3" t="str">
        <f>IFERROR(MID(VLOOKUP($B267,Seqs!$A:$B,2,0),AW267,1),"")</f>
        <v/>
      </c>
      <c r="AW267" s="3" t="s">
        <v>23</v>
      </c>
      <c r="AX267" s="3" t="str">
        <f>IFERROR(MID(VLOOKUP($B267,Seqs!$A:$B,2,0),AY267,1),"")</f>
        <v/>
      </c>
      <c r="AY267" s="3" t="s">
        <v>23</v>
      </c>
      <c r="AZ267" s="77" t="str">
        <f>VLOOKUP(B267,Classification!A:D,2,0)</f>
        <v>A</v>
      </c>
      <c r="BA267" s="94" t="str">
        <f>VLOOKUP(B267,Classification!A:D,4,0)</f>
        <v>Opioid</v>
      </c>
      <c r="BB267" s="27" t="b">
        <f>AND(E267&lt;G267,OR(G267&lt;I267,I267="-"),OR(I267&lt;K267,I267="-"),OR(K267&lt;M267,K267="-"),M267&lt;O267,OR(O267&lt;Q267,Q267="-"),OR(Q267&lt;S267,Q267="-"),OR(S267&lt;U267,S267="-"),U267&lt;W267,OR(W267&lt;Y267,Y267="-"),OR(Y267&lt;AA267,Y267="-"),OR(AA267&lt;AC267,AA267="-"),AC267&lt;AE267,OR(AE267&lt;AG267,AG267="-"),OR(AG267&lt;AI267,AG267="-"),OR(AI267&lt;AK267,AI267="-"),AK267&lt;AM267,AM267&lt;AO267,AO267&lt;AQ267,AQ267&lt;AS267,AS267&lt;AU267,OR(AU267&lt;AW267,AW267="-"),OR(AW267&lt;AY267,AW267="-"))</f>
        <v>1</v>
      </c>
      <c r="BC267" s="23">
        <f>_xlfn.AGGREGATE(9,6,CH267:CS267)-_xlfn.AGGREGATE(9,6,BV267:CG267)+12</f>
        <v>239</v>
      </c>
      <c r="BD267" s="5" t="s">
        <v>23</v>
      </c>
      <c r="BE267" s="3" t="s">
        <v>1291</v>
      </c>
      <c r="BF267" s="118">
        <v>3.5</v>
      </c>
      <c r="BG267" s="49" t="s">
        <v>1422</v>
      </c>
      <c r="BH267" s="49" t="s">
        <v>1422</v>
      </c>
      <c r="BI267" s="1"/>
      <c r="BJ267" s="70" t="s">
        <v>1287</v>
      </c>
      <c r="BK267" s="57" t="s">
        <v>1287</v>
      </c>
      <c r="BL267" s="57" t="s">
        <v>1287</v>
      </c>
      <c r="BM267" s="57" t="s">
        <v>1287</v>
      </c>
      <c r="BN267" s="57" t="s">
        <v>1287</v>
      </c>
      <c r="BO267" s="57" t="s">
        <v>1287</v>
      </c>
      <c r="BP267" s="57" t="s">
        <v>1287</v>
      </c>
      <c r="BQ267" s="57" t="s">
        <v>1287</v>
      </c>
      <c r="BR267" s="57" t="s">
        <v>1287</v>
      </c>
      <c r="BS267" s="57" t="s">
        <v>1287</v>
      </c>
      <c r="BT267" s="57" t="s">
        <v>1287</v>
      </c>
      <c r="BU267" s="57" t="s">
        <v>1287</v>
      </c>
      <c r="BV267" s="70">
        <f>E267</f>
        <v>67</v>
      </c>
      <c r="BW267" s="71" t="str">
        <f>I267</f>
        <v>-</v>
      </c>
      <c r="BX267" s="72">
        <f>M267</f>
        <v>102</v>
      </c>
      <c r="BY267" s="71">
        <f>Q267</f>
        <v>132</v>
      </c>
      <c r="BZ267" s="72">
        <f>U267</f>
        <v>136</v>
      </c>
      <c r="CA267" s="71">
        <f>Y267</f>
        <v>172</v>
      </c>
      <c r="CB267" s="72">
        <f>AC267</f>
        <v>180</v>
      </c>
      <c r="CC267" s="71">
        <f>AG267</f>
        <v>217</v>
      </c>
      <c r="CD267" s="72">
        <f>AK267</f>
        <v>227</v>
      </c>
      <c r="CE267" s="71">
        <f>AO267</f>
        <v>268</v>
      </c>
      <c r="CF267" s="72">
        <f>AS267</f>
        <v>313</v>
      </c>
      <c r="CG267" s="71" t="str">
        <f>AW267</f>
        <v>-</v>
      </c>
      <c r="CH267" s="70">
        <f>G267</f>
        <v>98</v>
      </c>
      <c r="CI267" s="71" t="str">
        <f>K267</f>
        <v>-</v>
      </c>
      <c r="CJ267" s="72">
        <f>O267</f>
        <v>131</v>
      </c>
      <c r="CK267" s="72">
        <f>S267</f>
        <v>135</v>
      </c>
      <c r="CL267" s="72">
        <f>W267</f>
        <v>171</v>
      </c>
      <c r="CM267" s="72">
        <f>AA267</f>
        <v>179</v>
      </c>
      <c r="CN267" s="72">
        <f>AE267</f>
        <v>204</v>
      </c>
      <c r="CO267" s="72">
        <f>AI267</f>
        <v>219</v>
      </c>
      <c r="CP267" s="72">
        <f>AM267</f>
        <v>262</v>
      </c>
      <c r="CQ267" s="72">
        <f>AQ267</f>
        <v>306</v>
      </c>
      <c r="CR267" s="72">
        <f>AU267</f>
        <v>336</v>
      </c>
      <c r="CS267" s="72" t="str">
        <f>AY267</f>
        <v>-</v>
      </c>
      <c r="CT267" s="23" t="e">
        <f>M267-K267</f>
        <v>#VALUE!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30" x14ac:dyDescent="0.2">
      <c r="A268" s="3" t="str">
        <f>CONCATENATE(B268,"_",C268)</f>
        <v>oprm_mouse_6DDF</v>
      </c>
      <c r="B268" s="3" t="s">
        <v>917</v>
      </c>
      <c r="C268" s="3" t="s">
        <v>1501</v>
      </c>
      <c r="D268" s="3" t="str">
        <f>IFERROR(MID(VLOOKUP($B268,Seqs!$A:$B,2,0),E268,1),"")</f>
        <v>T</v>
      </c>
      <c r="E268" s="3">
        <v>67</v>
      </c>
      <c r="F268" s="3" t="str">
        <f>IFERROR(MID(VLOOKUP($B268,Seqs!$A:$B,2,0),G268,1),"")</f>
        <v>K</v>
      </c>
      <c r="G268" s="3">
        <v>98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A</v>
      </c>
      <c r="M268" s="3">
        <v>102</v>
      </c>
      <c r="N268" s="3" t="str">
        <f>IFERROR(MID(VLOOKUP($B268,Seqs!$A:$B,2,0),O268,1),"")</f>
        <v>G</v>
      </c>
      <c r="O268" s="3">
        <v>131</v>
      </c>
      <c r="P268" s="3" t="str">
        <f>IFERROR(MID(VLOOKUP($B268,Seqs!$A:$B,2,0),Q268,1),"")</f>
        <v>T</v>
      </c>
      <c r="Q268" s="3">
        <v>132</v>
      </c>
      <c r="R268" s="3" t="str">
        <f>IFERROR(MID(VLOOKUP($B268,Seqs!$A:$B,2,0),S268,1),"")</f>
        <v>F</v>
      </c>
      <c r="S268" s="3">
        <v>135</v>
      </c>
      <c r="T268" s="3" t="str">
        <f>IFERROR(MID(VLOOKUP($B268,Seqs!$A:$B,2,0),U268,1),"")</f>
        <v>G</v>
      </c>
      <c r="U268" s="3">
        <v>136</v>
      </c>
      <c r="V268" s="3" t="str">
        <f>IFERROR(MID(VLOOKUP($B268,Seqs!$A:$B,2,0),W268,1),"")</f>
        <v>H</v>
      </c>
      <c r="W268" s="3">
        <v>171</v>
      </c>
      <c r="X268" s="3" t="str">
        <f>IFERROR(MID(VLOOKUP($B268,Seqs!$A:$B,2,0),Y268,1),"")</f>
        <v>P</v>
      </c>
      <c r="Y268" s="3">
        <v>172</v>
      </c>
      <c r="Z268" s="3" t="str">
        <f>IFERROR(MID(VLOOKUP($B268,Seqs!$A:$B,2,0),AA268,1),"")</f>
        <v>R</v>
      </c>
      <c r="AA268" s="3">
        <v>179</v>
      </c>
      <c r="AB268" s="3" t="str">
        <f>IFERROR(MID(VLOOKUP($B268,Seqs!$A:$B,2,0),AC268,1),"")</f>
        <v>T</v>
      </c>
      <c r="AC268" s="3">
        <v>180</v>
      </c>
      <c r="AD268" s="3" t="str">
        <f>IFERROR(MID(VLOOKUP($B268,Seqs!$A:$B,2,0),AE268,1),"")</f>
        <v>F</v>
      </c>
      <c r="AE268" s="3">
        <v>204</v>
      </c>
      <c r="AF268" s="3" t="str">
        <f>IFERROR(MID(VLOOKUP($B268,Seqs!$A:$B,2,0),AG268,1),"")</f>
        <v>C</v>
      </c>
      <c r="AG268" s="3">
        <v>217</v>
      </c>
      <c r="AH268" s="3" t="str">
        <f>IFERROR(MID(VLOOKUP($B268,Seqs!$A:$B,2,0),AI268,1),"")</f>
        <v>L</v>
      </c>
      <c r="AI268" s="3">
        <v>219</v>
      </c>
      <c r="AJ268" s="3" t="str">
        <f>IFERROR(MID(VLOOKUP($B268,Seqs!$A:$B,2,0),AK268,1),"")</f>
        <v>Y</v>
      </c>
      <c r="AK268" s="3">
        <v>227</v>
      </c>
      <c r="AL268" s="3" t="str">
        <f>IFERROR(MID(VLOOKUP($B268,Seqs!$A:$B,2,0),AM268,1),"")</f>
        <v>V</v>
      </c>
      <c r="AM268" s="3">
        <v>262</v>
      </c>
      <c r="AN268" s="3" t="str">
        <f>IFERROR(MID(VLOOKUP($B268,Seqs!$A:$B,2,0),AO268,1),"")</f>
        <v>S</v>
      </c>
      <c r="AO268" s="3">
        <v>268</v>
      </c>
      <c r="AP268" s="3" t="str">
        <f>IFERROR(MID(VLOOKUP($B268,Seqs!$A:$B,2,0),AQ268,1),"")</f>
        <v>I</v>
      </c>
      <c r="AQ268" s="3">
        <v>306</v>
      </c>
      <c r="AR268" s="3" t="str">
        <f>IFERROR(MID(VLOOKUP($B268,Seqs!$A:$B,2,0),AS268,1),"")</f>
        <v>F</v>
      </c>
      <c r="AS268" s="3">
        <v>313</v>
      </c>
      <c r="AT268" s="3" t="str">
        <f>IFERROR(MID(VLOOKUP($B268,Seqs!$A:$B,2,0),AU268,1),"")</f>
        <v>Y</v>
      </c>
      <c r="AU268" s="3">
        <v>336</v>
      </c>
      <c r="AV268" s="3" t="str">
        <f>IFERROR(MID(VLOOKUP($B268,Seqs!$A:$B,2,0),AW268,1),"")</f>
        <v/>
      </c>
      <c r="AW268" s="3" t="s">
        <v>23</v>
      </c>
      <c r="AX268" s="3" t="str">
        <f>IFERROR(MID(VLOOKUP($B268,Seqs!$A:$B,2,0),AY268,1),"")</f>
        <v/>
      </c>
      <c r="AY268" s="3" t="s">
        <v>23</v>
      </c>
      <c r="AZ268" s="77" t="str">
        <f>VLOOKUP(B268,Classification!A:D,2,0)</f>
        <v>A</v>
      </c>
      <c r="BA268" s="94" t="str">
        <f>VLOOKUP(B268,Classification!A:D,4,0)</f>
        <v>Opioid</v>
      </c>
      <c r="BB268" s="27" t="b">
        <f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23">
        <f>_xlfn.AGGREGATE(9,6,CH268:CS268)-_xlfn.AGGREGATE(9,6,BV268:CG268)+12</f>
        <v>239</v>
      </c>
      <c r="BD268" s="5" t="s">
        <v>23</v>
      </c>
      <c r="BE268" s="3" t="s">
        <v>1291</v>
      </c>
      <c r="BF268" s="118">
        <v>4.5</v>
      </c>
      <c r="BG268" s="49" t="s">
        <v>1422</v>
      </c>
      <c r="BH268" s="49" t="s">
        <v>1422</v>
      </c>
      <c r="BI268" s="1"/>
      <c r="BJ268" s="70" t="s">
        <v>1287</v>
      </c>
      <c r="BK268" s="57" t="s">
        <v>1287</v>
      </c>
      <c r="BL268" s="57" t="s">
        <v>1287</v>
      </c>
      <c r="BM268" s="57" t="s">
        <v>1287</v>
      </c>
      <c r="BN268" s="57" t="s">
        <v>1287</v>
      </c>
      <c r="BO268" s="57" t="s">
        <v>1287</v>
      </c>
      <c r="BP268" s="57" t="s">
        <v>1287</v>
      </c>
      <c r="BQ268" s="57" t="s">
        <v>1287</v>
      </c>
      <c r="BR268" s="57" t="s">
        <v>1287</v>
      </c>
      <c r="BS268" s="57" t="s">
        <v>1287</v>
      </c>
      <c r="BT268" s="57" t="s">
        <v>1287</v>
      </c>
      <c r="BU268" s="57" t="s">
        <v>1287</v>
      </c>
      <c r="BV268" s="70">
        <f>E268</f>
        <v>67</v>
      </c>
      <c r="BW268" s="71" t="str">
        <f>I268</f>
        <v>-</v>
      </c>
      <c r="BX268" s="72">
        <f>M268</f>
        <v>102</v>
      </c>
      <c r="BY268" s="71">
        <f>Q268</f>
        <v>132</v>
      </c>
      <c r="BZ268" s="72">
        <f>U268</f>
        <v>136</v>
      </c>
      <c r="CA268" s="71">
        <f>Y268</f>
        <v>172</v>
      </c>
      <c r="CB268" s="72">
        <f>AC268</f>
        <v>180</v>
      </c>
      <c r="CC268" s="71">
        <f>AG268</f>
        <v>217</v>
      </c>
      <c r="CD268" s="72">
        <f>AK268</f>
        <v>227</v>
      </c>
      <c r="CE268" s="71">
        <f>AO268</f>
        <v>268</v>
      </c>
      <c r="CF268" s="72">
        <f>AS268</f>
        <v>313</v>
      </c>
      <c r="CG268" s="71" t="str">
        <f>AW268</f>
        <v>-</v>
      </c>
      <c r="CH268" s="70">
        <f>G268</f>
        <v>98</v>
      </c>
      <c r="CI268" s="71" t="str">
        <f>K268</f>
        <v>-</v>
      </c>
      <c r="CJ268" s="72">
        <f>O268</f>
        <v>131</v>
      </c>
      <c r="CK268" s="72">
        <f>S268</f>
        <v>135</v>
      </c>
      <c r="CL268" s="72">
        <f>W268</f>
        <v>171</v>
      </c>
      <c r="CM268" s="72">
        <f>AA268</f>
        <v>179</v>
      </c>
      <c r="CN268" s="72">
        <f>AE268</f>
        <v>204</v>
      </c>
      <c r="CO268" s="72">
        <f>AI268</f>
        <v>219</v>
      </c>
      <c r="CP268" s="72">
        <f>AM268</f>
        <v>262</v>
      </c>
      <c r="CQ268" s="72">
        <f>AQ268</f>
        <v>306</v>
      </c>
      <c r="CR268" s="72">
        <f>AU268</f>
        <v>336</v>
      </c>
      <c r="CS268" s="72" t="str">
        <f>AY268</f>
        <v>-</v>
      </c>
      <c r="CT268" s="23" t="e">
        <f>M268-K268</f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30" x14ac:dyDescent="0.2">
      <c r="A269" s="3" t="str">
        <f t="shared" si="1424"/>
        <v>oprx_human__wt</v>
      </c>
      <c r="B269" s="3" t="s">
        <v>1173</v>
      </c>
      <c r="C269" s="3" t="s">
        <v>100</v>
      </c>
      <c r="D269" s="3" t="str">
        <f>IFERROR(MID(VLOOKUP($B269,Seqs!$A:$B,2,0),E269,1),"")</f>
        <v>L</v>
      </c>
      <c r="E269" s="3">
        <v>48</v>
      </c>
      <c r="F269" s="3" t="str">
        <f>IFERROR(MID(VLOOKUP($B269,Seqs!$A:$B,2,0),G269,1),"")</f>
        <v>H</v>
      </c>
      <c r="G269" s="3">
        <v>79</v>
      </c>
      <c r="H269" s="3" t="str">
        <f>IFERROR(MID(VLOOKUP($B269,Seqs!$A:$B,2,0),I269,1),"")</f>
        <v>T</v>
      </c>
      <c r="I269" s="23">
        <v>80</v>
      </c>
      <c r="J269" s="3" t="str">
        <f>IFERROR(MID(VLOOKUP($B269,Seqs!$A:$B,2,0),K269,1),"")</f>
        <v>K</v>
      </c>
      <c r="K269" s="23">
        <v>83</v>
      </c>
      <c r="L269" s="3" t="str">
        <f>IFERROR(MID(VLOOKUP($B269,Seqs!$A:$B,2,0),M269,1),"")</f>
        <v>T</v>
      </c>
      <c r="M269" s="3">
        <v>84</v>
      </c>
      <c r="N269" s="3" t="str">
        <f>IFERROR(MID(VLOOKUP($B269,Seqs!$A:$B,2,0),O269,1),"")</f>
        <v>L</v>
      </c>
      <c r="O269" s="3">
        <v>113</v>
      </c>
      <c r="P269" s="3" t="str">
        <f>IFERROR(MID(VLOOKUP($B269,Seqs!$A:$B,2,0),Q269,1),"")</f>
        <v>F</v>
      </c>
      <c r="Q269" s="3">
        <v>115</v>
      </c>
      <c r="R269" s="3" t="str">
        <f>IFERROR(MID(VLOOKUP($B269,Seqs!$A:$B,2,0),S269,1),"")</f>
        <v>F</v>
      </c>
      <c r="S269" s="3">
        <v>118</v>
      </c>
      <c r="T269" s="3" t="str">
        <f>IFERROR(MID(VLOOKUP($B269,Seqs!$A:$B,2,0),U269,1),"")</f>
        <v>G</v>
      </c>
      <c r="U269" s="3">
        <v>119</v>
      </c>
      <c r="V269" s="3" t="str">
        <f>IFERROR(MID(VLOOKUP($B269,Seqs!$A:$B,2,0),W269,1),"")</f>
        <v>H</v>
      </c>
      <c r="W269" s="3">
        <v>154</v>
      </c>
      <c r="X269" s="3" t="str">
        <f>IFERROR(MID(VLOOKUP($B269,Seqs!$A:$B,2,0),Y269,1),"")</f>
        <v>P</v>
      </c>
      <c r="Y269" s="3">
        <v>155</v>
      </c>
      <c r="Z269" s="3" t="str">
        <f>IFERROR(MID(VLOOKUP($B269,Seqs!$A:$B,2,0),AA269,1),"")</f>
        <v>R</v>
      </c>
      <c r="AA269" s="3">
        <v>162</v>
      </c>
      <c r="AB269" s="3" t="str">
        <f>IFERROR(MID(VLOOKUP($B269,Seqs!$A:$B,2,0),AC269,1),"")</f>
        <v>T</v>
      </c>
      <c r="AC269" s="9">
        <v>163</v>
      </c>
      <c r="AD269" s="3" t="str">
        <f>IFERROR(MID(VLOOKUP($B269,Seqs!$A:$B,2,0),AE269,1),"")</f>
        <v>G</v>
      </c>
      <c r="AE269" s="3">
        <v>189</v>
      </c>
      <c r="AF269" s="3" t="str">
        <f>IFERROR(MID(VLOOKUP($B269,Seqs!$A:$B,2,0),AG269,1),"")</f>
        <v>C</v>
      </c>
      <c r="AG269" s="3">
        <v>200</v>
      </c>
      <c r="AH269" s="3" t="str">
        <f>IFERROR(MID(VLOOKUP($B269,Seqs!$A:$B,2,0),AI269,1),"")</f>
        <v>V</v>
      </c>
      <c r="AI269" s="3">
        <v>202</v>
      </c>
      <c r="AJ269" s="3" t="str">
        <f>IFERROR(MID(VLOOKUP($B269,Seqs!$A:$B,2,0),AK269,1),"")</f>
        <v>Q</v>
      </c>
      <c r="AK269" s="3">
        <v>208</v>
      </c>
      <c r="AL269" s="3" t="str">
        <f>IFERROR(MID(VLOOKUP($B269,Seqs!$A:$B,2,0),AM269,1),"")</f>
        <v>V</v>
      </c>
      <c r="AM269" s="3">
        <v>245</v>
      </c>
      <c r="AN269" s="3" t="str">
        <f>IFERROR(MID(VLOOKUP($B269,Seqs!$A:$B,2,0),AO269,1),"")</f>
        <v>S</v>
      </c>
      <c r="AO269" s="3">
        <v>251</v>
      </c>
      <c r="AP269" s="3" t="str">
        <f>IFERROR(MID(VLOOKUP($B269,Seqs!$A:$B,2,0),AQ269,1),"")</f>
        <v>G</v>
      </c>
      <c r="AQ269" s="3">
        <v>289</v>
      </c>
      <c r="AR269" s="3" t="str">
        <f>IFERROR(MID(VLOOKUP($B269,Seqs!$A:$B,2,0),AS269,1),"")</f>
        <v>S</v>
      </c>
      <c r="AS269" s="3">
        <v>294</v>
      </c>
      <c r="AT269" s="3" t="str">
        <f>IFERROR(MID(VLOOKUP($B269,Seqs!$A:$B,2,0),AU269,1),"")</f>
        <v>L</v>
      </c>
      <c r="AU269" s="3">
        <v>322</v>
      </c>
      <c r="AV269" s="3" t="str">
        <f>IFERROR(MID(VLOOKUP($B269,Seqs!$A:$B,2,0),AW269,1),"")</f>
        <v>D</v>
      </c>
      <c r="AW269" s="3">
        <v>323</v>
      </c>
      <c r="AX269" s="3" t="str">
        <f>IFERROR(MID(VLOOKUP($B269,Seqs!$A:$B,2,0),AY269,1),"")</f>
        <v>C</v>
      </c>
      <c r="AY269" s="3">
        <v>335</v>
      </c>
      <c r="AZ269" s="77" t="str">
        <f>VLOOKUP(B269,Classification!A:D,2,0)</f>
        <v>A</v>
      </c>
      <c r="BA269" s="94" t="str">
        <f>VLOOKUP(B269,Classification!A:D,4,0)</f>
        <v>Opioid</v>
      </c>
      <c r="BB269" s="27" t="b">
        <f t="shared" si="1425"/>
        <v>1</v>
      </c>
      <c r="BC269" s="23">
        <f t="shared" si="1398"/>
        <v>263</v>
      </c>
      <c r="BD269" s="56" t="s">
        <v>23</v>
      </c>
      <c r="BE269" s="3" t="s">
        <v>23</v>
      </c>
      <c r="BF269" s="118" t="s">
        <v>23</v>
      </c>
      <c r="BG269" s="49" t="s">
        <v>1372</v>
      </c>
      <c r="BH269" s="49" t="s">
        <v>1377</v>
      </c>
      <c r="BI269" s="1"/>
      <c r="BJ269" s="70" t="s">
        <v>1287</v>
      </c>
      <c r="BK269" s="57" t="s">
        <v>1287</v>
      </c>
      <c r="BL269" s="57" t="s">
        <v>1287</v>
      </c>
      <c r="BM269" s="57" t="s">
        <v>1287</v>
      </c>
      <c r="BN269" s="57" t="s">
        <v>1287</v>
      </c>
      <c r="BO269" s="57" t="s">
        <v>1287</v>
      </c>
      <c r="BP269" s="57" t="s">
        <v>1287</v>
      </c>
      <c r="BQ269" s="57" t="s">
        <v>1287</v>
      </c>
      <c r="BR269" s="57" t="s">
        <v>1287</v>
      </c>
      <c r="BS269" s="57" t="s">
        <v>1287</v>
      </c>
      <c r="BT269" s="57" t="s">
        <v>1287</v>
      </c>
      <c r="BU269" s="57" t="s">
        <v>1287</v>
      </c>
      <c r="BV269" s="70">
        <f t="shared" si="1399"/>
        <v>48</v>
      </c>
      <c r="BW269" s="71">
        <f t="shared" si="1400"/>
        <v>80</v>
      </c>
      <c r="BX269" s="72">
        <f t="shared" si="1401"/>
        <v>84</v>
      </c>
      <c r="BY269" s="71">
        <f t="shared" si="1402"/>
        <v>115</v>
      </c>
      <c r="BZ269" s="72">
        <f t="shared" si="1403"/>
        <v>119</v>
      </c>
      <c r="CA269" s="71">
        <f t="shared" si="1404"/>
        <v>155</v>
      </c>
      <c r="CB269" s="72">
        <f t="shared" si="1405"/>
        <v>163</v>
      </c>
      <c r="CC269" s="71">
        <f t="shared" si="1406"/>
        <v>200</v>
      </c>
      <c r="CD269" s="72">
        <f t="shared" si="1407"/>
        <v>208</v>
      </c>
      <c r="CE269" s="71">
        <f t="shared" si="1408"/>
        <v>251</v>
      </c>
      <c r="CF269" s="72">
        <f t="shared" si="1409"/>
        <v>294</v>
      </c>
      <c r="CG269" s="71">
        <f t="shared" si="1410"/>
        <v>323</v>
      </c>
      <c r="CH269" s="70">
        <f t="shared" si="1411"/>
        <v>79</v>
      </c>
      <c r="CI269" s="71">
        <f t="shared" si="1412"/>
        <v>83</v>
      </c>
      <c r="CJ269" s="72">
        <f t="shared" si="1413"/>
        <v>113</v>
      </c>
      <c r="CK269" s="72">
        <f t="shared" si="1414"/>
        <v>118</v>
      </c>
      <c r="CL269" s="72">
        <f t="shared" si="1415"/>
        <v>154</v>
      </c>
      <c r="CM269" s="72">
        <f t="shared" si="1416"/>
        <v>162</v>
      </c>
      <c r="CN269" s="72">
        <f t="shared" si="1417"/>
        <v>189</v>
      </c>
      <c r="CO269" s="72">
        <f t="shared" si="1418"/>
        <v>202</v>
      </c>
      <c r="CP269" s="72">
        <f t="shared" si="1419"/>
        <v>245</v>
      </c>
      <c r="CQ269" s="72">
        <f t="shared" si="1420"/>
        <v>289</v>
      </c>
      <c r="CR269" s="72">
        <f t="shared" si="1421"/>
        <v>322</v>
      </c>
      <c r="CS269" s="72">
        <f t="shared" si="1422"/>
        <v>335</v>
      </c>
      <c r="CT269" s="23">
        <f t="shared" si="1423"/>
        <v>1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30" x14ac:dyDescent="0.2">
      <c r="A270" s="3" t="str">
        <f t="shared" si="1424"/>
        <v>oprx_human_4EA3</v>
      </c>
      <c r="B270" s="3" t="s">
        <v>1173</v>
      </c>
      <c r="C270" s="3" t="s">
        <v>67</v>
      </c>
      <c r="D270" s="3" t="str">
        <f>IFERROR(MID(VLOOKUP($B270,Seqs!$A:$B,2,0),E270,1),"")</f>
        <v>L</v>
      </c>
      <c r="E270" s="3">
        <v>48</v>
      </c>
      <c r="F270" s="3" t="str">
        <f>IFERROR(MID(VLOOKUP($B270,Seqs!$A:$B,2,0),G270,1),"")</f>
        <v>H</v>
      </c>
      <c r="G270" s="3">
        <v>79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T</v>
      </c>
      <c r="M270" s="3">
        <v>84</v>
      </c>
      <c r="N270" s="3" t="str">
        <f>IFERROR(MID(VLOOKUP($B270,Seqs!$A:$B,2,0),O270,1),"")</f>
        <v>L</v>
      </c>
      <c r="O270" s="3">
        <v>113</v>
      </c>
      <c r="P270" s="3" t="str">
        <f>IFERROR(MID(VLOOKUP($B270,Seqs!$A:$B,2,0),Q270,1),"")</f>
        <v>F</v>
      </c>
      <c r="Q270" s="3">
        <v>115</v>
      </c>
      <c r="R270" s="3" t="str">
        <f>IFERROR(MID(VLOOKUP($B270,Seqs!$A:$B,2,0),S270,1),"")</f>
        <v>F</v>
      </c>
      <c r="S270" s="3">
        <v>118</v>
      </c>
      <c r="T270" s="3" t="str">
        <f>IFERROR(MID(VLOOKUP($B270,Seqs!$A:$B,2,0),U270,1),"")</f>
        <v>G</v>
      </c>
      <c r="U270" s="3">
        <v>119</v>
      </c>
      <c r="V270" s="3" t="str">
        <f>IFERROR(MID(VLOOKUP($B270,Seqs!$A:$B,2,0),W270,1),"")</f>
        <v>H</v>
      </c>
      <c r="W270" s="3">
        <v>154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T</v>
      </c>
      <c r="AC270" s="9">
        <v>163</v>
      </c>
      <c r="AD270" s="3" t="str">
        <f>IFERROR(MID(VLOOKUP($B270,Seqs!$A:$B,2,0),AE270,1),"")</f>
        <v>G</v>
      </c>
      <c r="AE270" s="3">
        <v>189</v>
      </c>
      <c r="AF270" s="3" t="str">
        <f>IFERROR(MID(VLOOKUP($B270,Seqs!$A:$B,2,0),AG270,1),"")</f>
        <v>C</v>
      </c>
      <c r="AG270" s="3">
        <v>200</v>
      </c>
      <c r="AH270" s="3" t="str">
        <f>IFERROR(MID(VLOOKUP($B270,Seqs!$A:$B,2,0),AI270,1),"")</f>
        <v>V</v>
      </c>
      <c r="AI270" s="3">
        <v>202</v>
      </c>
      <c r="AJ270" s="3" t="str">
        <f>IFERROR(MID(VLOOKUP($B270,Seqs!$A:$B,2,0),AK270,1),"")</f>
        <v>Q</v>
      </c>
      <c r="AK270" s="3">
        <v>208</v>
      </c>
      <c r="AL270" s="3" t="str">
        <f>IFERROR(MID(VLOOKUP($B270,Seqs!$A:$B,2,0),AM270,1),"")</f>
        <v>L</v>
      </c>
      <c r="AM270" s="3">
        <v>242</v>
      </c>
      <c r="AN270" s="3" t="str">
        <f>IFERROR(MID(VLOOKUP($B270,Seqs!$A:$B,2,0),AO270,1),"")</f>
        <v>S</v>
      </c>
      <c r="AO270" s="3">
        <v>251</v>
      </c>
      <c r="AP270" s="3" t="str">
        <f>IFERROR(MID(VLOOKUP($B270,Seqs!$A:$B,2,0),AQ270,1),"")</f>
        <v>G</v>
      </c>
      <c r="AQ270" s="3">
        <v>289</v>
      </c>
      <c r="AR270" s="3" t="str">
        <f>IFERROR(MID(VLOOKUP($B270,Seqs!$A:$B,2,0),AS270,1),"")</f>
        <v>S</v>
      </c>
      <c r="AS270" s="3">
        <v>294</v>
      </c>
      <c r="AT270" s="3" t="str">
        <f>IFERROR(MID(VLOOKUP($B270,Seqs!$A:$B,2,0),AU270,1),"")</f>
        <v>L</v>
      </c>
      <c r="AU270" s="3">
        <v>322</v>
      </c>
      <c r="AV270" s="3" t="str">
        <f>IFERROR(MID(VLOOKUP($B270,Seqs!$A:$B,2,0),AW270,1),"")</f>
        <v>D</v>
      </c>
      <c r="AW270" s="3">
        <v>323</v>
      </c>
      <c r="AX270" s="3" t="str">
        <f>IFERROR(MID(VLOOKUP($B270,Seqs!$A:$B,2,0),AY270,1),"")</f>
        <v>R</v>
      </c>
      <c r="AY270" s="3">
        <v>331</v>
      </c>
      <c r="AZ270" s="77" t="str">
        <f>VLOOKUP(B270,Classification!A:D,2,0)</f>
        <v>A</v>
      </c>
      <c r="BA270" s="94" t="str">
        <f>VLOOKUP(B270,Classification!A:D,4,0)</f>
        <v>Opioid</v>
      </c>
      <c r="BB270" s="27" t="b">
        <f t="shared" si="1425"/>
        <v>1</v>
      </c>
      <c r="BC270" s="23">
        <f t="shared" si="1398"/>
        <v>246</v>
      </c>
      <c r="BD270" s="5" t="s">
        <v>23</v>
      </c>
      <c r="BE270" s="3" t="s">
        <v>1374</v>
      </c>
      <c r="BF270" s="118">
        <v>3.01</v>
      </c>
      <c r="BG270" s="49" t="s">
        <v>1377</v>
      </c>
      <c r="BH270" s="49" t="s">
        <v>1377</v>
      </c>
      <c r="BI270" s="1"/>
      <c r="BJ270" s="70" t="s">
        <v>1287</v>
      </c>
      <c r="BK270" s="57" t="s">
        <v>1287</v>
      </c>
      <c r="BL270" s="57" t="s">
        <v>1287</v>
      </c>
      <c r="BM270" s="57" t="s">
        <v>1287</v>
      </c>
      <c r="BN270" s="57" t="s">
        <v>1287</v>
      </c>
      <c r="BO270" s="57" t="s">
        <v>1287</v>
      </c>
      <c r="BP270" s="57" t="s">
        <v>1287</v>
      </c>
      <c r="BQ270" s="57" t="s">
        <v>1287</v>
      </c>
      <c r="BR270" s="57" t="s">
        <v>1287</v>
      </c>
      <c r="BS270" s="57" t="s">
        <v>1287</v>
      </c>
      <c r="BT270" s="57" t="s">
        <v>1287</v>
      </c>
      <c r="BU270" s="57" t="s">
        <v>1287</v>
      </c>
      <c r="BV270" s="70">
        <f t="shared" si="1399"/>
        <v>48</v>
      </c>
      <c r="BW270" s="71" t="str">
        <f t="shared" si="1400"/>
        <v>-</v>
      </c>
      <c r="BX270" s="72">
        <f t="shared" si="1401"/>
        <v>84</v>
      </c>
      <c r="BY270" s="71">
        <f t="shared" si="1402"/>
        <v>115</v>
      </c>
      <c r="BZ270" s="72">
        <f t="shared" si="1403"/>
        <v>119</v>
      </c>
      <c r="CA270" s="71" t="str">
        <f t="shared" si="1404"/>
        <v>-</v>
      </c>
      <c r="CB270" s="72">
        <f t="shared" si="1405"/>
        <v>163</v>
      </c>
      <c r="CC270" s="71">
        <f t="shared" si="1406"/>
        <v>200</v>
      </c>
      <c r="CD270" s="72">
        <f t="shared" si="1407"/>
        <v>208</v>
      </c>
      <c r="CE270" s="71">
        <f t="shared" si="1408"/>
        <v>251</v>
      </c>
      <c r="CF270" s="72">
        <f t="shared" si="1409"/>
        <v>294</v>
      </c>
      <c r="CG270" s="71">
        <f t="shared" si="1410"/>
        <v>323</v>
      </c>
      <c r="CH270" s="70">
        <f t="shared" si="1411"/>
        <v>79</v>
      </c>
      <c r="CI270" s="71" t="str">
        <f t="shared" si="1412"/>
        <v>-</v>
      </c>
      <c r="CJ270" s="72">
        <f t="shared" si="1413"/>
        <v>113</v>
      </c>
      <c r="CK270" s="72">
        <f t="shared" si="1414"/>
        <v>118</v>
      </c>
      <c r="CL270" s="72">
        <f t="shared" si="1415"/>
        <v>154</v>
      </c>
      <c r="CM270" s="72" t="str">
        <f t="shared" si="1416"/>
        <v>-</v>
      </c>
      <c r="CN270" s="72">
        <f t="shared" si="1417"/>
        <v>189</v>
      </c>
      <c r="CO270" s="72">
        <f t="shared" si="1418"/>
        <v>202</v>
      </c>
      <c r="CP270" s="72">
        <f t="shared" si="1419"/>
        <v>242</v>
      </c>
      <c r="CQ270" s="72">
        <f t="shared" si="1420"/>
        <v>289</v>
      </c>
      <c r="CR270" s="72">
        <f t="shared" si="1421"/>
        <v>322</v>
      </c>
      <c r="CS270" s="72">
        <f t="shared" si="1422"/>
        <v>331</v>
      </c>
      <c r="CT270" s="23" t="e">
        <f t="shared" si="1423"/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30" x14ac:dyDescent="0.2">
      <c r="A271" s="3" t="str">
        <f t="shared" si="1424"/>
        <v>oprx_human_5DHG</v>
      </c>
      <c r="B271" s="3" t="s">
        <v>1173</v>
      </c>
      <c r="C271" s="3" t="s">
        <v>1355</v>
      </c>
      <c r="D271" s="3" t="str">
        <f>IFERROR(MID(VLOOKUP($B271,Seqs!$A:$B,2,0),E271,1),"")</f>
        <v>L</v>
      </c>
      <c r="E271" s="3">
        <v>48</v>
      </c>
      <c r="F271" s="3" t="str">
        <f>IFERROR(MID(VLOOKUP($B271,Seqs!$A:$B,2,0),G271,1),"")</f>
        <v>H</v>
      </c>
      <c r="G271" s="3">
        <v>79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T</v>
      </c>
      <c r="M271" s="3">
        <v>84</v>
      </c>
      <c r="N271" s="3" t="str">
        <f>IFERROR(MID(VLOOKUP($B271,Seqs!$A:$B,2,0),O271,1),"")</f>
        <v>L</v>
      </c>
      <c r="O271" s="3">
        <v>113</v>
      </c>
      <c r="P271" s="3" t="str">
        <f>IFERROR(MID(VLOOKUP($B271,Seqs!$A:$B,2,0),Q271,1),"")</f>
        <v>F</v>
      </c>
      <c r="Q271" s="3">
        <v>115</v>
      </c>
      <c r="R271" s="3" t="str">
        <f>IFERROR(MID(VLOOKUP($B271,Seqs!$A:$B,2,0),S271,1),"")</f>
        <v>F</v>
      </c>
      <c r="S271" s="3">
        <v>118</v>
      </c>
      <c r="T271" s="3" t="str">
        <f>IFERROR(MID(VLOOKUP($B271,Seqs!$A:$B,2,0),U271,1),"")</f>
        <v>G</v>
      </c>
      <c r="U271" s="3">
        <v>119</v>
      </c>
      <c r="V271" s="3" t="str">
        <f>IFERROR(MID(VLOOKUP($B271,Seqs!$A:$B,2,0),W271,1),"")</f>
        <v>H</v>
      </c>
      <c r="W271" s="3">
        <v>154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T</v>
      </c>
      <c r="AC271" s="9">
        <v>163</v>
      </c>
      <c r="AD271" s="3" t="str">
        <f>IFERROR(MID(VLOOKUP($B271,Seqs!$A:$B,2,0),AE271,1),"")</f>
        <v>G</v>
      </c>
      <c r="AE271" s="3">
        <v>189</v>
      </c>
      <c r="AF271" s="3" t="str">
        <f>IFERROR(MID(VLOOKUP($B271,Seqs!$A:$B,2,0),AG271,1),"")</f>
        <v>C</v>
      </c>
      <c r="AG271" s="3">
        <v>200</v>
      </c>
      <c r="AH271" s="3" t="str">
        <f>IFERROR(MID(VLOOKUP($B271,Seqs!$A:$B,2,0),AI271,1),"")</f>
        <v>V</v>
      </c>
      <c r="AI271" s="3">
        <v>202</v>
      </c>
      <c r="AJ271" s="3" t="str">
        <f>IFERROR(MID(VLOOKUP($B271,Seqs!$A:$B,2,0),AK271,1),"")</f>
        <v>Q</v>
      </c>
      <c r="AK271" s="3">
        <v>208</v>
      </c>
      <c r="AL271" s="3" t="str">
        <f>IFERROR(MID(VLOOKUP($B271,Seqs!$A:$B,2,0),AM271,1),"")</f>
        <v>L</v>
      </c>
      <c r="AM271" s="3">
        <v>242</v>
      </c>
      <c r="AN271" s="3" t="str">
        <f>IFERROR(MID(VLOOKUP($B271,Seqs!$A:$B,2,0),AO271,1),"")</f>
        <v>S</v>
      </c>
      <c r="AO271" s="3">
        <v>251</v>
      </c>
      <c r="AP271" s="3" t="str">
        <f>IFERROR(MID(VLOOKUP($B271,Seqs!$A:$B,2,0),AQ271,1),"")</f>
        <v>G</v>
      </c>
      <c r="AQ271" s="3">
        <v>289</v>
      </c>
      <c r="AR271" s="3" t="str">
        <f>IFERROR(MID(VLOOKUP($B271,Seqs!$A:$B,2,0),AS271,1),"")</f>
        <v>S</v>
      </c>
      <c r="AS271" s="3">
        <v>294</v>
      </c>
      <c r="AT271" s="3" t="str">
        <f>IFERROR(MID(VLOOKUP($B271,Seqs!$A:$B,2,0),AU271,1),"")</f>
        <v>L</v>
      </c>
      <c r="AU271" s="3">
        <v>322</v>
      </c>
      <c r="AV271" s="3" t="str">
        <f>IFERROR(MID(VLOOKUP($B271,Seqs!$A:$B,2,0),AW271,1),"")</f>
        <v>D</v>
      </c>
      <c r="AW271" s="3">
        <v>323</v>
      </c>
      <c r="AX271" s="3" t="str">
        <f>IFERROR(MID(VLOOKUP($B271,Seqs!$A:$B,2,0),AY271,1),"")</f>
        <v>F</v>
      </c>
      <c r="AY271" s="3">
        <v>333</v>
      </c>
      <c r="AZ271" s="77" t="str">
        <f>VLOOKUP(B271,Classification!A:D,2,0)</f>
        <v>A</v>
      </c>
      <c r="BA271" s="94" t="str">
        <f>VLOOKUP(B271,Classification!A:D,4,0)</f>
        <v>Opioid</v>
      </c>
      <c r="BB271" s="27" t="b">
        <f t="shared" si="1425"/>
        <v>1</v>
      </c>
      <c r="BC271" s="23">
        <f t="shared" si="1398"/>
        <v>248</v>
      </c>
      <c r="BD271" s="16" t="s">
        <v>1376</v>
      </c>
      <c r="BE271" s="3" t="s">
        <v>1374</v>
      </c>
      <c r="BF271" s="118">
        <v>3</v>
      </c>
      <c r="BG271" s="49" t="s">
        <v>1281</v>
      </c>
      <c r="BH271" s="49" t="s">
        <v>1377</v>
      </c>
      <c r="BI271" s="1"/>
      <c r="BJ271" s="70" t="s">
        <v>1287</v>
      </c>
      <c r="BK271" s="57" t="s">
        <v>1287</v>
      </c>
      <c r="BL271" s="57" t="s">
        <v>1287</v>
      </c>
      <c r="BM271" s="57" t="s">
        <v>1287</v>
      </c>
      <c r="BN271" s="57" t="s">
        <v>1287</v>
      </c>
      <c r="BO271" s="57" t="s">
        <v>1287</v>
      </c>
      <c r="BP271" s="57" t="s">
        <v>1287</v>
      </c>
      <c r="BQ271" s="57" t="s">
        <v>1287</v>
      </c>
      <c r="BR271" s="57" t="s">
        <v>1287</v>
      </c>
      <c r="BS271" s="57" t="s">
        <v>1287</v>
      </c>
      <c r="BT271" s="57" t="s">
        <v>1287</v>
      </c>
      <c r="BU271" s="57" t="s">
        <v>1287</v>
      </c>
      <c r="BV271" s="70">
        <f t="shared" si="1399"/>
        <v>48</v>
      </c>
      <c r="BW271" s="71" t="str">
        <f t="shared" si="1400"/>
        <v>-</v>
      </c>
      <c r="BX271" s="72">
        <f t="shared" si="1401"/>
        <v>84</v>
      </c>
      <c r="BY271" s="71">
        <f t="shared" si="1402"/>
        <v>115</v>
      </c>
      <c r="BZ271" s="72">
        <f t="shared" si="1403"/>
        <v>119</v>
      </c>
      <c r="CA271" s="71" t="str">
        <f t="shared" si="1404"/>
        <v>-</v>
      </c>
      <c r="CB271" s="72">
        <f t="shared" si="1405"/>
        <v>163</v>
      </c>
      <c r="CC271" s="71">
        <f t="shared" si="1406"/>
        <v>200</v>
      </c>
      <c r="CD271" s="72">
        <f t="shared" si="1407"/>
        <v>208</v>
      </c>
      <c r="CE271" s="71">
        <f t="shared" si="1408"/>
        <v>251</v>
      </c>
      <c r="CF271" s="72">
        <f t="shared" si="1409"/>
        <v>294</v>
      </c>
      <c r="CG271" s="71">
        <f t="shared" si="1410"/>
        <v>323</v>
      </c>
      <c r="CH271" s="70">
        <f t="shared" si="1411"/>
        <v>79</v>
      </c>
      <c r="CI271" s="71" t="str">
        <f t="shared" si="1412"/>
        <v>-</v>
      </c>
      <c r="CJ271" s="72">
        <f t="shared" si="1413"/>
        <v>113</v>
      </c>
      <c r="CK271" s="72">
        <f t="shared" si="1414"/>
        <v>118</v>
      </c>
      <c r="CL271" s="72">
        <f t="shared" si="1415"/>
        <v>154</v>
      </c>
      <c r="CM271" s="72" t="str">
        <f t="shared" si="1416"/>
        <v>-</v>
      </c>
      <c r="CN271" s="72">
        <f t="shared" si="1417"/>
        <v>189</v>
      </c>
      <c r="CO271" s="72">
        <f t="shared" si="1418"/>
        <v>202</v>
      </c>
      <c r="CP271" s="72">
        <f t="shared" si="1419"/>
        <v>242</v>
      </c>
      <c r="CQ271" s="72">
        <f t="shared" si="1420"/>
        <v>289</v>
      </c>
      <c r="CR271" s="72">
        <f t="shared" si="1421"/>
        <v>322</v>
      </c>
      <c r="CS271" s="72">
        <f t="shared" si="1422"/>
        <v>333</v>
      </c>
      <c r="CT271" s="23" t="e">
        <f t="shared" si="1423"/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30" x14ac:dyDescent="0.2">
      <c r="A272" s="3" t="str">
        <f t="shared" si="1424"/>
        <v>oprx_human_5DHH</v>
      </c>
      <c r="B272" s="3" t="s">
        <v>1173</v>
      </c>
      <c r="C272" s="3" t="s">
        <v>1356</v>
      </c>
      <c r="D272" s="3" t="str">
        <f>IFERROR(MID(VLOOKUP($B272,Seqs!$A:$B,2,0),E272,1),"")</f>
        <v>L</v>
      </c>
      <c r="E272" s="3">
        <v>48</v>
      </c>
      <c r="F272" s="3" t="str">
        <f>IFERROR(MID(VLOOKUP($B272,Seqs!$A:$B,2,0),G272,1),"")</f>
        <v>H</v>
      </c>
      <c r="G272" s="3">
        <v>79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T</v>
      </c>
      <c r="M272" s="3">
        <v>84</v>
      </c>
      <c r="N272" s="3" t="str">
        <f>IFERROR(MID(VLOOKUP($B272,Seqs!$A:$B,2,0),O272,1),"")</f>
        <v>L</v>
      </c>
      <c r="O272" s="3">
        <v>113</v>
      </c>
      <c r="P272" s="3" t="str">
        <f>IFERROR(MID(VLOOKUP($B272,Seqs!$A:$B,2,0),Q272,1),"")</f>
        <v>F</v>
      </c>
      <c r="Q272" s="3">
        <v>115</v>
      </c>
      <c r="R272" s="3" t="str">
        <f>IFERROR(MID(VLOOKUP($B272,Seqs!$A:$B,2,0),S272,1),"")</f>
        <v>F</v>
      </c>
      <c r="S272" s="3">
        <v>118</v>
      </c>
      <c r="T272" s="3" t="str">
        <f>IFERROR(MID(VLOOKUP($B272,Seqs!$A:$B,2,0),U272,1),"")</f>
        <v>G</v>
      </c>
      <c r="U272" s="3">
        <v>119</v>
      </c>
      <c r="V272" s="3" t="str">
        <f>IFERROR(MID(VLOOKUP($B272,Seqs!$A:$B,2,0),W272,1),"")</f>
        <v>H</v>
      </c>
      <c r="W272" s="3">
        <v>154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T</v>
      </c>
      <c r="AC272" s="9">
        <v>163</v>
      </c>
      <c r="AD272" s="3" t="str">
        <f>IFERROR(MID(VLOOKUP($B272,Seqs!$A:$B,2,0),AE272,1),"")</f>
        <v>G</v>
      </c>
      <c r="AE272" s="3">
        <v>189</v>
      </c>
      <c r="AF272" s="3" t="str">
        <f>IFERROR(MID(VLOOKUP($B272,Seqs!$A:$B,2,0),AG272,1),"")</f>
        <v>C</v>
      </c>
      <c r="AG272" s="3">
        <v>200</v>
      </c>
      <c r="AH272" s="3" t="str">
        <f>IFERROR(MID(VLOOKUP($B272,Seqs!$A:$B,2,0),AI272,1),"")</f>
        <v>V</v>
      </c>
      <c r="AI272" s="3">
        <v>202</v>
      </c>
      <c r="AJ272" s="3" t="str">
        <f>IFERROR(MID(VLOOKUP($B272,Seqs!$A:$B,2,0),AK272,1),"")</f>
        <v>Q</v>
      </c>
      <c r="AK272" s="3">
        <v>208</v>
      </c>
      <c r="AL272" s="3" t="str">
        <f>IFERROR(MID(VLOOKUP($B272,Seqs!$A:$B,2,0),AM272,1),"")</f>
        <v>L</v>
      </c>
      <c r="AM272" s="3">
        <v>242</v>
      </c>
      <c r="AN272" s="3" t="str">
        <f>IFERROR(MID(VLOOKUP($B272,Seqs!$A:$B,2,0),AO272,1),"")</f>
        <v>S</v>
      </c>
      <c r="AO272" s="3">
        <v>251</v>
      </c>
      <c r="AP272" s="3" t="str">
        <f>IFERROR(MID(VLOOKUP($B272,Seqs!$A:$B,2,0),AQ272,1),"")</f>
        <v>G</v>
      </c>
      <c r="AQ272" s="3">
        <v>289</v>
      </c>
      <c r="AR272" s="3" t="str">
        <f>IFERROR(MID(VLOOKUP($B272,Seqs!$A:$B,2,0),AS272,1),"")</f>
        <v>S</v>
      </c>
      <c r="AS272" s="3">
        <v>294</v>
      </c>
      <c r="AT272" s="3" t="str">
        <f>IFERROR(MID(VLOOKUP($B272,Seqs!$A:$B,2,0),AU272,1),"")</f>
        <v>L</v>
      </c>
      <c r="AU272" s="3">
        <v>322</v>
      </c>
      <c r="AV272" s="3" t="str">
        <f>IFERROR(MID(VLOOKUP($B272,Seqs!$A:$B,2,0),AW272,1),"")</f>
        <v>D</v>
      </c>
      <c r="AW272" s="3">
        <v>323</v>
      </c>
      <c r="AX272" s="3" t="str">
        <f>IFERROR(MID(VLOOKUP($B272,Seqs!$A:$B,2,0),AY272,1),"")</f>
        <v>R</v>
      </c>
      <c r="AY272" s="3">
        <v>331</v>
      </c>
      <c r="AZ272" s="77" t="str">
        <f>VLOOKUP(B272,Classification!A:D,2,0)</f>
        <v>A</v>
      </c>
      <c r="BA272" s="94" t="str">
        <f>VLOOKUP(B272,Classification!A:D,4,0)</f>
        <v>Opioid</v>
      </c>
      <c r="BB272" s="27" t="b">
        <f t="shared" si="1425"/>
        <v>1</v>
      </c>
      <c r="BC272" s="23">
        <f t="shared" si="1398"/>
        <v>246</v>
      </c>
      <c r="BD272" s="5" t="s">
        <v>23</v>
      </c>
      <c r="BE272" s="3" t="s">
        <v>1374</v>
      </c>
      <c r="BF272" s="118">
        <v>3</v>
      </c>
      <c r="BG272" s="49" t="s">
        <v>1</v>
      </c>
      <c r="BH272" s="49" t="s">
        <v>1377</v>
      </c>
      <c r="BI272" s="1" t="s">
        <v>1360</v>
      </c>
      <c r="BJ272" s="70" t="s">
        <v>1287</v>
      </c>
      <c r="BK272" s="57" t="s">
        <v>1287</v>
      </c>
      <c r="BL272" s="57" t="s">
        <v>1287</v>
      </c>
      <c r="BM272" s="57" t="s">
        <v>1287</v>
      </c>
      <c r="BN272" s="57" t="s">
        <v>1287</v>
      </c>
      <c r="BO272" s="57" t="s">
        <v>1287</v>
      </c>
      <c r="BP272" s="57" t="s">
        <v>1287</v>
      </c>
      <c r="BQ272" s="57" t="s">
        <v>1287</v>
      </c>
      <c r="BR272" s="57" t="s">
        <v>1287</v>
      </c>
      <c r="BS272" s="57" t="s">
        <v>1287</v>
      </c>
      <c r="BT272" s="57" t="s">
        <v>1287</v>
      </c>
      <c r="BU272" s="57" t="s">
        <v>1287</v>
      </c>
      <c r="BV272" s="70">
        <f t="shared" si="1399"/>
        <v>48</v>
      </c>
      <c r="BW272" s="71" t="str">
        <f t="shared" si="1400"/>
        <v>-</v>
      </c>
      <c r="BX272" s="72">
        <f t="shared" si="1401"/>
        <v>84</v>
      </c>
      <c r="BY272" s="71">
        <f t="shared" si="1402"/>
        <v>115</v>
      </c>
      <c r="BZ272" s="72">
        <f t="shared" si="1403"/>
        <v>119</v>
      </c>
      <c r="CA272" s="71" t="str">
        <f t="shared" si="1404"/>
        <v>-</v>
      </c>
      <c r="CB272" s="72">
        <f t="shared" si="1405"/>
        <v>163</v>
      </c>
      <c r="CC272" s="71">
        <f t="shared" si="1406"/>
        <v>200</v>
      </c>
      <c r="CD272" s="72">
        <f t="shared" si="1407"/>
        <v>208</v>
      </c>
      <c r="CE272" s="71">
        <f t="shared" si="1408"/>
        <v>251</v>
      </c>
      <c r="CF272" s="72">
        <f t="shared" si="1409"/>
        <v>294</v>
      </c>
      <c r="CG272" s="71">
        <f t="shared" si="1410"/>
        <v>323</v>
      </c>
      <c r="CH272" s="70">
        <f t="shared" si="1411"/>
        <v>79</v>
      </c>
      <c r="CI272" s="71" t="str">
        <f t="shared" si="1412"/>
        <v>-</v>
      </c>
      <c r="CJ272" s="72">
        <f t="shared" si="1413"/>
        <v>113</v>
      </c>
      <c r="CK272" s="72">
        <f t="shared" si="1414"/>
        <v>118</v>
      </c>
      <c r="CL272" s="72">
        <f t="shared" si="1415"/>
        <v>154</v>
      </c>
      <c r="CM272" s="72" t="str">
        <f t="shared" si="1416"/>
        <v>-</v>
      </c>
      <c r="CN272" s="72">
        <f t="shared" si="1417"/>
        <v>189</v>
      </c>
      <c r="CO272" s="72">
        <f t="shared" si="1418"/>
        <v>202</v>
      </c>
      <c r="CP272" s="72">
        <f t="shared" si="1419"/>
        <v>242</v>
      </c>
      <c r="CQ272" s="72">
        <f t="shared" si="1420"/>
        <v>289</v>
      </c>
      <c r="CR272" s="72">
        <f t="shared" si="1421"/>
        <v>322</v>
      </c>
      <c r="CS272" s="72">
        <f t="shared" si="1422"/>
        <v>331</v>
      </c>
      <c r="CT272" s="23" t="e">
        <f t="shared" si="1423"/>
        <v>#VALUE!</v>
      </c>
    </row>
    <row r="273" spans="1:1030" x14ac:dyDescent="0.2">
      <c r="A273" s="3" t="str">
        <f t="shared" si="1424"/>
        <v>opsd_bovin__wt</v>
      </c>
      <c r="B273" s="3" t="s">
        <v>919</v>
      </c>
      <c r="C273" s="3" t="s">
        <v>100</v>
      </c>
      <c r="D273" s="3" t="str">
        <f>IFERROR(MID(VLOOKUP($B273,Seqs!$A:$B,2,0),E273,1),"")</f>
        <v>E</v>
      </c>
      <c r="E273" s="105">
        <v>33</v>
      </c>
      <c r="F273" s="3" t="str">
        <f>IFERROR(MID(VLOOKUP($B273,Seqs!$A:$B,2,0),G273,1),"")</f>
        <v>H</v>
      </c>
      <c r="G273" s="3">
        <v>65</v>
      </c>
      <c r="H273" s="3" t="str">
        <f>IFERROR(MID(VLOOKUP($B273,Seqs!$A:$B,2,0),I273,1),"")</f>
        <v>K</v>
      </c>
      <c r="I273" s="23">
        <v>66</v>
      </c>
      <c r="J273" s="3" t="str">
        <f>IFERROR(MID(VLOOKUP($B273,Seqs!$A:$B,2,0),K273,1),"")</f>
        <v>R</v>
      </c>
      <c r="K273" s="23">
        <v>69</v>
      </c>
      <c r="L273" s="3" t="str">
        <f>IFERROR(MID(VLOOKUP($B273,Seqs!$A:$B,2,0),M273,1),"")</f>
        <v>T</v>
      </c>
      <c r="M273" s="3">
        <v>70</v>
      </c>
      <c r="N273" s="3" t="str">
        <f>IFERROR(MID(VLOOKUP($B273,Seqs!$A:$B,2,0),O273,1),"")</f>
        <v>H</v>
      </c>
      <c r="O273" s="3">
        <v>100</v>
      </c>
      <c r="P273" s="3" t="str">
        <f>IFERROR(MID(VLOOKUP($B273,Seqs!$A:$B,2,0),Q273,1),"")</f>
        <v>Y</v>
      </c>
      <c r="Q273" s="3">
        <v>102</v>
      </c>
      <c r="R273" s="3" t="str">
        <f>IFERROR(MID(VLOOKUP($B273,Seqs!$A:$B,2,0),S273,1),"")</f>
        <v>F</v>
      </c>
      <c r="S273" s="3">
        <v>105</v>
      </c>
      <c r="T273" s="3" t="str">
        <f>IFERROR(MID(VLOOKUP($B273,Seqs!$A:$B,2,0),U273,1),"")</f>
        <v>G</v>
      </c>
      <c r="U273" s="3">
        <v>106</v>
      </c>
      <c r="V273" s="3" t="str">
        <f>IFERROR(MID(VLOOKUP($B273,Seqs!$A:$B,2,0),W273,1),"")</f>
        <v>K</v>
      </c>
      <c r="W273" s="3">
        <v>141</v>
      </c>
      <c r="X273" s="3" t="str">
        <f>IFERROR(MID(VLOOKUP($B273,Seqs!$A:$B,2,0),Y273,1),"")</f>
        <v>P</v>
      </c>
      <c r="Y273" s="3">
        <v>142</v>
      </c>
      <c r="Z273" s="3" t="str">
        <f>IFERROR(MID(VLOOKUP($B273,Seqs!$A:$B,2,0),AA273,1),"")</f>
        <v>F</v>
      </c>
      <c r="AA273" s="105">
        <v>148</v>
      </c>
      <c r="AB273" s="3" t="str">
        <f>IFERROR(MID(VLOOKUP($B273,Seqs!$A:$B,2,0),AC273,1),"")</f>
        <v>G</v>
      </c>
      <c r="AC273" s="105">
        <v>149</v>
      </c>
      <c r="AD273" s="3" t="str">
        <f>IFERROR(MID(VLOOKUP($B273,Seqs!$A:$B,2,0),AE273,1),"")</f>
        <v>V</v>
      </c>
      <c r="AE273" s="3">
        <v>173</v>
      </c>
      <c r="AF273" s="3" t="str">
        <f>IFERROR(MID(VLOOKUP($B273,Seqs!$A:$B,2,0),AG273,1),"")</f>
        <v>C</v>
      </c>
      <c r="AG273" s="3">
        <v>187</v>
      </c>
      <c r="AH273" s="3" t="str">
        <f>IFERROR(MID(VLOOKUP($B273,Seqs!$A:$B,2,0),AI273,1),"")</f>
        <v>I</v>
      </c>
      <c r="AI273" s="3">
        <v>189</v>
      </c>
      <c r="AJ273" s="3" t="str">
        <f>IFERROR(MID(VLOOKUP($B273,Seqs!$A:$B,2,0),AK273,1),"")</f>
        <v>N</v>
      </c>
      <c r="AK273" s="3">
        <v>199</v>
      </c>
      <c r="AL273" s="3" t="str">
        <f>IFERROR(MID(VLOOKUP($B273,Seqs!$A:$B,2,0),AM273,1),"")</f>
        <v>Q</v>
      </c>
      <c r="AM273" s="3">
        <v>237</v>
      </c>
      <c r="AN273" s="3" t="str">
        <f>IFERROR(MID(VLOOKUP($B273,Seqs!$A:$B,2,0),AO273,1),"")</f>
        <v>S</v>
      </c>
      <c r="AO273" s="105">
        <v>240</v>
      </c>
      <c r="AP273" s="3" t="str">
        <f>IFERROR(MID(VLOOKUP($B273,Seqs!$A:$B,2,0),AQ273,1),"")</f>
        <v>H</v>
      </c>
      <c r="AQ273" s="3">
        <v>278</v>
      </c>
      <c r="AR273" s="3" t="str">
        <f>IFERROR(MID(VLOOKUP($B273,Seqs!$A:$B,2,0),AS273,1),"")</f>
        <v>G</v>
      </c>
      <c r="AS273" s="3">
        <v>284</v>
      </c>
      <c r="AT273" s="3" t="str">
        <f>IFERROR(MID(VLOOKUP($B273,Seqs!$A:$B,2,0),AU273,1),"")</f>
        <v>M</v>
      </c>
      <c r="AU273" s="3">
        <v>309</v>
      </c>
      <c r="AV273" s="3" t="str">
        <f>IFERROR(MID(VLOOKUP($B273,Seqs!$A:$B,2,0),AW273,1),"")</f>
        <v>N</v>
      </c>
      <c r="AW273" s="3">
        <v>310</v>
      </c>
      <c r="AX273" s="3" t="str">
        <f>IFERROR(MID(VLOOKUP($B273,Seqs!$A:$B,2,0),AY273,1),"")</f>
        <v>C</v>
      </c>
      <c r="AY273" s="3">
        <v>322</v>
      </c>
      <c r="AZ273" s="77" t="str">
        <f>VLOOKUP(B273,Classification!A:D,2,0)</f>
        <v>A</v>
      </c>
      <c r="BA273" s="94" t="str">
        <f>VLOOKUP(B273,Classification!A:D,4,0)</f>
        <v>Opsins</v>
      </c>
      <c r="BB273" s="27" t="b">
        <f t="shared" si="1425"/>
        <v>1</v>
      </c>
      <c r="BC273" s="23">
        <f t="shared" si="1398"/>
        <v>260</v>
      </c>
      <c r="BD273" s="34" t="s">
        <v>23</v>
      </c>
      <c r="BE273" s="3" t="s">
        <v>23</v>
      </c>
      <c r="BF273" s="118" t="s">
        <v>23</v>
      </c>
      <c r="BG273" s="49" t="s">
        <v>1372</v>
      </c>
      <c r="BH273" s="49" t="s">
        <v>1377</v>
      </c>
      <c r="BI273" s="1"/>
      <c r="BJ273" s="70" t="s">
        <v>1287</v>
      </c>
      <c r="BK273" s="57" t="s">
        <v>1287</v>
      </c>
      <c r="BL273" s="57" t="s">
        <v>1287</v>
      </c>
      <c r="BM273" s="57" t="s">
        <v>1287</v>
      </c>
      <c r="BN273" s="57" t="s">
        <v>1287</v>
      </c>
      <c r="BO273" s="57" t="s">
        <v>1287</v>
      </c>
      <c r="BP273" s="57" t="s">
        <v>1287</v>
      </c>
      <c r="BQ273" s="57" t="s">
        <v>1287</v>
      </c>
      <c r="BR273" s="57" t="s">
        <v>1287</v>
      </c>
      <c r="BS273" s="57" t="s">
        <v>1287</v>
      </c>
      <c r="BT273" s="57" t="s">
        <v>1287</v>
      </c>
      <c r="BU273" s="57" t="s">
        <v>1287</v>
      </c>
      <c r="BV273" s="70">
        <f t="shared" si="1399"/>
        <v>33</v>
      </c>
      <c r="BW273" s="71">
        <f t="shared" si="1400"/>
        <v>66</v>
      </c>
      <c r="BX273" s="72">
        <f t="shared" si="1401"/>
        <v>70</v>
      </c>
      <c r="BY273" s="71">
        <f t="shared" si="1402"/>
        <v>102</v>
      </c>
      <c r="BZ273" s="72">
        <f t="shared" si="1403"/>
        <v>106</v>
      </c>
      <c r="CA273" s="71">
        <f t="shared" si="1404"/>
        <v>142</v>
      </c>
      <c r="CB273" s="72">
        <f t="shared" si="1405"/>
        <v>149</v>
      </c>
      <c r="CC273" s="71">
        <f t="shared" si="1406"/>
        <v>187</v>
      </c>
      <c r="CD273" s="72">
        <f t="shared" si="1407"/>
        <v>199</v>
      </c>
      <c r="CE273" s="71">
        <f t="shared" si="1408"/>
        <v>240</v>
      </c>
      <c r="CF273" s="72">
        <f t="shared" si="1409"/>
        <v>284</v>
      </c>
      <c r="CG273" s="71">
        <f t="shared" si="1410"/>
        <v>310</v>
      </c>
      <c r="CH273" s="70">
        <f t="shared" si="1411"/>
        <v>65</v>
      </c>
      <c r="CI273" s="71">
        <f t="shared" si="1412"/>
        <v>69</v>
      </c>
      <c r="CJ273" s="72">
        <f t="shared" si="1413"/>
        <v>100</v>
      </c>
      <c r="CK273" s="72">
        <f t="shared" si="1414"/>
        <v>105</v>
      </c>
      <c r="CL273" s="72">
        <f t="shared" si="1415"/>
        <v>141</v>
      </c>
      <c r="CM273" s="72">
        <f t="shared" si="1416"/>
        <v>148</v>
      </c>
      <c r="CN273" s="72">
        <f t="shared" si="1417"/>
        <v>173</v>
      </c>
      <c r="CO273" s="72">
        <f t="shared" si="1418"/>
        <v>189</v>
      </c>
      <c r="CP273" s="72">
        <f t="shared" si="1419"/>
        <v>237</v>
      </c>
      <c r="CQ273" s="72">
        <f t="shared" si="1420"/>
        <v>278</v>
      </c>
      <c r="CR273" s="72">
        <f t="shared" si="1421"/>
        <v>309</v>
      </c>
      <c r="CS273" s="72">
        <f t="shared" si="1422"/>
        <v>322</v>
      </c>
      <c r="CT273" s="23">
        <f t="shared" si="1423"/>
        <v>1</v>
      </c>
    </row>
    <row r="274" spans="1:1030" x14ac:dyDescent="0.2">
      <c r="A274" s="3" t="str">
        <f t="shared" si="1424"/>
        <v>opsd_bovin_1GZM</v>
      </c>
      <c r="B274" s="3" t="s">
        <v>919</v>
      </c>
      <c r="C274" s="3" t="s">
        <v>1337</v>
      </c>
      <c r="D274" s="3" t="str">
        <f>IFERROR(MID(VLOOKUP($B274,Seqs!$A:$B,2,0),E274,1),"")</f>
        <v>E</v>
      </c>
      <c r="E274" s="105">
        <v>33</v>
      </c>
      <c r="F274" s="3" t="str">
        <f>IFERROR(MID(VLOOKUP($B274,Seqs!$A:$B,2,0),G274,1),"")</f>
        <v>H</v>
      </c>
      <c r="G274" s="3">
        <v>65</v>
      </c>
      <c r="H274" s="3" t="str">
        <f>IFERROR(MID(VLOOKUP($B274,Seqs!$A:$B,2,0),I274,1),"")</f>
        <v>K</v>
      </c>
      <c r="I274" s="23">
        <v>66</v>
      </c>
      <c r="J274" s="3" t="str">
        <f>IFERROR(MID(VLOOKUP($B274,Seqs!$A:$B,2,0),K274,1),"")</f>
        <v>R</v>
      </c>
      <c r="K274" s="23">
        <v>69</v>
      </c>
      <c r="L274" s="3" t="str">
        <f>IFERROR(MID(VLOOKUP($B274,Seqs!$A:$B,2,0),M274,1),"")</f>
        <v>T</v>
      </c>
      <c r="M274" s="3">
        <v>70</v>
      </c>
      <c r="N274" s="3" t="str">
        <f>IFERROR(MID(VLOOKUP($B274,Seqs!$A:$B,2,0),O274,1),"")</f>
        <v>H</v>
      </c>
      <c r="O274" s="3">
        <v>100</v>
      </c>
      <c r="P274" s="3" t="str">
        <f>IFERROR(MID(VLOOKUP($B274,Seqs!$A:$B,2,0),Q274,1),"")</f>
        <v>Y</v>
      </c>
      <c r="Q274" s="3">
        <v>102</v>
      </c>
      <c r="R274" s="3" t="str">
        <f>IFERROR(MID(VLOOKUP($B274,Seqs!$A:$B,2,0),S274,1),"")</f>
        <v>F</v>
      </c>
      <c r="S274" s="3">
        <v>105</v>
      </c>
      <c r="T274" s="3" t="str">
        <f>IFERROR(MID(VLOOKUP($B274,Seqs!$A:$B,2,0),U274,1),"")</f>
        <v>G</v>
      </c>
      <c r="U274" s="3">
        <v>106</v>
      </c>
      <c r="V274" s="3" t="str">
        <f>IFERROR(MID(VLOOKUP($B274,Seqs!$A:$B,2,0),W274,1),"")</f>
        <v>K</v>
      </c>
      <c r="W274" s="3">
        <v>141</v>
      </c>
      <c r="X274" s="3" t="str">
        <f>IFERROR(MID(VLOOKUP($B274,Seqs!$A:$B,2,0),Y274,1),"")</f>
        <v/>
      </c>
      <c r="Y274" s="3" t="s">
        <v>23</v>
      </c>
      <c r="Z274" s="3" t="str">
        <f>IFERROR(MID(VLOOKUP($B274,Seqs!$A:$B,2,0),AA274,1),"")</f>
        <v/>
      </c>
      <c r="AA274" s="3" t="s">
        <v>23</v>
      </c>
      <c r="AB274" s="3" t="str">
        <f>IFERROR(MID(VLOOKUP($B274,Seqs!$A:$B,2,0),AC274,1),"")</f>
        <v>G</v>
      </c>
      <c r="AC274" s="9">
        <v>149</v>
      </c>
      <c r="AD274" s="3" t="str">
        <f>IFERROR(MID(VLOOKUP($B274,Seqs!$A:$B,2,0),AE274,1),"")</f>
        <v>V</v>
      </c>
      <c r="AE274" s="3">
        <v>173</v>
      </c>
      <c r="AF274" s="3" t="str">
        <f>IFERROR(MID(VLOOKUP($B274,Seqs!$A:$B,2,0),AG274,1),"")</f>
        <v>C</v>
      </c>
      <c r="AG274" s="3">
        <v>187</v>
      </c>
      <c r="AH274" s="3" t="str">
        <f>IFERROR(MID(VLOOKUP($B274,Seqs!$A:$B,2,0),AI274,1),"")</f>
        <v>I</v>
      </c>
      <c r="AI274" s="3">
        <v>189</v>
      </c>
      <c r="AJ274" s="3" t="str">
        <f>IFERROR(MID(VLOOKUP($B274,Seqs!$A:$B,2,0),AK274,1),"")</f>
        <v>N</v>
      </c>
      <c r="AK274" s="3">
        <v>199</v>
      </c>
      <c r="AL274" s="3" t="str">
        <f>IFERROR(MID(VLOOKUP($B274,Seqs!$A:$B,2,0),AM274,1),"")</f>
        <v>A</v>
      </c>
      <c r="AM274" s="3">
        <v>233</v>
      </c>
      <c r="AN274" s="3" t="str">
        <f>IFERROR(MID(VLOOKUP($B274,Seqs!$A:$B,2,0),AO274,1),"")</f>
        <v>A</v>
      </c>
      <c r="AO274" s="3">
        <v>241</v>
      </c>
      <c r="AP274" s="3" t="str">
        <f>IFERROR(MID(VLOOKUP($B274,Seqs!$A:$B,2,0),AQ274,1),"")</f>
        <v>H</v>
      </c>
      <c r="AQ274" s="3">
        <v>278</v>
      </c>
      <c r="AR274" s="3" t="str">
        <f>IFERROR(MID(VLOOKUP($B274,Seqs!$A:$B,2,0),AS274,1),"")</f>
        <v>G</v>
      </c>
      <c r="AS274" s="3">
        <v>284</v>
      </c>
      <c r="AT274" s="3" t="str">
        <f>IFERROR(MID(VLOOKUP($B274,Seqs!$A:$B,2,0),AU274,1),"")</f>
        <v>M</v>
      </c>
      <c r="AU274" s="3">
        <v>309</v>
      </c>
      <c r="AV274" s="3" t="str">
        <f>IFERROR(MID(VLOOKUP($B274,Seqs!$A:$B,2,0),AW274,1),"")</f>
        <v>N</v>
      </c>
      <c r="AW274" s="3">
        <v>310</v>
      </c>
      <c r="AX274" s="3" t="str">
        <f>IFERROR(MID(VLOOKUP($B274,Seqs!$A:$B,2,0),AY274,1),"")</f>
        <v>C</v>
      </c>
      <c r="AY274" s="3">
        <v>322</v>
      </c>
      <c r="AZ274" s="77" t="str">
        <f>VLOOKUP(B274,Classification!A:D,2,0)</f>
        <v>A</v>
      </c>
      <c r="BA274" s="94" t="str">
        <f>VLOOKUP(B274,Classification!A:D,4,0)</f>
        <v>Opsins</v>
      </c>
      <c r="BB274" s="27" t="b">
        <f t="shared" si="1425"/>
        <v>1</v>
      </c>
      <c r="BC274" s="23">
        <f t="shared" si="1398"/>
        <v>249</v>
      </c>
      <c r="BD274" s="56" t="s">
        <v>1376</v>
      </c>
      <c r="BE274" s="3" t="s">
        <v>1374</v>
      </c>
      <c r="BF274" s="118">
        <v>2.65</v>
      </c>
      <c r="BG274" s="49" t="s">
        <v>1377</v>
      </c>
      <c r="BH274" s="49" t="s">
        <v>1377</v>
      </c>
      <c r="BI274" s="1"/>
      <c r="BJ274" s="70" t="s">
        <v>1287</v>
      </c>
      <c r="BK274" s="57" t="s">
        <v>1287</v>
      </c>
      <c r="BL274" s="57" t="s">
        <v>1287</v>
      </c>
      <c r="BM274" s="57" t="s">
        <v>1287</v>
      </c>
      <c r="BN274" s="57" t="s">
        <v>1287</v>
      </c>
      <c r="BO274" s="57" t="s">
        <v>1287</v>
      </c>
      <c r="BP274" s="57" t="s">
        <v>1287</v>
      </c>
      <c r="BQ274" s="57" t="s">
        <v>1287</v>
      </c>
      <c r="BR274" s="57" t="s">
        <v>1287</v>
      </c>
      <c r="BS274" s="57" t="s">
        <v>1287</v>
      </c>
      <c r="BT274" s="57" t="s">
        <v>1287</v>
      </c>
      <c r="BU274" s="57" t="s">
        <v>1287</v>
      </c>
      <c r="BV274" s="70">
        <f t="shared" si="1399"/>
        <v>33</v>
      </c>
      <c r="BW274" s="71">
        <f t="shared" si="1400"/>
        <v>66</v>
      </c>
      <c r="BX274" s="72">
        <f t="shared" si="1401"/>
        <v>70</v>
      </c>
      <c r="BY274" s="71">
        <f t="shared" si="1402"/>
        <v>102</v>
      </c>
      <c r="BZ274" s="72">
        <f t="shared" si="1403"/>
        <v>106</v>
      </c>
      <c r="CA274" s="71" t="str">
        <f t="shared" si="1404"/>
        <v>-</v>
      </c>
      <c r="CB274" s="72">
        <f t="shared" si="1405"/>
        <v>149</v>
      </c>
      <c r="CC274" s="71">
        <f t="shared" si="1406"/>
        <v>187</v>
      </c>
      <c r="CD274" s="72">
        <f t="shared" si="1407"/>
        <v>199</v>
      </c>
      <c r="CE274" s="71">
        <f t="shared" si="1408"/>
        <v>241</v>
      </c>
      <c r="CF274" s="72">
        <f t="shared" si="1409"/>
        <v>284</v>
      </c>
      <c r="CG274" s="71">
        <f t="shared" si="1410"/>
        <v>310</v>
      </c>
      <c r="CH274" s="70">
        <f t="shared" si="1411"/>
        <v>65</v>
      </c>
      <c r="CI274" s="71">
        <f t="shared" si="1412"/>
        <v>69</v>
      </c>
      <c r="CJ274" s="72">
        <f t="shared" si="1413"/>
        <v>100</v>
      </c>
      <c r="CK274" s="72">
        <f t="shared" si="1414"/>
        <v>105</v>
      </c>
      <c r="CL274" s="72">
        <f t="shared" si="1415"/>
        <v>141</v>
      </c>
      <c r="CM274" s="72" t="str">
        <f t="shared" si="1416"/>
        <v>-</v>
      </c>
      <c r="CN274" s="72">
        <f t="shared" si="1417"/>
        <v>173</v>
      </c>
      <c r="CO274" s="72">
        <f t="shared" si="1418"/>
        <v>189</v>
      </c>
      <c r="CP274" s="72">
        <f t="shared" si="1419"/>
        <v>233</v>
      </c>
      <c r="CQ274" s="72">
        <f t="shared" si="1420"/>
        <v>278</v>
      </c>
      <c r="CR274" s="72">
        <f t="shared" si="1421"/>
        <v>309</v>
      </c>
      <c r="CS274" s="72">
        <f t="shared" si="1422"/>
        <v>322</v>
      </c>
      <c r="CT274" s="23">
        <f t="shared" si="1423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1424"/>
        <v>opsd_bovin_1U19</v>
      </c>
      <c r="B275" s="3" t="s">
        <v>919</v>
      </c>
      <c r="C275" s="3" t="s">
        <v>53</v>
      </c>
      <c r="D275" s="3" t="str">
        <f>IFERROR(MID(VLOOKUP($B275,Seqs!$A:$B,2,0),E275,1),"")</f>
        <v>E</v>
      </c>
      <c r="E275" s="105">
        <v>33</v>
      </c>
      <c r="F275" s="3" t="str">
        <f>IFERROR(MID(VLOOKUP($B275,Seqs!$A:$B,2,0),G275,1),"")</f>
        <v>H</v>
      </c>
      <c r="G275" s="3">
        <v>65</v>
      </c>
      <c r="H275" s="3" t="str">
        <f>IFERROR(MID(VLOOKUP($B275,Seqs!$A:$B,2,0),I275,1),"")</f>
        <v>K</v>
      </c>
      <c r="I275" s="23">
        <v>66</v>
      </c>
      <c r="J275" s="3" t="str">
        <f>IFERROR(MID(VLOOKUP($B275,Seqs!$A:$B,2,0),K275,1),"")</f>
        <v>R</v>
      </c>
      <c r="K275" s="23">
        <v>69</v>
      </c>
      <c r="L275" s="3" t="str">
        <f>IFERROR(MID(VLOOKUP($B275,Seqs!$A:$B,2,0),M275,1),"")</f>
        <v>T</v>
      </c>
      <c r="M275" s="3">
        <v>70</v>
      </c>
      <c r="N275" s="3" t="str">
        <f>IFERROR(MID(VLOOKUP($B275,Seqs!$A:$B,2,0),O275,1),"")</f>
        <v>H</v>
      </c>
      <c r="O275" s="3">
        <v>100</v>
      </c>
      <c r="P275" s="3" t="str">
        <f>IFERROR(MID(VLOOKUP($B275,Seqs!$A:$B,2,0),Q275,1),"")</f>
        <v>Y</v>
      </c>
      <c r="Q275" s="3">
        <v>102</v>
      </c>
      <c r="R275" s="3" t="str">
        <f>IFERROR(MID(VLOOKUP($B275,Seqs!$A:$B,2,0),S275,1),"")</f>
        <v>F</v>
      </c>
      <c r="S275" s="3">
        <v>105</v>
      </c>
      <c r="T275" s="3" t="str">
        <f>IFERROR(MID(VLOOKUP($B275,Seqs!$A:$B,2,0),U275,1),"")</f>
        <v>G</v>
      </c>
      <c r="U275" s="3">
        <v>106</v>
      </c>
      <c r="V275" s="3" t="str">
        <f>IFERROR(MID(VLOOKUP($B275,Seqs!$A:$B,2,0),W275,1),"")</f>
        <v>K</v>
      </c>
      <c r="W275" s="3">
        <v>141</v>
      </c>
      <c r="X275" s="3" t="str">
        <f>IFERROR(MID(VLOOKUP($B275,Seqs!$A:$B,2,0),Y275,1),"")</f>
        <v/>
      </c>
      <c r="Y275" s="3" t="s">
        <v>23</v>
      </c>
      <c r="Z275" s="3" t="str">
        <f>IFERROR(MID(VLOOKUP($B275,Seqs!$A:$B,2,0),AA275,1),"")</f>
        <v/>
      </c>
      <c r="AA275" s="3" t="s">
        <v>23</v>
      </c>
      <c r="AB275" s="3" t="str">
        <f>IFERROR(MID(VLOOKUP($B275,Seqs!$A:$B,2,0),AC275,1),"")</f>
        <v>G</v>
      </c>
      <c r="AC275" s="9">
        <v>149</v>
      </c>
      <c r="AD275" s="3" t="str">
        <f>IFERROR(MID(VLOOKUP($B275,Seqs!$A:$B,2,0),AE275,1),"")</f>
        <v>V</v>
      </c>
      <c r="AE275" s="3">
        <v>173</v>
      </c>
      <c r="AF275" s="3" t="str">
        <f>IFERROR(MID(VLOOKUP($B275,Seqs!$A:$B,2,0),AG275,1),"")</f>
        <v>C</v>
      </c>
      <c r="AG275" s="3">
        <v>187</v>
      </c>
      <c r="AH275" s="3" t="str">
        <f>IFERROR(MID(VLOOKUP($B275,Seqs!$A:$B,2,0),AI275,1),"")</f>
        <v>I</v>
      </c>
      <c r="AI275" s="3">
        <v>189</v>
      </c>
      <c r="AJ275" s="3" t="str">
        <f>IFERROR(MID(VLOOKUP($B275,Seqs!$A:$B,2,0),AK275,1),"")</f>
        <v>N</v>
      </c>
      <c r="AK275" s="3">
        <v>199</v>
      </c>
      <c r="AL275" s="3" t="str">
        <f>IFERROR(MID(VLOOKUP($B275,Seqs!$A:$B,2,0),AM275,1),"")</f>
        <v>Q</v>
      </c>
      <c r="AM275" s="3">
        <v>225</v>
      </c>
      <c r="AN275" s="3" t="str">
        <f>IFERROR(MID(VLOOKUP($B275,Seqs!$A:$B,2,0),AO275,1),"")</f>
        <v>T</v>
      </c>
      <c r="AO275" s="3">
        <v>243</v>
      </c>
      <c r="AP275" s="3" t="str">
        <f>IFERROR(MID(VLOOKUP($B275,Seqs!$A:$B,2,0),AQ275,1),"")</f>
        <v>H</v>
      </c>
      <c r="AQ275" s="3">
        <v>278</v>
      </c>
      <c r="AR275" s="3" t="str">
        <f>IFERROR(MID(VLOOKUP($B275,Seqs!$A:$B,2,0),AS275,1),"")</f>
        <v>G</v>
      </c>
      <c r="AS275" s="3">
        <v>284</v>
      </c>
      <c r="AT275" s="3" t="str">
        <f>IFERROR(MID(VLOOKUP($B275,Seqs!$A:$B,2,0),AU275,1),"")</f>
        <v>M</v>
      </c>
      <c r="AU275" s="3">
        <v>309</v>
      </c>
      <c r="AV275" s="3" t="str">
        <f>IFERROR(MID(VLOOKUP($B275,Seqs!$A:$B,2,0),AW275,1),"")</f>
        <v>N</v>
      </c>
      <c r="AW275" s="3">
        <v>310</v>
      </c>
      <c r="AX275" s="3" t="str">
        <f>IFERROR(MID(VLOOKUP($B275,Seqs!$A:$B,2,0),AY275,1),"")</f>
        <v>C</v>
      </c>
      <c r="AY275" s="3">
        <v>322</v>
      </c>
      <c r="AZ275" s="77" t="str">
        <f>VLOOKUP(B275,Classification!A:D,2,0)</f>
        <v>A</v>
      </c>
      <c r="BA275" s="94" t="str">
        <f>VLOOKUP(B275,Classification!A:D,4,0)</f>
        <v>Opsins</v>
      </c>
      <c r="BB275" s="27" t="b">
        <f t="shared" si="1425"/>
        <v>1</v>
      </c>
      <c r="BC275" s="23">
        <f t="shared" si="1398"/>
        <v>239</v>
      </c>
      <c r="BD275" s="74" t="s">
        <v>23</v>
      </c>
      <c r="BE275" s="3" t="s">
        <v>1374</v>
      </c>
      <c r="BF275" s="118">
        <v>2.2000000000000002</v>
      </c>
      <c r="BG275" s="49" t="s">
        <v>1</v>
      </c>
      <c r="BH275" s="49" t="s">
        <v>1377</v>
      </c>
      <c r="BI275" s="1"/>
      <c r="BJ275" s="70" t="s">
        <v>1287</v>
      </c>
      <c r="BK275" s="57" t="s">
        <v>1287</v>
      </c>
      <c r="BL275" s="57" t="s">
        <v>1287</v>
      </c>
      <c r="BM275" s="57" t="s">
        <v>1287</v>
      </c>
      <c r="BN275" s="57" t="s">
        <v>1287</v>
      </c>
      <c r="BO275" s="57" t="s">
        <v>1287</v>
      </c>
      <c r="BP275" s="57" t="s">
        <v>1287</v>
      </c>
      <c r="BQ275" s="57" t="s">
        <v>1287</v>
      </c>
      <c r="BR275" s="57" t="s">
        <v>1287</v>
      </c>
      <c r="BS275" s="57" t="s">
        <v>1287</v>
      </c>
      <c r="BT275" s="57" t="s">
        <v>1287</v>
      </c>
      <c r="BU275" s="57" t="s">
        <v>1287</v>
      </c>
      <c r="BV275" s="70">
        <f t="shared" si="1399"/>
        <v>33</v>
      </c>
      <c r="BW275" s="71">
        <f t="shared" si="1400"/>
        <v>66</v>
      </c>
      <c r="BX275" s="72">
        <f t="shared" si="1401"/>
        <v>70</v>
      </c>
      <c r="BY275" s="71">
        <f t="shared" si="1402"/>
        <v>102</v>
      </c>
      <c r="BZ275" s="72">
        <f t="shared" si="1403"/>
        <v>106</v>
      </c>
      <c r="CA275" s="71" t="str">
        <f t="shared" si="1404"/>
        <v>-</v>
      </c>
      <c r="CB275" s="72">
        <f t="shared" si="1405"/>
        <v>149</v>
      </c>
      <c r="CC275" s="71">
        <f t="shared" si="1406"/>
        <v>187</v>
      </c>
      <c r="CD275" s="72">
        <f t="shared" si="1407"/>
        <v>199</v>
      </c>
      <c r="CE275" s="71">
        <f t="shared" si="1408"/>
        <v>243</v>
      </c>
      <c r="CF275" s="72">
        <f t="shared" si="1409"/>
        <v>284</v>
      </c>
      <c r="CG275" s="71">
        <f t="shared" si="1410"/>
        <v>310</v>
      </c>
      <c r="CH275" s="70">
        <f t="shared" si="1411"/>
        <v>65</v>
      </c>
      <c r="CI275" s="71">
        <f t="shared" si="1412"/>
        <v>69</v>
      </c>
      <c r="CJ275" s="72">
        <f t="shared" si="1413"/>
        <v>100</v>
      </c>
      <c r="CK275" s="72">
        <f t="shared" si="1414"/>
        <v>105</v>
      </c>
      <c r="CL275" s="72">
        <f t="shared" si="1415"/>
        <v>141</v>
      </c>
      <c r="CM275" s="72" t="str">
        <f t="shared" si="1416"/>
        <v>-</v>
      </c>
      <c r="CN275" s="72">
        <f t="shared" si="1417"/>
        <v>173</v>
      </c>
      <c r="CO275" s="72">
        <f t="shared" si="1418"/>
        <v>189</v>
      </c>
      <c r="CP275" s="72">
        <f t="shared" si="1419"/>
        <v>225</v>
      </c>
      <c r="CQ275" s="72">
        <f t="shared" si="1420"/>
        <v>278</v>
      </c>
      <c r="CR275" s="72">
        <f t="shared" si="1421"/>
        <v>309</v>
      </c>
      <c r="CS275" s="72">
        <f t="shared" si="1422"/>
        <v>322</v>
      </c>
      <c r="CT275" s="23">
        <f t="shared" si="1423"/>
        <v>1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1424"/>
        <v>opsd_bovin_2X72</v>
      </c>
      <c r="B276" s="2" t="s">
        <v>919</v>
      </c>
      <c r="C276" s="3" t="s">
        <v>1369</v>
      </c>
      <c r="D276" s="3" t="str">
        <f>IFERROR(MID(VLOOKUP($B276,Seqs!$A:$B,2,0),E276,1),"")</f>
        <v>E</v>
      </c>
      <c r="E276" s="105">
        <v>33</v>
      </c>
      <c r="F276" s="3" t="str">
        <f>IFERROR(MID(VLOOKUP($B276,Seqs!$A:$B,2,0),G276,1),"")</f>
        <v>H</v>
      </c>
      <c r="G276" s="3">
        <v>65</v>
      </c>
      <c r="H276" s="3" t="str">
        <f>IFERROR(MID(VLOOKUP($B276,Seqs!$A:$B,2,0),I276,1),"")</f>
        <v>K</v>
      </c>
      <c r="I276" s="23">
        <v>66</v>
      </c>
      <c r="J276" s="3" t="str">
        <f>IFERROR(MID(VLOOKUP($B276,Seqs!$A:$B,2,0),K276,1),"")</f>
        <v>R</v>
      </c>
      <c r="K276" s="23">
        <v>69</v>
      </c>
      <c r="L276" s="3" t="str">
        <f>IFERROR(MID(VLOOKUP($B276,Seqs!$A:$B,2,0),M276,1),"")</f>
        <v>T</v>
      </c>
      <c r="M276" s="3">
        <v>70</v>
      </c>
      <c r="N276" s="3" t="str">
        <f>IFERROR(MID(VLOOKUP($B276,Seqs!$A:$B,2,0),O276,1),"")</f>
        <v>H</v>
      </c>
      <c r="O276" s="3">
        <v>100</v>
      </c>
      <c r="P276" s="3" t="str">
        <f>IFERROR(MID(VLOOKUP($B276,Seqs!$A:$B,2,0),Q276,1),"")</f>
        <v>Y</v>
      </c>
      <c r="Q276" s="3">
        <v>102</v>
      </c>
      <c r="R276" s="3" t="str">
        <f>IFERROR(MID(VLOOKUP($B276,Seqs!$A:$B,2,0),S276,1),"")</f>
        <v>F</v>
      </c>
      <c r="S276" s="3">
        <v>105</v>
      </c>
      <c r="T276" s="3" t="str">
        <f>IFERROR(MID(VLOOKUP($B276,Seqs!$A:$B,2,0),U276,1),"")</f>
        <v>G</v>
      </c>
      <c r="U276" s="3">
        <v>106</v>
      </c>
      <c r="V276" s="3" t="str">
        <f>IFERROR(MID(VLOOKUP($B276,Seqs!$A:$B,2,0),W276,1),"")</f>
        <v>K</v>
      </c>
      <c r="W276" s="3">
        <v>141</v>
      </c>
      <c r="X276" s="3" t="str">
        <f>IFERROR(MID(VLOOKUP($B276,Seqs!$A:$B,2,0),Y276,1),"")</f>
        <v/>
      </c>
      <c r="Y276" s="3" t="s">
        <v>23</v>
      </c>
      <c r="Z276" s="3" t="str">
        <f>IFERROR(MID(VLOOKUP($B276,Seqs!$A:$B,2,0),AA276,1),"")</f>
        <v/>
      </c>
      <c r="AA276" s="3" t="s">
        <v>23</v>
      </c>
      <c r="AB276" s="3" t="str">
        <f>IFERROR(MID(VLOOKUP($B276,Seqs!$A:$B,2,0),AC276,1),"")</f>
        <v>G</v>
      </c>
      <c r="AC276" s="9">
        <v>149</v>
      </c>
      <c r="AD276" s="3" t="str">
        <f>IFERROR(MID(VLOOKUP($B276,Seqs!$A:$B,2,0),AE276,1),"")</f>
        <v>V</v>
      </c>
      <c r="AE276" s="3">
        <v>173</v>
      </c>
      <c r="AF276" s="3" t="str">
        <f>IFERROR(MID(VLOOKUP($B276,Seqs!$A:$B,2,0),AG276,1),"")</f>
        <v>C</v>
      </c>
      <c r="AG276" s="3">
        <v>187</v>
      </c>
      <c r="AH276" s="3" t="str">
        <f>IFERROR(MID(VLOOKUP($B276,Seqs!$A:$B,2,0),AI276,1),"")</f>
        <v>I</v>
      </c>
      <c r="AI276" s="3">
        <v>189</v>
      </c>
      <c r="AJ276" s="3" t="str">
        <f>IFERROR(MID(VLOOKUP($B276,Seqs!$A:$B,2,0),AK276,1),"")</f>
        <v>N</v>
      </c>
      <c r="AK276" s="3">
        <v>199</v>
      </c>
      <c r="AL276" s="3" t="str">
        <f>IFERROR(MID(VLOOKUP($B276,Seqs!$A:$B,2,0),AM276,1),"")</f>
        <v>Q</v>
      </c>
      <c r="AM276" s="3">
        <v>237</v>
      </c>
      <c r="AN276" s="3" t="str">
        <f>IFERROR(MID(VLOOKUP($B276,Seqs!$A:$B,2,0),AO276,1),"")</f>
        <v>A</v>
      </c>
      <c r="AO276" s="3">
        <v>241</v>
      </c>
      <c r="AP276" s="3" t="str">
        <f>IFERROR(MID(VLOOKUP($B276,Seqs!$A:$B,2,0),AQ276,1),"")</f>
        <v>H</v>
      </c>
      <c r="AQ276" s="3">
        <v>278</v>
      </c>
      <c r="AR276" s="3" t="str">
        <f>IFERROR(MID(VLOOKUP($B276,Seqs!$A:$B,2,0),AS276,1),"")</f>
        <v>G</v>
      </c>
      <c r="AS276" s="3">
        <v>284</v>
      </c>
      <c r="AT276" s="3" t="str">
        <f>IFERROR(MID(VLOOKUP($B276,Seqs!$A:$B,2,0),AU276,1),"")</f>
        <v>M</v>
      </c>
      <c r="AU276" s="3">
        <v>309</v>
      </c>
      <c r="AV276" s="3" t="str">
        <f>IFERROR(MID(VLOOKUP($B276,Seqs!$A:$B,2,0),AW276,1),"")</f>
        <v>N</v>
      </c>
      <c r="AW276" s="3">
        <v>310</v>
      </c>
      <c r="AX276" s="3" t="str">
        <f>IFERROR(MID(VLOOKUP($B276,Seqs!$A:$B,2,0),AY276,1),"")</f>
        <v>C</v>
      </c>
      <c r="AY276" s="3">
        <v>322</v>
      </c>
      <c r="AZ276" s="77" t="str">
        <f>VLOOKUP(B276,Classification!A:D,2,0)</f>
        <v>A</v>
      </c>
      <c r="BA276" s="94" t="str">
        <f>VLOOKUP(B276,Classification!A:D,4,0)</f>
        <v>Opsins</v>
      </c>
      <c r="BB276" s="27" t="b">
        <f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23">
        <f>_xlfn.AGGREGATE(9,6,CH276:CS276)-_xlfn.AGGREGATE(9,6,BV276:CG276)+12</f>
        <v>253</v>
      </c>
      <c r="BD276" s="56" t="s">
        <v>23</v>
      </c>
      <c r="BE276" s="3" t="s">
        <v>1291</v>
      </c>
      <c r="BF276" s="118">
        <v>3</v>
      </c>
      <c r="BG276" s="49" t="s">
        <v>1377</v>
      </c>
      <c r="BH276" s="49" t="s">
        <v>1377</v>
      </c>
      <c r="BI276" s="1"/>
      <c r="BJ276" s="70" t="s">
        <v>1287</v>
      </c>
      <c r="BK276" s="57" t="s">
        <v>1287</v>
      </c>
      <c r="BL276" s="57" t="s">
        <v>1287</v>
      </c>
      <c r="BM276" s="57" t="s">
        <v>1287</v>
      </c>
      <c r="BN276" s="57" t="s">
        <v>1287</v>
      </c>
      <c r="BO276" s="57" t="s">
        <v>1287</v>
      </c>
      <c r="BP276" s="57" t="s">
        <v>1287</v>
      </c>
      <c r="BQ276" s="57" t="s">
        <v>1287</v>
      </c>
      <c r="BR276" s="57" t="s">
        <v>1287</v>
      </c>
      <c r="BS276" s="57" t="s">
        <v>1287</v>
      </c>
      <c r="BT276" s="57" t="s">
        <v>1287</v>
      </c>
      <c r="BU276" s="57" t="s">
        <v>1287</v>
      </c>
      <c r="BV276" s="70">
        <f>E276</f>
        <v>33</v>
      </c>
      <c r="BW276" s="71">
        <f>I276</f>
        <v>66</v>
      </c>
      <c r="BX276" s="72">
        <f>M276</f>
        <v>70</v>
      </c>
      <c r="BY276" s="71">
        <f>Q276</f>
        <v>102</v>
      </c>
      <c r="BZ276" s="72">
        <f>U276</f>
        <v>106</v>
      </c>
      <c r="CA276" s="71" t="str">
        <f>Y276</f>
        <v>-</v>
      </c>
      <c r="CB276" s="72">
        <f>AC276</f>
        <v>149</v>
      </c>
      <c r="CC276" s="71">
        <f>AG276</f>
        <v>187</v>
      </c>
      <c r="CD276" s="72">
        <f>AK276</f>
        <v>199</v>
      </c>
      <c r="CE276" s="71">
        <f>AO276</f>
        <v>241</v>
      </c>
      <c r="CF276" s="72">
        <f>AS276</f>
        <v>284</v>
      </c>
      <c r="CG276" s="71">
        <f>AW276</f>
        <v>310</v>
      </c>
      <c r="CH276" s="70">
        <f>G276</f>
        <v>65</v>
      </c>
      <c r="CI276" s="71">
        <f>K276</f>
        <v>69</v>
      </c>
      <c r="CJ276" s="72">
        <f>O276</f>
        <v>100</v>
      </c>
      <c r="CK276" s="72">
        <f>S276</f>
        <v>105</v>
      </c>
      <c r="CL276" s="72">
        <f>W276</f>
        <v>141</v>
      </c>
      <c r="CM276" s="72" t="str">
        <f>AA276</f>
        <v>-</v>
      </c>
      <c r="CN276" s="72">
        <f>AE276</f>
        <v>173</v>
      </c>
      <c r="CO276" s="72">
        <f>AI276</f>
        <v>189</v>
      </c>
      <c r="CP276" s="72">
        <f>AM276</f>
        <v>237</v>
      </c>
      <c r="CQ276" s="72">
        <f>AQ276</f>
        <v>278</v>
      </c>
      <c r="CR276" s="72">
        <f>AU276</f>
        <v>309</v>
      </c>
      <c r="CS276" s="72">
        <f>AY276</f>
        <v>322</v>
      </c>
      <c r="CT276" s="23">
        <f>M276-K276</f>
        <v>1</v>
      </c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  <c r="ND276" s="6"/>
      <c r="NE276" s="6"/>
      <c r="NF276" s="6"/>
      <c r="NG276" s="6"/>
      <c r="NH276" s="6"/>
      <c r="NI276" s="6"/>
      <c r="NJ276" s="6"/>
      <c r="NK276" s="6"/>
      <c r="NL276" s="6"/>
      <c r="NM276" s="6"/>
      <c r="NN276" s="6"/>
      <c r="NO276" s="6"/>
      <c r="NP276" s="6"/>
      <c r="NQ276" s="6"/>
      <c r="NR276" s="6"/>
      <c r="NS276" s="6"/>
      <c r="NT276" s="6"/>
      <c r="NU276" s="6"/>
      <c r="NV276" s="6"/>
      <c r="NW276" s="6"/>
      <c r="NX276" s="6"/>
      <c r="NY276" s="6"/>
      <c r="NZ276" s="6"/>
      <c r="OA276" s="6"/>
      <c r="OB276" s="6"/>
      <c r="OC276" s="6"/>
      <c r="OD276" s="6"/>
      <c r="OE276" s="6"/>
      <c r="OF276" s="6"/>
      <c r="OG276" s="6"/>
      <c r="OH276" s="6"/>
      <c r="OI276" s="6"/>
      <c r="OJ276" s="6"/>
      <c r="OK276" s="6"/>
      <c r="OL276" s="6"/>
      <c r="OM276" s="6"/>
      <c r="ON276" s="6"/>
      <c r="OO276" s="6"/>
      <c r="OP276" s="6"/>
      <c r="OQ276" s="6"/>
      <c r="OR276" s="6"/>
      <c r="OS276" s="6"/>
      <c r="OT276" s="6"/>
      <c r="OU276" s="6"/>
      <c r="OV276" s="6"/>
      <c r="OW276" s="6"/>
      <c r="OX276" s="6"/>
      <c r="OY276" s="6"/>
      <c r="OZ276" s="6"/>
      <c r="PA276" s="6"/>
      <c r="PB276" s="6"/>
      <c r="PC276" s="6"/>
      <c r="PD276" s="6"/>
      <c r="PE276" s="6"/>
      <c r="PF276" s="6"/>
      <c r="PG276" s="6"/>
      <c r="PH276" s="6"/>
      <c r="PI276" s="6"/>
      <c r="PJ276" s="6"/>
      <c r="PK276" s="6"/>
      <c r="PL276" s="6"/>
      <c r="PM276" s="6"/>
      <c r="PN276" s="6"/>
      <c r="PO276" s="6"/>
      <c r="PP276" s="6"/>
      <c r="PQ276" s="6"/>
      <c r="PR276" s="6"/>
      <c r="PS276" s="6"/>
      <c r="PT276" s="6"/>
      <c r="PU276" s="6"/>
      <c r="PV276" s="6"/>
      <c r="PW276" s="6"/>
      <c r="PX276" s="6"/>
      <c r="PY276" s="6"/>
      <c r="PZ276" s="6"/>
      <c r="QA276" s="6"/>
      <c r="QB276" s="6"/>
      <c r="QC276" s="6"/>
      <c r="QD276" s="6"/>
      <c r="QE276" s="6"/>
      <c r="QF276" s="6"/>
      <c r="QG276" s="6"/>
      <c r="QH276" s="6"/>
      <c r="QI276" s="6"/>
      <c r="QJ276" s="6"/>
      <c r="QK276" s="6"/>
      <c r="QL276" s="6"/>
      <c r="QM276" s="6"/>
      <c r="QN276" s="6"/>
      <c r="QO276" s="6"/>
      <c r="QP276" s="6"/>
      <c r="QQ276" s="6"/>
      <c r="QR276" s="6"/>
      <c r="QS276" s="6"/>
      <c r="QT276" s="6"/>
      <c r="QU276" s="6"/>
      <c r="QV276" s="6"/>
      <c r="QW276" s="6"/>
      <c r="QX276" s="6"/>
      <c r="QY276" s="6"/>
      <c r="QZ276" s="6"/>
      <c r="RA276" s="6"/>
      <c r="RB276" s="6"/>
      <c r="RC276" s="6"/>
      <c r="RD276" s="6"/>
      <c r="RE276" s="6"/>
      <c r="RF276" s="6"/>
      <c r="RG276" s="6"/>
      <c r="RH276" s="6"/>
      <c r="RI276" s="6"/>
      <c r="RJ276" s="6"/>
      <c r="RK276" s="6"/>
      <c r="RL276" s="6"/>
      <c r="RM276" s="6"/>
      <c r="RN276" s="6"/>
      <c r="RO276" s="6"/>
      <c r="RP276" s="6"/>
      <c r="RQ276" s="6"/>
      <c r="RR276" s="6"/>
      <c r="RS276" s="6"/>
      <c r="RT276" s="6"/>
      <c r="RU276" s="6"/>
      <c r="RV276" s="6"/>
      <c r="RW276" s="6"/>
      <c r="RX276" s="6"/>
      <c r="RY276" s="6"/>
      <c r="RZ276" s="6"/>
      <c r="SA276" s="6"/>
      <c r="SB276" s="6"/>
      <c r="SC276" s="6"/>
      <c r="SD276" s="6"/>
      <c r="SE276" s="6"/>
      <c r="SF276" s="6"/>
      <c r="SG276" s="6"/>
      <c r="SH276" s="6"/>
      <c r="SI276" s="6"/>
      <c r="SJ276" s="6"/>
      <c r="SK276" s="6"/>
      <c r="SL276" s="6"/>
      <c r="SM276" s="6"/>
      <c r="SN276" s="6"/>
      <c r="SO276" s="6"/>
      <c r="SP276" s="6"/>
      <c r="SQ276" s="6"/>
      <c r="SR276" s="6"/>
      <c r="SS276" s="6"/>
      <c r="ST276" s="6"/>
      <c r="SU276" s="6"/>
      <c r="SV276" s="6"/>
      <c r="SW276" s="6"/>
      <c r="SX276" s="6"/>
      <c r="SY276" s="6"/>
      <c r="SZ276" s="6"/>
      <c r="TA276" s="6"/>
      <c r="TB276" s="6"/>
      <c r="TC276" s="6"/>
      <c r="TD276" s="6"/>
      <c r="TE276" s="6"/>
      <c r="TF276" s="6"/>
      <c r="TG276" s="6"/>
      <c r="TH276" s="6"/>
      <c r="TI276" s="6"/>
      <c r="TJ276" s="6"/>
      <c r="TK276" s="6"/>
      <c r="TL276" s="6"/>
      <c r="TM276" s="6"/>
      <c r="TN276" s="6"/>
      <c r="TO276" s="6"/>
      <c r="TP276" s="6"/>
      <c r="TQ276" s="6"/>
      <c r="TR276" s="6"/>
      <c r="TS276" s="6"/>
      <c r="TT276" s="6"/>
      <c r="TU276" s="6"/>
      <c r="TV276" s="6"/>
      <c r="TW276" s="6"/>
      <c r="TX276" s="6"/>
      <c r="TY276" s="6"/>
      <c r="TZ276" s="6"/>
      <c r="UA276" s="6"/>
      <c r="UB276" s="6"/>
      <c r="UC276" s="6"/>
      <c r="UD276" s="6"/>
      <c r="UE276" s="6"/>
      <c r="UF276" s="6"/>
      <c r="UG276" s="6"/>
      <c r="UH276" s="6"/>
      <c r="UI276" s="6"/>
      <c r="UJ276" s="6"/>
      <c r="UK276" s="6"/>
      <c r="UL276" s="6"/>
      <c r="UM276" s="6"/>
      <c r="UN276" s="6"/>
      <c r="UO276" s="6"/>
      <c r="UP276" s="6"/>
      <c r="UQ276" s="6"/>
      <c r="UR276" s="6"/>
      <c r="US276" s="6"/>
      <c r="UT276" s="6"/>
      <c r="UU276" s="6"/>
      <c r="UV276" s="6"/>
      <c r="UW276" s="6"/>
      <c r="UX276" s="6"/>
      <c r="UY276" s="6"/>
      <c r="UZ276" s="6"/>
      <c r="VA276" s="6"/>
      <c r="VB276" s="6"/>
      <c r="VC276" s="6"/>
      <c r="VD276" s="6"/>
      <c r="VE276" s="6"/>
      <c r="VF276" s="6"/>
      <c r="VG276" s="6"/>
      <c r="VH276" s="6"/>
      <c r="VI276" s="6"/>
      <c r="VJ276" s="6"/>
      <c r="VK276" s="6"/>
      <c r="VL276" s="6"/>
      <c r="VM276" s="6"/>
      <c r="VN276" s="6"/>
      <c r="VO276" s="6"/>
      <c r="VP276" s="6"/>
      <c r="VQ276" s="6"/>
      <c r="VR276" s="6"/>
      <c r="VS276" s="6"/>
      <c r="VT276" s="6"/>
      <c r="VU276" s="6"/>
      <c r="VV276" s="6"/>
      <c r="VW276" s="6"/>
      <c r="VX276" s="6"/>
      <c r="VY276" s="6"/>
      <c r="VZ276" s="6"/>
      <c r="WA276" s="6"/>
      <c r="WB276" s="6"/>
      <c r="WC276" s="6"/>
      <c r="WD276" s="6"/>
      <c r="WE276" s="6"/>
      <c r="WF276" s="6"/>
      <c r="WG276" s="6"/>
      <c r="WH276" s="6"/>
      <c r="WI276" s="6"/>
      <c r="WJ276" s="6"/>
      <c r="WK276" s="6"/>
      <c r="WL276" s="6"/>
      <c r="WM276" s="6"/>
      <c r="WN276" s="6"/>
      <c r="WO276" s="6"/>
      <c r="WP276" s="6"/>
      <c r="WQ276" s="6"/>
      <c r="WR276" s="6"/>
      <c r="WS276" s="6"/>
      <c r="WT276" s="6"/>
      <c r="WU276" s="6"/>
      <c r="WV276" s="6"/>
      <c r="WW276" s="6"/>
      <c r="WX276" s="6"/>
      <c r="WY276" s="6"/>
      <c r="WZ276" s="6"/>
      <c r="XA276" s="6"/>
      <c r="XB276" s="6"/>
      <c r="XC276" s="6"/>
      <c r="XD276" s="6"/>
      <c r="XE276" s="6"/>
      <c r="XF276" s="6"/>
      <c r="XG276" s="6"/>
      <c r="XH276" s="6"/>
      <c r="XI276" s="6"/>
      <c r="XJ276" s="6"/>
      <c r="XK276" s="6"/>
      <c r="XL276" s="6"/>
      <c r="XM276" s="6"/>
      <c r="XN276" s="6"/>
      <c r="XO276" s="6"/>
      <c r="XP276" s="6"/>
      <c r="XQ276" s="6"/>
      <c r="XR276" s="6"/>
      <c r="XS276" s="6"/>
      <c r="XT276" s="6"/>
      <c r="XU276" s="6"/>
      <c r="XV276" s="6"/>
      <c r="XW276" s="6"/>
      <c r="XX276" s="6"/>
      <c r="XY276" s="6"/>
      <c r="XZ276" s="6"/>
      <c r="YA276" s="6"/>
      <c r="YB276" s="6"/>
      <c r="YC276" s="6"/>
      <c r="YD276" s="6"/>
      <c r="YE276" s="6"/>
      <c r="YF276" s="6"/>
      <c r="YG276" s="6"/>
      <c r="YH276" s="6"/>
      <c r="YI276" s="6"/>
      <c r="YJ276" s="6"/>
      <c r="YK276" s="6"/>
      <c r="YL276" s="6"/>
      <c r="YM276" s="6"/>
      <c r="YN276" s="6"/>
      <c r="YO276" s="6"/>
      <c r="YP276" s="6"/>
      <c r="YQ276" s="6"/>
      <c r="YR276" s="6"/>
      <c r="YS276" s="6"/>
      <c r="YT276" s="6"/>
      <c r="YU276" s="6"/>
      <c r="YV276" s="6"/>
      <c r="YW276" s="6"/>
      <c r="YX276" s="6"/>
      <c r="YY276" s="6"/>
      <c r="YZ276" s="6"/>
      <c r="ZA276" s="6"/>
      <c r="ZB276" s="6"/>
      <c r="ZC276" s="6"/>
      <c r="ZD276" s="6"/>
      <c r="ZE276" s="6"/>
      <c r="ZF276" s="6"/>
      <c r="ZG276" s="6"/>
      <c r="ZH276" s="6"/>
      <c r="ZI276" s="6"/>
      <c r="ZJ276" s="6"/>
      <c r="ZK276" s="6"/>
      <c r="ZL276" s="6"/>
      <c r="ZM276" s="6"/>
      <c r="ZN276" s="6"/>
      <c r="ZO276" s="6"/>
      <c r="ZP276" s="6"/>
      <c r="ZQ276" s="6"/>
      <c r="ZR276" s="6"/>
      <c r="ZS276" s="6"/>
      <c r="ZT276" s="6"/>
      <c r="ZU276" s="6"/>
      <c r="ZV276" s="6"/>
      <c r="ZW276" s="6"/>
      <c r="ZX276" s="6"/>
      <c r="ZY276" s="6"/>
      <c r="ZZ276" s="6"/>
      <c r="AAA276" s="6"/>
      <c r="AAB276" s="6"/>
      <c r="AAC276" s="6"/>
      <c r="AAD276" s="6"/>
      <c r="AAE276" s="6"/>
      <c r="AAF276" s="6"/>
      <c r="AAG276" s="6"/>
      <c r="AAH276" s="6"/>
      <c r="AAI276" s="6"/>
      <c r="AAJ276" s="6"/>
      <c r="AAK276" s="6"/>
      <c r="AAL276" s="6"/>
      <c r="AAM276" s="6"/>
      <c r="AAN276" s="6"/>
      <c r="AAO276" s="6"/>
      <c r="AAP276" s="6"/>
      <c r="AAQ276" s="6"/>
      <c r="AAR276" s="6"/>
      <c r="AAS276" s="6"/>
      <c r="AAT276" s="6"/>
      <c r="AAU276" s="6"/>
      <c r="AAV276" s="6"/>
      <c r="AAW276" s="6"/>
      <c r="AAX276" s="6"/>
      <c r="AAY276" s="6"/>
      <c r="AAZ276" s="6"/>
      <c r="ABA276" s="6"/>
      <c r="ABB276" s="6"/>
      <c r="ABC276" s="6"/>
      <c r="ABD276" s="6"/>
      <c r="ABE276" s="6"/>
      <c r="ABF276" s="6"/>
      <c r="ABG276" s="6"/>
      <c r="ABH276" s="6"/>
      <c r="ABI276" s="6"/>
      <c r="ABJ276" s="6"/>
      <c r="ABK276" s="6"/>
      <c r="ABL276" s="6"/>
      <c r="ABM276" s="6"/>
      <c r="ABN276" s="6"/>
      <c r="ABO276" s="6"/>
      <c r="ABP276" s="6"/>
      <c r="ABQ276" s="6"/>
      <c r="ABR276" s="6"/>
      <c r="ABS276" s="6"/>
      <c r="ABT276" s="6"/>
      <c r="ABU276" s="6"/>
      <c r="ABV276" s="6"/>
      <c r="ABW276" s="6"/>
      <c r="ABX276" s="6"/>
      <c r="ABY276" s="6"/>
      <c r="ABZ276" s="6"/>
      <c r="ACA276" s="6"/>
      <c r="ACB276" s="6"/>
      <c r="ACC276" s="6"/>
      <c r="ACD276" s="6"/>
      <c r="ACE276" s="6"/>
      <c r="ACF276" s="6"/>
      <c r="ACG276" s="6"/>
      <c r="ACH276" s="6"/>
      <c r="ACI276" s="6"/>
      <c r="ACJ276" s="6"/>
      <c r="ACK276" s="6"/>
      <c r="ACL276" s="6"/>
      <c r="ACM276" s="6"/>
      <c r="ACN276" s="6"/>
      <c r="ACO276" s="6"/>
      <c r="ACP276" s="6"/>
      <c r="ACQ276" s="6"/>
      <c r="ACR276" s="6"/>
      <c r="ACS276" s="6"/>
      <c r="ACT276" s="6"/>
      <c r="ACU276" s="6"/>
      <c r="ACV276" s="6"/>
      <c r="ACW276" s="6"/>
      <c r="ACX276" s="6"/>
      <c r="ACY276" s="6"/>
      <c r="ACZ276" s="6"/>
      <c r="ADA276" s="6"/>
      <c r="ADB276" s="6"/>
      <c r="ADC276" s="6"/>
      <c r="ADD276" s="6"/>
      <c r="ADE276" s="6"/>
      <c r="ADF276" s="6"/>
      <c r="ADG276" s="6"/>
      <c r="ADH276" s="6"/>
      <c r="ADI276" s="6"/>
      <c r="ADJ276" s="6"/>
      <c r="ADK276" s="6"/>
      <c r="ADL276" s="6"/>
      <c r="ADM276" s="6"/>
      <c r="ADN276" s="6"/>
      <c r="ADO276" s="6"/>
      <c r="ADP276" s="6"/>
      <c r="ADQ276" s="6"/>
      <c r="ADR276" s="6"/>
      <c r="ADS276" s="6"/>
      <c r="ADT276" s="6"/>
      <c r="ADU276" s="6"/>
      <c r="ADV276" s="6"/>
      <c r="ADW276" s="6"/>
      <c r="ADX276" s="6"/>
      <c r="ADY276" s="6"/>
      <c r="ADZ276" s="6"/>
      <c r="AEA276" s="6"/>
      <c r="AEB276" s="6"/>
      <c r="AEC276" s="6"/>
      <c r="AED276" s="6"/>
      <c r="AEE276" s="6"/>
      <c r="AEF276" s="6"/>
      <c r="AEG276" s="6"/>
      <c r="AEH276" s="6"/>
      <c r="AEI276" s="6"/>
      <c r="AEJ276" s="6"/>
      <c r="AEK276" s="6"/>
      <c r="AEL276" s="6"/>
      <c r="AEM276" s="6"/>
      <c r="AEN276" s="6"/>
      <c r="AEO276" s="6"/>
      <c r="AEP276" s="6"/>
      <c r="AEQ276" s="6"/>
      <c r="AER276" s="6"/>
      <c r="AES276" s="6"/>
      <c r="AET276" s="6"/>
      <c r="AEU276" s="6"/>
      <c r="AEV276" s="6"/>
      <c r="AEW276" s="6"/>
      <c r="AEX276" s="6"/>
      <c r="AEY276" s="6"/>
      <c r="AEZ276" s="6"/>
      <c r="AFA276" s="6"/>
      <c r="AFB276" s="6"/>
      <c r="AFC276" s="6"/>
      <c r="AFD276" s="6"/>
      <c r="AFE276" s="6"/>
      <c r="AFF276" s="6"/>
      <c r="AFG276" s="6"/>
      <c r="AFH276" s="6"/>
      <c r="AFI276" s="6"/>
      <c r="AFJ276" s="6"/>
      <c r="AFK276" s="6"/>
      <c r="AFL276" s="6"/>
      <c r="AFM276" s="6"/>
      <c r="AFN276" s="6"/>
      <c r="AFO276" s="6"/>
      <c r="AFP276" s="6"/>
      <c r="AFQ276" s="6"/>
      <c r="AFR276" s="6"/>
      <c r="AFS276" s="6"/>
      <c r="AFT276" s="6"/>
      <c r="AFU276" s="6"/>
      <c r="AFV276" s="6"/>
      <c r="AFW276" s="6"/>
      <c r="AFX276" s="6"/>
      <c r="AFY276" s="6"/>
      <c r="AFZ276" s="6"/>
      <c r="AGA276" s="6"/>
      <c r="AGB276" s="6"/>
      <c r="AGC276" s="6"/>
      <c r="AGD276" s="6"/>
      <c r="AGE276" s="6"/>
      <c r="AGF276" s="6"/>
      <c r="AGG276" s="6"/>
      <c r="AGH276" s="6"/>
      <c r="AGI276" s="6"/>
      <c r="AGJ276" s="6"/>
      <c r="AGK276" s="6"/>
      <c r="AGL276" s="6"/>
      <c r="AGM276" s="6"/>
      <c r="AGN276" s="6"/>
      <c r="AGO276" s="6"/>
      <c r="AGP276" s="6"/>
      <c r="AGQ276" s="6"/>
      <c r="AGR276" s="6"/>
      <c r="AGS276" s="6"/>
      <c r="AGT276" s="6"/>
      <c r="AGU276" s="6"/>
      <c r="AGV276" s="6"/>
      <c r="AGW276" s="6"/>
      <c r="AGX276" s="6"/>
      <c r="AGY276" s="6"/>
      <c r="AGZ276" s="6"/>
      <c r="AHA276" s="6"/>
      <c r="AHB276" s="6"/>
      <c r="AHC276" s="6"/>
      <c r="AHD276" s="6"/>
      <c r="AHE276" s="6"/>
      <c r="AHF276" s="6"/>
      <c r="AHG276" s="6"/>
      <c r="AHH276" s="6"/>
      <c r="AHI276" s="6"/>
      <c r="AHJ276" s="6"/>
      <c r="AHK276" s="6"/>
      <c r="AHL276" s="6"/>
      <c r="AHM276" s="6"/>
      <c r="AHN276" s="6"/>
      <c r="AHO276" s="6"/>
      <c r="AHP276" s="6"/>
      <c r="AHQ276" s="6"/>
      <c r="AHR276" s="6"/>
      <c r="AHS276" s="6"/>
      <c r="AHT276" s="6"/>
      <c r="AHU276" s="6"/>
      <c r="AHV276" s="6"/>
      <c r="AHW276" s="6"/>
      <c r="AHX276" s="6"/>
      <c r="AHY276" s="6"/>
      <c r="AHZ276" s="6"/>
      <c r="AIA276" s="6"/>
      <c r="AIB276" s="6"/>
      <c r="AIC276" s="6"/>
      <c r="AID276" s="6"/>
      <c r="AIE276" s="6"/>
      <c r="AIF276" s="6"/>
      <c r="AIG276" s="6"/>
      <c r="AIH276" s="6"/>
      <c r="AII276" s="6"/>
      <c r="AIJ276" s="6"/>
      <c r="AIK276" s="6"/>
      <c r="AIL276" s="6"/>
      <c r="AIM276" s="6"/>
      <c r="AIN276" s="6"/>
      <c r="AIO276" s="6"/>
      <c r="AIP276" s="6"/>
      <c r="AIQ276" s="6"/>
      <c r="AIR276" s="6"/>
      <c r="AIS276" s="6"/>
      <c r="AIT276" s="6"/>
      <c r="AIU276" s="6"/>
      <c r="AIV276" s="6"/>
      <c r="AIW276" s="6"/>
      <c r="AIX276" s="6"/>
      <c r="AIY276" s="6"/>
      <c r="AIZ276" s="6"/>
      <c r="AJA276" s="6"/>
      <c r="AJB276" s="6"/>
      <c r="AJC276" s="6"/>
      <c r="AJD276" s="6"/>
      <c r="AJE276" s="6"/>
      <c r="AJF276" s="6"/>
      <c r="AJG276" s="6"/>
      <c r="AJH276" s="6"/>
      <c r="AJI276" s="6"/>
      <c r="AJJ276" s="6"/>
      <c r="AJK276" s="6"/>
      <c r="AJL276" s="6"/>
      <c r="AJM276" s="6"/>
      <c r="AJN276" s="6"/>
      <c r="AJO276" s="6"/>
      <c r="AJP276" s="6"/>
      <c r="AJQ276" s="6"/>
      <c r="AJR276" s="6"/>
      <c r="AJS276" s="6"/>
      <c r="AJT276" s="6"/>
      <c r="AJU276" s="6"/>
      <c r="AJV276" s="6"/>
      <c r="AJW276" s="6"/>
      <c r="AJX276" s="6"/>
      <c r="AJY276" s="6"/>
      <c r="AJZ276" s="6"/>
      <c r="AKA276" s="6"/>
      <c r="AKB276" s="6"/>
      <c r="AKC276" s="6"/>
      <c r="AKD276" s="6"/>
      <c r="AKE276" s="6"/>
      <c r="AKF276" s="6"/>
      <c r="AKG276" s="6"/>
      <c r="AKH276" s="6"/>
      <c r="AKI276" s="6"/>
      <c r="AKJ276" s="6"/>
      <c r="AKK276" s="6"/>
      <c r="AKL276" s="6"/>
      <c r="AKM276" s="6"/>
      <c r="AKN276" s="6"/>
      <c r="AKO276" s="6"/>
      <c r="AKP276" s="6"/>
      <c r="AKQ276" s="6"/>
      <c r="AKR276" s="6"/>
      <c r="AKS276" s="6"/>
      <c r="AKT276" s="6"/>
      <c r="AKU276" s="6"/>
      <c r="AKV276" s="6"/>
      <c r="AKW276" s="6"/>
      <c r="AKX276" s="6"/>
      <c r="AKY276" s="6"/>
      <c r="AKZ276" s="6"/>
      <c r="ALA276" s="6"/>
      <c r="ALB276" s="6"/>
      <c r="ALC276" s="6"/>
      <c r="ALD276" s="6"/>
      <c r="ALE276" s="6"/>
      <c r="ALF276" s="6"/>
      <c r="ALG276" s="6"/>
      <c r="ALH276" s="6"/>
      <c r="ALI276" s="6"/>
      <c r="ALJ276" s="6"/>
      <c r="ALK276" s="6"/>
      <c r="ALL276" s="6"/>
      <c r="ALM276" s="6"/>
      <c r="ALN276" s="6"/>
      <c r="ALO276" s="6"/>
      <c r="ALP276" s="6"/>
      <c r="ALQ276" s="6"/>
      <c r="ALR276" s="6"/>
      <c r="ALS276" s="6"/>
      <c r="ALT276" s="6"/>
      <c r="ALU276" s="6"/>
      <c r="ALV276" s="6"/>
      <c r="ALW276" s="6"/>
      <c r="ALX276" s="6"/>
      <c r="ALY276" s="6"/>
      <c r="ALZ276" s="6"/>
      <c r="AMA276" s="6"/>
      <c r="AMB276" s="6"/>
      <c r="AMC276" s="6"/>
      <c r="AMD276" s="6"/>
      <c r="AME276" s="6"/>
      <c r="AMF276" s="6"/>
      <c r="AMG276" s="6"/>
      <c r="AMH276" s="6"/>
      <c r="AMI276" s="6"/>
      <c r="AMJ276" s="6"/>
      <c r="AMK276" s="6"/>
      <c r="AML276" s="6"/>
      <c r="AMM276" s="6"/>
      <c r="AMN276" s="6"/>
      <c r="AMO276" s="6"/>
      <c r="AMP276" s="6"/>
    </row>
    <row r="277" spans="1:1030" x14ac:dyDescent="0.2">
      <c r="A277" s="3" t="str">
        <f t="shared" si="1424"/>
        <v>opsd_bovin_3DQB</v>
      </c>
      <c r="B277" s="3" t="s">
        <v>919</v>
      </c>
      <c r="C277" s="3" t="s">
        <v>54</v>
      </c>
      <c r="D277" s="3" t="str">
        <f>IFERROR(MID(VLOOKUP($B277,Seqs!$A:$B,2,0),E277,1),"")</f>
        <v>E</v>
      </c>
      <c r="E277" s="105">
        <v>33</v>
      </c>
      <c r="F277" s="3" t="str">
        <f>IFERROR(MID(VLOOKUP($B277,Seqs!$A:$B,2,0),G277,1),"")</f>
        <v>H</v>
      </c>
      <c r="G277" s="3">
        <v>65</v>
      </c>
      <c r="H277" s="3" t="str">
        <f>IFERROR(MID(VLOOKUP($B277,Seqs!$A:$B,2,0),I277,1),"")</f>
        <v>K</v>
      </c>
      <c r="I277" s="23">
        <v>66</v>
      </c>
      <c r="J277" s="3" t="str">
        <f>IFERROR(MID(VLOOKUP($B277,Seqs!$A:$B,2,0),K277,1),"")</f>
        <v>R</v>
      </c>
      <c r="K277" s="23">
        <v>69</v>
      </c>
      <c r="L277" s="3" t="str">
        <f>IFERROR(MID(VLOOKUP($B277,Seqs!$A:$B,2,0),M277,1),"")</f>
        <v>T</v>
      </c>
      <c r="M277" s="3">
        <v>70</v>
      </c>
      <c r="N277" s="3" t="str">
        <f>IFERROR(MID(VLOOKUP($B277,Seqs!$A:$B,2,0),O277,1),"")</f>
        <v>H</v>
      </c>
      <c r="O277" s="3">
        <v>100</v>
      </c>
      <c r="P277" s="3" t="str">
        <f>IFERROR(MID(VLOOKUP($B277,Seqs!$A:$B,2,0),Q277,1),"")</f>
        <v>Y</v>
      </c>
      <c r="Q277" s="3">
        <v>102</v>
      </c>
      <c r="R277" s="3" t="str">
        <f>IFERROR(MID(VLOOKUP($B277,Seqs!$A:$B,2,0),S277,1),"")</f>
        <v>F</v>
      </c>
      <c r="S277" s="3">
        <v>105</v>
      </c>
      <c r="T277" s="3" t="str">
        <f>IFERROR(MID(VLOOKUP($B277,Seqs!$A:$B,2,0),U277,1),"")</f>
        <v>G</v>
      </c>
      <c r="U277" s="3">
        <v>106</v>
      </c>
      <c r="V277" s="3" t="str">
        <f>IFERROR(MID(VLOOKUP($B277,Seqs!$A:$B,2,0),W277,1),"")</f>
        <v>K</v>
      </c>
      <c r="W277" s="3">
        <v>141</v>
      </c>
      <c r="X277" s="3" t="str">
        <f>IFERROR(MID(VLOOKUP($B277,Seqs!$A:$B,2,0),Y277,1),"")</f>
        <v/>
      </c>
      <c r="Y277" s="3" t="s">
        <v>23</v>
      </c>
      <c r="Z277" s="3" t="str">
        <f>IFERROR(MID(VLOOKUP($B277,Seqs!$A:$B,2,0),AA277,1),"")</f>
        <v/>
      </c>
      <c r="AA277" s="3" t="s">
        <v>23</v>
      </c>
      <c r="AB277" s="3" t="str">
        <f>IFERROR(MID(VLOOKUP($B277,Seqs!$A:$B,2,0),AC277,1),"")</f>
        <v>G</v>
      </c>
      <c r="AC277" s="9">
        <v>149</v>
      </c>
      <c r="AD277" s="3" t="str">
        <f>IFERROR(MID(VLOOKUP($B277,Seqs!$A:$B,2,0),AE277,1),"")</f>
        <v>V</v>
      </c>
      <c r="AE277" s="3">
        <v>173</v>
      </c>
      <c r="AF277" s="3" t="str">
        <f>IFERROR(MID(VLOOKUP($B277,Seqs!$A:$B,2,0),AG277,1),"")</f>
        <v>C</v>
      </c>
      <c r="AG277" s="3">
        <v>187</v>
      </c>
      <c r="AH277" s="3" t="str">
        <f>IFERROR(MID(VLOOKUP($B277,Seqs!$A:$B,2,0),AI277,1),"")</f>
        <v>I</v>
      </c>
      <c r="AI277" s="3">
        <v>189</v>
      </c>
      <c r="AJ277" s="3" t="str">
        <f>IFERROR(MID(VLOOKUP($B277,Seqs!$A:$B,2,0),AK277,1),"")</f>
        <v>N</v>
      </c>
      <c r="AK277" s="3">
        <v>199</v>
      </c>
      <c r="AL277" s="3" t="str">
        <f>IFERROR(MID(VLOOKUP($B277,Seqs!$A:$B,2,0),AM277,1),"")</f>
        <v>Q</v>
      </c>
      <c r="AM277" s="3">
        <v>237</v>
      </c>
      <c r="AN277" s="3" t="str">
        <f>IFERROR(MID(VLOOKUP($B277,Seqs!$A:$B,2,0),AO277,1),"")</f>
        <v>A</v>
      </c>
      <c r="AO277" s="3">
        <v>241</v>
      </c>
      <c r="AP277" s="3" t="str">
        <f>IFERROR(MID(VLOOKUP($B277,Seqs!$A:$B,2,0),AQ277,1),"")</f>
        <v>H</v>
      </c>
      <c r="AQ277" s="3">
        <v>278</v>
      </c>
      <c r="AR277" s="3" t="str">
        <f>IFERROR(MID(VLOOKUP($B277,Seqs!$A:$B,2,0),AS277,1),"")</f>
        <v>G</v>
      </c>
      <c r="AS277" s="3">
        <v>284</v>
      </c>
      <c r="AT277" s="3" t="str">
        <f>IFERROR(MID(VLOOKUP($B277,Seqs!$A:$B,2,0),AU277,1),"")</f>
        <v>M</v>
      </c>
      <c r="AU277" s="3">
        <v>309</v>
      </c>
      <c r="AV277" s="3" t="str">
        <f>IFERROR(MID(VLOOKUP($B277,Seqs!$A:$B,2,0),AW277,1),"")</f>
        <v>N</v>
      </c>
      <c r="AW277" s="3">
        <v>310</v>
      </c>
      <c r="AX277" s="3" t="str">
        <f>IFERROR(MID(VLOOKUP($B277,Seqs!$A:$B,2,0),AY277,1),"")</f>
        <v>C</v>
      </c>
      <c r="AY277" s="3">
        <v>322</v>
      </c>
      <c r="AZ277" s="77" t="str">
        <f>VLOOKUP(B277,Classification!A:D,2,0)</f>
        <v>A</v>
      </c>
      <c r="BA277" s="94" t="str">
        <f>VLOOKUP(B277,Classification!A:D,4,0)</f>
        <v>Opsins</v>
      </c>
      <c r="BB277" s="27" t="b">
        <f t="shared" si="1425"/>
        <v>1</v>
      </c>
      <c r="BC277" s="23">
        <f>_xlfn.AGGREGATE(9,6,CH277:CS277)-_xlfn.AGGREGATE(9,6,BV277:CG277)+12</f>
        <v>253</v>
      </c>
      <c r="BD277" s="74" t="s">
        <v>23</v>
      </c>
      <c r="BE277" s="3" t="s">
        <v>1291</v>
      </c>
      <c r="BF277" s="118">
        <v>3.2</v>
      </c>
      <c r="BG277" s="49" t="s">
        <v>1377</v>
      </c>
      <c r="BH277" s="49" t="s">
        <v>1377</v>
      </c>
      <c r="BI277" s="1"/>
      <c r="BJ277" s="70" t="s">
        <v>1287</v>
      </c>
      <c r="BK277" s="57" t="s">
        <v>1287</v>
      </c>
      <c r="BL277" s="57" t="s">
        <v>1287</v>
      </c>
      <c r="BM277" s="57" t="s">
        <v>1287</v>
      </c>
      <c r="BN277" s="57" t="s">
        <v>1287</v>
      </c>
      <c r="BO277" s="57" t="s">
        <v>1287</v>
      </c>
      <c r="BP277" s="57" t="s">
        <v>1287</v>
      </c>
      <c r="BQ277" s="57" t="s">
        <v>1287</v>
      </c>
      <c r="BR277" s="57" t="s">
        <v>1287</v>
      </c>
      <c r="BS277" s="57" t="s">
        <v>1287</v>
      </c>
      <c r="BT277" s="57" t="s">
        <v>1287</v>
      </c>
      <c r="BU277" s="57" t="s">
        <v>1287</v>
      </c>
      <c r="BV277" s="70">
        <f>E277</f>
        <v>33</v>
      </c>
      <c r="BW277" s="71">
        <f>I277</f>
        <v>66</v>
      </c>
      <c r="BX277" s="72">
        <f>M277</f>
        <v>70</v>
      </c>
      <c r="BY277" s="71">
        <f>Q277</f>
        <v>102</v>
      </c>
      <c r="BZ277" s="72">
        <f>U277</f>
        <v>106</v>
      </c>
      <c r="CA277" s="71" t="str">
        <f>Y277</f>
        <v>-</v>
      </c>
      <c r="CB277" s="72">
        <f>AC277</f>
        <v>149</v>
      </c>
      <c r="CC277" s="71">
        <f>AG277</f>
        <v>187</v>
      </c>
      <c r="CD277" s="72">
        <f>AK277</f>
        <v>199</v>
      </c>
      <c r="CE277" s="71">
        <f>AO277</f>
        <v>241</v>
      </c>
      <c r="CF277" s="72">
        <f>AS277</f>
        <v>284</v>
      </c>
      <c r="CG277" s="71">
        <f>AW277</f>
        <v>310</v>
      </c>
      <c r="CH277" s="70">
        <f>G277</f>
        <v>65</v>
      </c>
      <c r="CI277" s="71">
        <f>K277</f>
        <v>69</v>
      </c>
      <c r="CJ277" s="72">
        <f>O277</f>
        <v>100</v>
      </c>
      <c r="CK277" s="72">
        <f>S277</f>
        <v>105</v>
      </c>
      <c r="CL277" s="72">
        <f>W277</f>
        <v>141</v>
      </c>
      <c r="CM277" s="72" t="str">
        <f>AA277</f>
        <v>-</v>
      </c>
      <c r="CN277" s="72">
        <f>AE277</f>
        <v>173</v>
      </c>
      <c r="CO277" s="72">
        <f>AI277</f>
        <v>189</v>
      </c>
      <c r="CP277" s="72">
        <f>AM277</f>
        <v>237</v>
      </c>
      <c r="CQ277" s="72">
        <f>AQ277</f>
        <v>278</v>
      </c>
      <c r="CR277" s="72">
        <f>AU277</f>
        <v>309</v>
      </c>
      <c r="CS277" s="72">
        <f>AY277</f>
        <v>322</v>
      </c>
      <c r="CT277" s="23">
        <f>M277-K277</f>
        <v>1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1424"/>
        <v>opsd_bovin_3PQR</v>
      </c>
      <c r="B278" s="3" t="s">
        <v>919</v>
      </c>
      <c r="C278" s="3" t="s">
        <v>1032</v>
      </c>
      <c r="D278" s="3" t="str">
        <f>IFERROR(MID(VLOOKUP($B278,Seqs!$A:$B,2,0),E278,1),"")</f>
        <v>E</v>
      </c>
      <c r="E278" s="105">
        <v>33</v>
      </c>
      <c r="F278" s="3" t="str">
        <f>IFERROR(MID(VLOOKUP($B278,Seqs!$A:$B,2,0),G278,1),"")</f>
        <v>H</v>
      </c>
      <c r="G278" s="3">
        <v>65</v>
      </c>
      <c r="H278" s="3" t="str">
        <f>IFERROR(MID(VLOOKUP($B278,Seqs!$A:$B,2,0),I278,1),"")</f>
        <v>K</v>
      </c>
      <c r="I278" s="23">
        <v>66</v>
      </c>
      <c r="J278" s="3" t="str">
        <f>IFERROR(MID(VLOOKUP($B278,Seqs!$A:$B,2,0),K278,1),"")</f>
        <v>R</v>
      </c>
      <c r="K278" s="23">
        <v>69</v>
      </c>
      <c r="L278" s="3" t="str">
        <f>IFERROR(MID(VLOOKUP($B278,Seqs!$A:$B,2,0),M278,1),"")</f>
        <v>T</v>
      </c>
      <c r="M278" s="3">
        <v>70</v>
      </c>
      <c r="N278" s="3" t="str">
        <f>IFERROR(MID(VLOOKUP($B278,Seqs!$A:$B,2,0),O278,1),"")</f>
        <v>H</v>
      </c>
      <c r="O278" s="3">
        <v>100</v>
      </c>
      <c r="P278" s="3" t="str">
        <f>IFERROR(MID(VLOOKUP($B278,Seqs!$A:$B,2,0),Q278,1),"")</f>
        <v>Y</v>
      </c>
      <c r="Q278" s="3">
        <v>102</v>
      </c>
      <c r="R278" s="3" t="str">
        <f>IFERROR(MID(VLOOKUP($B278,Seqs!$A:$B,2,0),S278,1),"")</f>
        <v>F</v>
      </c>
      <c r="S278" s="3">
        <v>105</v>
      </c>
      <c r="T278" s="3" t="str">
        <f>IFERROR(MID(VLOOKUP($B278,Seqs!$A:$B,2,0),U278,1),"")</f>
        <v>G</v>
      </c>
      <c r="U278" s="3">
        <v>106</v>
      </c>
      <c r="V278" s="3" t="str">
        <f>IFERROR(MID(VLOOKUP($B278,Seqs!$A:$B,2,0),W278,1),"")</f>
        <v>K</v>
      </c>
      <c r="W278" s="3">
        <v>141</v>
      </c>
      <c r="X278" s="3" t="str">
        <f>IFERROR(MID(VLOOKUP($B278,Seqs!$A:$B,2,0),Y278,1),"")</f>
        <v/>
      </c>
      <c r="Y278" s="3" t="s">
        <v>23</v>
      </c>
      <c r="Z278" s="3" t="str">
        <f>IFERROR(MID(VLOOKUP($B278,Seqs!$A:$B,2,0),AA278,1),"")</f>
        <v/>
      </c>
      <c r="AA278" s="3" t="s">
        <v>23</v>
      </c>
      <c r="AB278" s="3" t="str">
        <f>IFERROR(MID(VLOOKUP($B278,Seqs!$A:$B,2,0),AC278,1),"")</f>
        <v>G</v>
      </c>
      <c r="AC278" s="9">
        <v>149</v>
      </c>
      <c r="AD278" s="3" t="str">
        <f>IFERROR(MID(VLOOKUP($B278,Seqs!$A:$B,2,0),AE278,1),"")</f>
        <v>V</v>
      </c>
      <c r="AE278" s="3">
        <v>173</v>
      </c>
      <c r="AF278" s="3" t="str">
        <f>IFERROR(MID(VLOOKUP($B278,Seqs!$A:$B,2,0),AG278,1),"")</f>
        <v>C</v>
      </c>
      <c r="AG278" s="3">
        <v>187</v>
      </c>
      <c r="AH278" s="3" t="str">
        <f>IFERROR(MID(VLOOKUP($B278,Seqs!$A:$B,2,0),AI278,1),"")</f>
        <v>I</v>
      </c>
      <c r="AI278" s="3">
        <v>189</v>
      </c>
      <c r="AJ278" s="3" t="str">
        <f>IFERROR(MID(VLOOKUP($B278,Seqs!$A:$B,2,0),AK278,1),"")</f>
        <v>N</v>
      </c>
      <c r="AK278" s="3">
        <v>199</v>
      </c>
      <c r="AL278" s="3" t="str">
        <f>IFERROR(MID(VLOOKUP($B278,Seqs!$A:$B,2,0),AM278,1),"")</f>
        <v>Q</v>
      </c>
      <c r="AM278" s="3">
        <v>237</v>
      </c>
      <c r="AN278" s="3" t="str">
        <f>IFERROR(MID(VLOOKUP($B278,Seqs!$A:$B,2,0),AO278,1),"")</f>
        <v>A</v>
      </c>
      <c r="AO278" s="3">
        <v>241</v>
      </c>
      <c r="AP278" s="3" t="str">
        <f>IFERROR(MID(VLOOKUP($B278,Seqs!$A:$B,2,0),AQ278,1),"")</f>
        <v>H</v>
      </c>
      <c r="AQ278" s="3">
        <v>278</v>
      </c>
      <c r="AR278" s="3" t="str">
        <f>IFERROR(MID(VLOOKUP($B278,Seqs!$A:$B,2,0),AS278,1),"")</f>
        <v>G</v>
      </c>
      <c r="AS278" s="3">
        <v>284</v>
      </c>
      <c r="AT278" s="3" t="str">
        <f>IFERROR(MID(VLOOKUP($B278,Seqs!$A:$B,2,0),AU278,1),"")</f>
        <v>M</v>
      </c>
      <c r="AU278" s="3">
        <v>309</v>
      </c>
      <c r="AV278" s="3" t="str">
        <f>IFERROR(MID(VLOOKUP($B278,Seqs!$A:$B,2,0),AW278,1),"")</f>
        <v>N</v>
      </c>
      <c r="AW278" s="3">
        <v>310</v>
      </c>
      <c r="AX278" s="3" t="str">
        <f>IFERROR(MID(VLOOKUP($B278,Seqs!$A:$B,2,0),AY278,1),"")</f>
        <v>C</v>
      </c>
      <c r="AY278" s="3">
        <v>322</v>
      </c>
      <c r="AZ278" s="77" t="str">
        <f>VLOOKUP(B278,Classification!A:D,2,0)</f>
        <v>A</v>
      </c>
      <c r="BA278" s="94" t="str">
        <f>VLOOKUP(B278,Classification!A:D,4,0)</f>
        <v>Opsins</v>
      </c>
      <c r="BB278" s="27" t="b">
        <f t="shared" si="1425"/>
        <v>1</v>
      </c>
      <c r="BC278" s="23">
        <f>_xlfn.AGGREGATE(9,6,CH278:CS278)-_xlfn.AGGREGATE(9,6,BV278:CG278)+12</f>
        <v>253</v>
      </c>
      <c r="BD278" s="4" t="s">
        <v>23</v>
      </c>
      <c r="BE278" s="3" t="s">
        <v>1291</v>
      </c>
      <c r="BF278" s="118">
        <v>2.85</v>
      </c>
      <c r="BG278" s="49" t="s">
        <v>1377</v>
      </c>
      <c r="BH278" s="49" t="s">
        <v>1377</v>
      </c>
      <c r="BI278" s="1"/>
      <c r="BJ278" s="70" t="s">
        <v>1287</v>
      </c>
      <c r="BK278" s="57" t="s">
        <v>1287</v>
      </c>
      <c r="BL278" s="57" t="s">
        <v>1287</v>
      </c>
      <c r="BM278" s="57" t="s">
        <v>1287</v>
      </c>
      <c r="BN278" s="57" t="s">
        <v>1287</v>
      </c>
      <c r="BO278" s="57" t="s">
        <v>1287</v>
      </c>
      <c r="BP278" s="57" t="s">
        <v>1287</v>
      </c>
      <c r="BQ278" s="57" t="s">
        <v>1287</v>
      </c>
      <c r="BR278" s="57" t="s">
        <v>1287</v>
      </c>
      <c r="BS278" s="57" t="s">
        <v>1287</v>
      </c>
      <c r="BT278" s="57" t="s">
        <v>1287</v>
      </c>
      <c r="BU278" s="57" t="s">
        <v>1287</v>
      </c>
      <c r="BV278" s="70">
        <f>E278</f>
        <v>33</v>
      </c>
      <c r="BW278" s="71">
        <f>I278</f>
        <v>66</v>
      </c>
      <c r="BX278" s="72">
        <f>M278</f>
        <v>70</v>
      </c>
      <c r="BY278" s="71">
        <f>Q278</f>
        <v>102</v>
      </c>
      <c r="BZ278" s="72">
        <f>U278</f>
        <v>106</v>
      </c>
      <c r="CA278" s="71" t="str">
        <f>Y278</f>
        <v>-</v>
      </c>
      <c r="CB278" s="72">
        <f>AC278</f>
        <v>149</v>
      </c>
      <c r="CC278" s="71">
        <f>AG278</f>
        <v>187</v>
      </c>
      <c r="CD278" s="72">
        <f>AK278</f>
        <v>199</v>
      </c>
      <c r="CE278" s="71">
        <f>AO278</f>
        <v>241</v>
      </c>
      <c r="CF278" s="72">
        <f>AS278</f>
        <v>284</v>
      </c>
      <c r="CG278" s="71">
        <f>AW278</f>
        <v>310</v>
      </c>
      <c r="CH278" s="70">
        <f>G278</f>
        <v>65</v>
      </c>
      <c r="CI278" s="71">
        <f>K278</f>
        <v>69</v>
      </c>
      <c r="CJ278" s="72">
        <f>O278</f>
        <v>100</v>
      </c>
      <c r="CK278" s="72">
        <f>S278</f>
        <v>105</v>
      </c>
      <c r="CL278" s="72">
        <f>W278</f>
        <v>141</v>
      </c>
      <c r="CM278" s="72" t="str">
        <f>AA278</f>
        <v>-</v>
      </c>
      <c r="CN278" s="72">
        <f>AE278</f>
        <v>173</v>
      </c>
      <c r="CO278" s="72">
        <f>AI278</f>
        <v>189</v>
      </c>
      <c r="CP278" s="72">
        <f>AM278</f>
        <v>237</v>
      </c>
      <c r="CQ278" s="72">
        <f>AQ278</f>
        <v>278</v>
      </c>
      <c r="CR278" s="72">
        <f>AU278</f>
        <v>309</v>
      </c>
      <c r="CS278" s="72">
        <f>AY278</f>
        <v>322</v>
      </c>
      <c r="CT278" s="23">
        <f>M278-K278</f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1424"/>
        <v>opsd_bovin_4A4M</v>
      </c>
      <c r="B279" s="2" t="s">
        <v>919</v>
      </c>
      <c r="C279" s="3" t="s">
        <v>1370</v>
      </c>
      <c r="D279" s="3" t="str">
        <f>IFERROR(MID(VLOOKUP($B279,Seqs!$A:$B,2,0),E279,1),"")</f>
        <v>E</v>
      </c>
      <c r="E279" s="105">
        <v>33</v>
      </c>
      <c r="F279" s="3" t="str">
        <f>IFERROR(MID(VLOOKUP($B279,Seqs!$A:$B,2,0),G279,1),"")</f>
        <v>H</v>
      </c>
      <c r="G279" s="3">
        <v>65</v>
      </c>
      <c r="H279" s="3" t="str">
        <f>IFERROR(MID(VLOOKUP($B279,Seqs!$A:$B,2,0),I279,1),"")</f>
        <v>K</v>
      </c>
      <c r="I279" s="23">
        <v>66</v>
      </c>
      <c r="J279" s="3" t="str">
        <f>IFERROR(MID(VLOOKUP($B279,Seqs!$A:$B,2,0),K279,1),"")</f>
        <v>R</v>
      </c>
      <c r="K279" s="23">
        <v>69</v>
      </c>
      <c r="L279" s="3" t="str">
        <f>IFERROR(MID(VLOOKUP($B279,Seqs!$A:$B,2,0),M279,1),"")</f>
        <v>T</v>
      </c>
      <c r="M279" s="3">
        <v>70</v>
      </c>
      <c r="N279" s="3" t="str">
        <f>IFERROR(MID(VLOOKUP($B279,Seqs!$A:$B,2,0),O279,1),"")</f>
        <v>H</v>
      </c>
      <c r="O279" s="3">
        <v>100</v>
      </c>
      <c r="P279" s="3" t="str">
        <f>IFERROR(MID(VLOOKUP($B279,Seqs!$A:$B,2,0),Q279,1),"")</f>
        <v>Y</v>
      </c>
      <c r="Q279" s="3">
        <v>102</v>
      </c>
      <c r="R279" s="3" t="str">
        <f>IFERROR(MID(VLOOKUP($B279,Seqs!$A:$B,2,0),S279,1),"")</f>
        <v>F</v>
      </c>
      <c r="S279" s="3">
        <v>105</v>
      </c>
      <c r="T279" s="3" t="str">
        <f>IFERROR(MID(VLOOKUP($B279,Seqs!$A:$B,2,0),U279,1),"")</f>
        <v>G</v>
      </c>
      <c r="U279" s="3">
        <v>106</v>
      </c>
      <c r="V279" s="3" t="str">
        <f>IFERROR(MID(VLOOKUP($B279,Seqs!$A:$B,2,0),W279,1),"")</f>
        <v>K</v>
      </c>
      <c r="W279" s="3">
        <v>141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G</v>
      </c>
      <c r="AC279" s="9">
        <v>149</v>
      </c>
      <c r="AD279" s="3" t="str">
        <f>IFERROR(MID(VLOOKUP($B279,Seqs!$A:$B,2,0),AE279,1),"")</f>
        <v>V</v>
      </c>
      <c r="AE279" s="3">
        <v>173</v>
      </c>
      <c r="AF279" s="3" t="str">
        <f>IFERROR(MID(VLOOKUP($B279,Seqs!$A:$B,2,0),AG279,1),"")</f>
        <v>C</v>
      </c>
      <c r="AG279" s="3">
        <v>187</v>
      </c>
      <c r="AH279" s="3" t="str">
        <f>IFERROR(MID(VLOOKUP($B279,Seqs!$A:$B,2,0),AI279,1),"")</f>
        <v>I</v>
      </c>
      <c r="AI279" s="3">
        <v>189</v>
      </c>
      <c r="AJ279" s="3" t="str">
        <f>IFERROR(MID(VLOOKUP($B279,Seqs!$A:$B,2,0),AK279,1),"")</f>
        <v>N</v>
      </c>
      <c r="AK279" s="3">
        <v>199</v>
      </c>
      <c r="AL279" s="3" t="str">
        <f>IFERROR(MID(VLOOKUP($B279,Seqs!$A:$B,2,0),AM279,1),"")</f>
        <v>Q</v>
      </c>
      <c r="AM279" s="3">
        <v>237</v>
      </c>
      <c r="AN279" s="3" t="str">
        <f>IFERROR(MID(VLOOKUP($B279,Seqs!$A:$B,2,0),AO279,1),"")</f>
        <v>A</v>
      </c>
      <c r="AO279" s="3">
        <v>241</v>
      </c>
      <c r="AP279" s="3" t="str">
        <f>IFERROR(MID(VLOOKUP($B279,Seqs!$A:$B,2,0),AQ279,1),"")</f>
        <v>H</v>
      </c>
      <c r="AQ279" s="3">
        <v>278</v>
      </c>
      <c r="AR279" s="3" t="str">
        <f>IFERROR(MID(VLOOKUP($B279,Seqs!$A:$B,2,0),AS279,1),"")</f>
        <v>G</v>
      </c>
      <c r="AS279" s="3">
        <v>284</v>
      </c>
      <c r="AT279" s="3" t="str">
        <f>IFERROR(MID(VLOOKUP($B279,Seqs!$A:$B,2,0),AU279,1),"")</f>
        <v>M</v>
      </c>
      <c r="AU279" s="3">
        <v>309</v>
      </c>
      <c r="AV279" s="3" t="str">
        <f>IFERROR(MID(VLOOKUP($B279,Seqs!$A:$B,2,0),AW279,1),"")</f>
        <v>N</v>
      </c>
      <c r="AW279" s="3">
        <v>310</v>
      </c>
      <c r="AX279" s="3" t="str">
        <f>IFERROR(MID(VLOOKUP($B279,Seqs!$A:$B,2,0),AY279,1),"")</f>
        <v>C</v>
      </c>
      <c r="AY279" s="3">
        <v>322</v>
      </c>
      <c r="AZ279" s="77" t="str">
        <f>VLOOKUP(B279,Classification!A:D,2,0)</f>
        <v>A</v>
      </c>
      <c r="BA279" s="94" t="str">
        <f>VLOOKUP(B279,Classification!A:D,4,0)</f>
        <v>Opsins</v>
      </c>
      <c r="BB279" s="27" t="b">
        <f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23">
        <f>_xlfn.AGGREGATE(9,6,CH279:CS279)-_xlfn.AGGREGATE(9,6,BV279:CG279)+12</f>
        <v>253</v>
      </c>
      <c r="BD279" s="4" t="s">
        <v>23</v>
      </c>
      <c r="BE279" s="3" t="s">
        <v>1291</v>
      </c>
      <c r="BF279" s="118">
        <v>3.3</v>
      </c>
      <c r="BG279" s="49" t="s">
        <v>1377</v>
      </c>
      <c r="BH279" s="49" t="s">
        <v>1377</v>
      </c>
      <c r="BI279" s="1"/>
      <c r="BJ279" s="70" t="s">
        <v>1287</v>
      </c>
      <c r="BK279" s="57" t="s">
        <v>1287</v>
      </c>
      <c r="BL279" s="57" t="s">
        <v>1287</v>
      </c>
      <c r="BM279" s="57" t="s">
        <v>1287</v>
      </c>
      <c r="BN279" s="57" t="s">
        <v>1287</v>
      </c>
      <c r="BO279" s="57" t="s">
        <v>1287</v>
      </c>
      <c r="BP279" s="57" t="s">
        <v>1287</v>
      </c>
      <c r="BQ279" s="57" t="s">
        <v>1287</v>
      </c>
      <c r="BR279" s="57" t="s">
        <v>1287</v>
      </c>
      <c r="BS279" s="57" t="s">
        <v>1287</v>
      </c>
      <c r="BT279" s="57" t="s">
        <v>1287</v>
      </c>
      <c r="BU279" s="57" t="s">
        <v>1287</v>
      </c>
      <c r="BV279" s="70">
        <f>E279</f>
        <v>33</v>
      </c>
      <c r="BW279" s="71">
        <f>I279</f>
        <v>66</v>
      </c>
      <c r="BX279" s="72">
        <f>M279</f>
        <v>70</v>
      </c>
      <c r="BY279" s="71">
        <f>Q279</f>
        <v>102</v>
      </c>
      <c r="BZ279" s="72">
        <f>U279</f>
        <v>106</v>
      </c>
      <c r="CA279" s="71" t="str">
        <f>Y279</f>
        <v>-</v>
      </c>
      <c r="CB279" s="72">
        <f>AC279</f>
        <v>149</v>
      </c>
      <c r="CC279" s="71">
        <f>AG279</f>
        <v>187</v>
      </c>
      <c r="CD279" s="72">
        <f>AK279</f>
        <v>199</v>
      </c>
      <c r="CE279" s="71">
        <f>AO279</f>
        <v>241</v>
      </c>
      <c r="CF279" s="72">
        <f>AS279</f>
        <v>284</v>
      </c>
      <c r="CG279" s="71">
        <f>AW279</f>
        <v>310</v>
      </c>
      <c r="CH279" s="70">
        <f>G279</f>
        <v>65</v>
      </c>
      <c r="CI279" s="71">
        <f>K279</f>
        <v>69</v>
      </c>
      <c r="CJ279" s="72">
        <f>O279</f>
        <v>100</v>
      </c>
      <c r="CK279" s="72">
        <f>S279</f>
        <v>105</v>
      </c>
      <c r="CL279" s="72">
        <f>W279</f>
        <v>141</v>
      </c>
      <c r="CM279" s="72" t="str">
        <f>AA279</f>
        <v>-</v>
      </c>
      <c r="CN279" s="72">
        <f>AE279</f>
        <v>173</v>
      </c>
      <c r="CO279" s="72">
        <f>AI279</f>
        <v>189</v>
      </c>
      <c r="CP279" s="72">
        <f>AM279</f>
        <v>237</v>
      </c>
      <c r="CQ279" s="72">
        <f>AQ279</f>
        <v>278</v>
      </c>
      <c r="CR279" s="72">
        <f>AU279</f>
        <v>309</v>
      </c>
      <c r="CS279" s="72">
        <f>AY279</f>
        <v>322</v>
      </c>
      <c r="CT279" s="23">
        <f>M279-K279</f>
        <v>1</v>
      </c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  <c r="SG279" s="6"/>
      <c r="SH279" s="6"/>
      <c r="SI279" s="6"/>
      <c r="SJ279" s="6"/>
      <c r="SK279" s="6"/>
      <c r="SL279" s="6"/>
      <c r="SM279" s="6"/>
      <c r="SN279" s="6"/>
      <c r="SO279" s="6"/>
      <c r="SP279" s="6"/>
      <c r="SQ279" s="6"/>
      <c r="SR279" s="6"/>
      <c r="SS279" s="6"/>
      <c r="ST279" s="6"/>
      <c r="SU279" s="6"/>
      <c r="SV279" s="6"/>
      <c r="SW279" s="6"/>
      <c r="SX279" s="6"/>
      <c r="SY279" s="6"/>
      <c r="SZ279" s="6"/>
      <c r="TA279" s="6"/>
      <c r="TB279" s="6"/>
      <c r="TC279" s="6"/>
      <c r="TD279" s="6"/>
      <c r="TE279" s="6"/>
      <c r="TF279" s="6"/>
      <c r="TG279" s="6"/>
      <c r="TH279" s="6"/>
      <c r="TI279" s="6"/>
      <c r="TJ279" s="6"/>
      <c r="TK279" s="6"/>
      <c r="TL279" s="6"/>
      <c r="TM279" s="6"/>
      <c r="TN279" s="6"/>
      <c r="TO279" s="6"/>
      <c r="TP279" s="6"/>
      <c r="TQ279" s="6"/>
      <c r="TR279" s="6"/>
      <c r="TS279" s="6"/>
      <c r="TT279" s="6"/>
      <c r="TU279" s="6"/>
      <c r="TV279" s="6"/>
      <c r="TW279" s="6"/>
      <c r="TX279" s="6"/>
      <c r="TY279" s="6"/>
      <c r="TZ279" s="6"/>
      <c r="UA279" s="6"/>
      <c r="UB279" s="6"/>
      <c r="UC279" s="6"/>
      <c r="UD279" s="6"/>
      <c r="UE279" s="6"/>
      <c r="UF279" s="6"/>
      <c r="UG279" s="6"/>
      <c r="UH279" s="6"/>
      <c r="UI279" s="6"/>
      <c r="UJ279" s="6"/>
      <c r="UK279" s="6"/>
      <c r="UL279" s="6"/>
      <c r="UM279" s="6"/>
      <c r="UN279" s="6"/>
      <c r="UO279" s="6"/>
      <c r="UP279" s="6"/>
      <c r="UQ279" s="6"/>
      <c r="UR279" s="6"/>
      <c r="US279" s="6"/>
      <c r="UT279" s="6"/>
      <c r="UU279" s="6"/>
      <c r="UV279" s="6"/>
      <c r="UW279" s="6"/>
      <c r="UX279" s="6"/>
      <c r="UY279" s="6"/>
      <c r="UZ279" s="6"/>
      <c r="VA279" s="6"/>
      <c r="VB279" s="6"/>
      <c r="VC279" s="6"/>
      <c r="VD279" s="6"/>
      <c r="VE279" s="6"/>
      <c r="VF279" s="6"/>
      <c r="VG279" s="6"/>
      <c r="VH279" s="6"/>
      <c r="VI279" s="6"/>
      <c r="VJ279" s="6"/>
      <c r="VK279" s="6"/>
      <c r="VL279" s="6"/>
      <c r="VM279" s="6"/>
      <c r="VN279" s="6"/>
      <c r="VO279" s="6"/>
      <c r="VP279" s="6"/>
      <c r="VQ279" s="6"/>
      <c r="VR279" s="6"/>
      <c r="VS279" s="6"/>
      <c r="VT279" s="6"/>
      <c r="VU279" s="6"/>
      <c r="VV279" s="6"/>
      <c r="VW279" s="6"/>
      <c r="VX279" s="6"/>
      <c r="VY279" s="6"/>
      <c r="VZ279" s="6"/>
      <c r="WA279" s="6"/>
      <c r="WB279" s="6"/>
      <c r="WC279" s="6"/>
      <c r="WD279" s="6"/>
      <c r="WE279" s="6"/>
      <c r="WF279" s="6"/>
      <c r="WG279" s="6"/>
      <c r="WH279" s="6"/>
      <c r="WI279" s="6"/>
      <c r="WJ279" s="6"/>
      <c r="WK279" s="6"/>
      <c r="WL279" s="6"/>
      <c r="WM279" s="6"/>
      <c r="WN279" s="6"/>
      <c r="WO279" s="6"/>
      <c r="WP279" s="6"/>
      <c r="WQ279" s="6"/>
      <c r="WR279" s="6"/>
      <c r="WS279" s="6"/>
      <c r="WT279" s="6"/>
      <c r="WU279" s="6"/>
      <c r="WV279" s="6"/>
      <c r="WW279" s="6"/>
      <c r="WX279" s="6"/>
      <c r="WY279" s="6"/>
      <c r="WZ279" s="6"/>
      <c r="XA279" s="6"/>
      <c r="XB279" s="6"/>
      <c r="XC279" s="6"/>
      <c r="XD279" s="6"/>
      <c r="XE279" s="6"/>
      <c r="XF279" s="6"/>
      <c r="XG279" s="6"/>
      <c r="XH279" s="6"/>
      <c r="XI279" s="6"/>
      <c r="XJ279" s="6"/>
      <c r="XK279" s="6"/>
      <c r="XL279" s="6"/>
      <c r="XM279" s="6"/>
      <c r="XN279" s="6"/>
      <c r="XO279" s="6"/>
      <c r="XP279" s="6"/>
      <c r="XQ279" s="6"/>
      <c r="XR279" s="6"/>
      <c r="XS279" s="6"/>
      <c r="XT279" s="6"/>
      <c r="XU279" s="6"/>
      <c r="XV279" s="6"/>
      <c r="XW279" s="6"/>
      <c r="XX279" s="6"/>
      <c r="XY279" s="6"/>
      <c r="XZ279" s="6"/>
      <c r="YA279" s="6"/>
      <c r="YB279" s="6"/>
      <c r="YC279" s="6"/>
      <c r="YD279" s="6"/>
      <c r="YE279" s="6"/>
      <c r="YF279" s="6"/>
      <c r="YG279" s="6"/>
      <c r="YH279" s="6"/>
      <c r="YI279" s="6"/>
      <c r="YJ279" s="6"/>
      <c r="YK279" s="6"/>
      <c r="YL279" s="6"/>
      <c r="YM279" s="6"/>
      <c r="YN279" s="6"/>
      <c r="YO279" s="6"/>
      <c r="YP279" s="6"/>
      <c r="YQ279" s="6"/>
      <c r="YR279" s="6"/>
      <c r="YS279" s="6"/>
      <c r="YT279" s="6"/>
      <c r="YU279" s="6"/>
      <c r="YV279" s="6"/>
      <c r="YW279" s="6"/>
      <c r="YX279" s="6"/>
      <c r="YY279" s="6"/>
      <c r="YZ279" s="6"/>
      <c r="ZA279" s="6"/>
      <c r="ZB279" s="6"/>
      <c r="ZC279" s="6"/>
      <c r="ZD279" s="6"/>
      <c r="ZE279" s="6"/>
      <c r="ZF279" s="6"/>
      <c r="ZG279" s="6"/>
      <c r="ZH279" s="6"/>
      <c r="ZI279" s="6"/>
      <c r="ZJ279" s="6"/>
      <c r="ZK279" s="6"/>
      <c r="ZL279" s="6"/>
      <c r="ZM279" s="6"/>
      <c r="ZN279" s="6"/>
      <c r="ZO279" s="6"/>
      <c r="ZP279" s="6"/>
      <c r="ZQ279" s="6"/>
      <c r="ZR279" s="6"/>
      <c r="ZS279" s="6"/>
      <c r="ZT279" s="6"/>
      <c r="ZU279" s="6"/>
      <c r="ZV279" s="6"/>
      <c r="ZW279" s="6"/>
      <c r="ZX279" s="6"/>
      <c r="ZY279" s="6"/>
      <c r="ZZ279" s="6"/>
      <c r="AAA279" s="6"/>
      <c r="AAB279" s="6"/>
      <c r="AAC279" s="6"/>
      <c r="AAD279" s="6"/>
      <c r="AAE279" s="6"/>
      <c r="AAF279" s="6"/>
      <c r="AAG279" s="6"/>
      <c r="AAH279" s="6"/>
      <c r="AAI279" s="6"/>
      <c r="AAJ279" s="6"/>
      <c r="AAK279" s="6"/>
      <c r="AAL279" s="6"/>
      <c r="AAM279" s="6"/>
      <c r="AAN279" s="6"/>
      <c r="AAO279" s="6"/>
      <c r="AAP279" s="6"/>
      <c r="AAQ279" s="6"/>
      <c r="AAR279" s="6"/>
      <c r="AAS279" s="6"/>
      <c r="AAT279" s="6"/>
      <c r="AAU279" s="6"/>
      <c r="AAV279" s="6"/>
      <c r="AAW279" s="6"/>
      <c r="AAX279" s="6"/>
      <c r="AAY279" s="6"/>
      <c r="AAZ279" s="6"/>
      <c r="ABA279" s="6"/>
      <c r="ABB279" s="6"/>
      <c r="ABC279" s="6"/>
      <c r="ABD279" s="6"/>
      <c r="ABE279" s="6"/>
      <c r="ABF279" s="6"/>
      <c r="ABG279" s="6"/>
      <c r="ABH279" s="6"/>
      <c r="ABI279" s="6"/>
      <c r="ABJ279" s="6"/>
      <c r="ABK279" s="6"/>
      <c r="ABL279" s="6"/>
      <c r="ABM279" s="6"/>
      <c r="ABN279" s="6"/>
      <c r="ABO279" s="6"/>
      <c r="ABP279" s="6"/>
      <c r="ABQ279" s="6"/>
      <c r="ABR279" s="6"/>
      <c r="ABS279" s="6"/>
      <c r="ABT279" s="6"/>
      <c r="ABU279" s="6"/>
      <c r="ABV279" s="6"/>
      <c r="ABW279" s="6"/>
      <c r="ABX279" s="6"/>
      <c r="ABY279" s="6"/>
      <c r="ABZ279" s="6"/>
      <c r="ACA279" s="6"/>
      <c r="ACB279" s="6"/>
      <c r="ACC279" s="6"/>
      <c r="ACD279" s="6"/>
      <c r="ACE279" s="6"/>
      <c r="ACF279" s="6"/>
      <c r="ACG279" s="6"/>
      <c r="ACH279" s="6"/>
      <c r="ACI279" s="6"/>
      <c r="ACJ279" s="6"/>
      <c r="ACK279" s="6"/>
      <c r="ACL279" s="6"/>
      <c r="ACM279" s="6"/>
      <c r="ACN279" s="6"/>
      <c r="ACO279" s="6"/>
      <c r="ACP279" s="6"/>
      <c r="ACQ279" s="6"/>
      <c r="ACR279" s="6"/>
      <c r="ACS279" s="6"/>
      <c r="ACT279" s="6"/>
      <c r="ACU279" s="6"/>
      <c r="ACV279" s="6"/>
      <c r="ACW279" s="6"/>
      <c r="ACX279" s="6"/>
      <c r="ACY279" s="6"/>
      <c r="ACZ279" s="6"/>
      <c r="ADA279" s="6"/>
      <c r="ADB279" s="6"/>
      <c r="ADC279" s="6"/>
      <c r="ADD279" s="6"/>
      <c r="ADE279" s="6"/>
      <c r="ADF279" s="6"/>
      <c r="ADG279" s="6"/>
      <c r="ADH279" s="6"/>
      <c r="ADI279" s="6"/>
      <c r="ADJ279" s="6"/>
      <c r="ADK279" s="6"/>
      <c r="ADL279" s="6"/>
      <c r="ADM279" s="6"/>
      <c r="ADN279" s="6"/>
      <c r="ADO279" s="6"/>
      <c r="ADP279" s="6"/>
      <c r="ADQ279" s="6"/>
      <c r="ADR279" s="6"/>
      <c r="ADS279" s="6"/>
      <c r="ADT279" s="6"/>
      <c r="ADU279" s="6"/>
      <c r="ADV279" s="6"/>
      <c r="ADW279" s="6"/>
      <c r="ADX279" s="6"/>
      <c r="ADY279" s="6"/>
      <c r="ADZ279" s="6"/>
      <c r="AEA279" s="6"/>
      <c r="AEB279" s="6"/>
      <c r="AEC279" s="6"/>
      <c r="AED279" s="6"/>
      <c r="AEE279" s="6"/>
      <c r="AEF279" s="6"/>
      <c r="AEG279" s="6"/>
      <c r="AEH279" s="6"/>
      <c r="AEI279" s="6"/>
      <c r="AEJ279" s="6"/>
      <c r="AEK279" s="6"/>
      <c r="AEL279" s="6"/>
      <c r="AEM279" s="6"/>
      <c r="AEN279" s="6"/>
      <c r="AEO279" s="6"/>
      <c r="AEP279" s="6"/>
      <c r="AEQ279" s="6"/>
      <c r="AER279" s="6"/>
      <c r="AES279" s="6"/>
      <c r="AET279" s="6"/>
      <c r="AEU279" s="6"/>
      <c r="AEV279" s="6"/>
      <c r="AEW279" s="6"/>
      <c r="AEX279" s="6"/>
      <c r="AEY279" s="6"/>
      <c r="AEZ279" s="6"/>
      <c r="AFA279" s="6"/>
      <c r="AFB279" s="6"/>
      <c r="AFC279" s="6"/>
      <c r="AFD279" s="6"/>
      <c r="AFE279" s="6"/>
      <c r="AFF279" s="6"/>
      <c r="AFG279" s="6"/>
      <c r="AFH279" s="6"/>
      <c r="AFI279" s="6"/>
      <c r="AFJ279" s="6"/>
      <c r="AFK279" s="6"/>
      <c r="AFL279" s="6"/>
      <c r="AFM279" s="6"/>
      <c r="AFN279" s="6"/>
      <c r="AFO279" s="6"/>
      <c r="AFP279" s="6"/>
      <c r="AFQ279" s="6"/>
      <c r="AFR279" s="6"/>
      <c r="AFS279" s="6"/>
      <c r="AFT279" s="6"/>
      <c r="AFU279" s="6"/>
      <c r="AFV279" s="6"/>
      <c r="AFW279" s="6"/>
      <c r="AFX279" s="6"/>
      <c r="AFY279" s="6"/>
      <c r="AFZ279" s="6"/>
      <c r="AGA279" s="6"/>
      <c r="AGB279" s="6"/>
      <c r="AGC279" s="6"/>
      <c r="AGD279" s="6"/>
      <c r="AGE279" s="6"/>
      <c r="AGF279" s="6"/>
      <c r="AGG279" s="6"/>
      <c r="AGH279" s="6"/>
      <c r="AGI279" s="6"/>
      <c r="AGJ279" s="6"/>
      <c r="AGK279" s="6"/>
      <c r="AGL279" s="6"/>
      <c r="AGM279" s="6"/>
      <c r="AGN279" s="6"/>
      <c r="AGO279" s="6"/>
      <c r="AGP279" s="6"/>
      <c r="AGQ279" s="6"/>
      <c r="AGR279" s="6"/>
      <c r="AGS279" s="6"/>
      <c r="AGT279" s="6"/>
      <c r="AGU279" s="6"/>
      <c r="AGV279" s="6"/>
      <c r="AGW279" s="6"/>
      <c r="AGX279" s="6"/>
      <c r="AGY279" s="6"/>
      <c r="AGZ279" s="6"/>
      <c r="AHA279" s="6"/>
      <c r="AHB279" s="6"/>
      <c r="AHC279" s="6"/>
      <c r="AHD279" s="6"/>
      <c r="AHE279" s="6"/>
      <c r="AHF279" s="6"/>
      <c r="AHG279" s="6"/>
      <c r="AHH279" s="6"/>
      <c r="AHI279" s="6"/>
      <c r="AHJ279" s="6"/>
      <c r="AHK279" s="6"/>
      <c r="AHL279" s="6"/>
      <c r="AHM279" s="6"/>
      <c r="AHN279" s="6"/>
      <c r="AHO279" s="6"/>
      <c r="AHP279" s="6"/>
      <c r="AHQ279" s="6"/>
      <c r="AHR279" s="6"/>
      <c r="AHS279" s="6"/>
      <c r="AHT279" s="6"/>
      <c r="AHU279" s="6"/>
      <c r="AHV279" s="6"/>
      <c r="AHW279" s="6"/>
      <c r="AHX279" s="6"/>
      <c r="AHY279" s="6"/>
      <c r="AHZ279" s="6"/>
      <c r="AIA279" s="6"/>
      <c r="AIB279" s="6"/>
      <c r="AIC279" s="6"/>
      <c r="AID279" s="6"/>
      <c r="AIE279" s="6"/>
      <c r="AIF279" s="6"/>
      <c r="AIG279" s="6"/>
      <c r="AIH279" s="6"/>
      <c r="AII279" s="6"/>
      <c r="AIJ279" s="6"/>
      <c r="AIK279" s="6"/>
      <c r="AIL279" s="6"/>
      <c r="AIM279" s="6"/>
      <c r="AIN279" s="6"/>
      <c r="AIO279" s="6"/>
      <c r="AIP279" s="6"/>
      <c r="AIQ279" s="6"/>
      <c r="AIR279" s="6"/>
      <c r="AIS279" s="6"/>
      <c r="AIT279" s="6"/>
      <c r="AIU279" s="6"/>
      <c r="AIV279" s="6"/>
      <c r="AIW279" s="6"/>
      <c r="AIX279" s="6"/>
      <c r="AIY279" s="6"/>
      <c r="AIZ279" s="6"/>
      <c r="AJA279" s="6"/>
      <c r="AJB279" s="6"/>
      <c r="AJC279" s="6"/>
      <c r="AJD279" s="6"/>
      <c r="AJE279" s="6"/>
      <c r="AJF279" s="6"/>
      <c r="AJG279" s="6"/>
      <c r="AJH279" s="6"/>
      <c r="AJI279" s="6"/>
      <c r="AJJ279" s="6"/>
      <c r="AJK279" s="6"/>
      <c r="AJL279" s="6"/>
      <c r="AJM279" s="6"/>
      <c r="AJN279" s="6"/>
      <c r="AJO279" s="6"/>
      <c r="AJP279" s="6"/>
      <c r="AJQ279" s="6"/>
      <c r="AJR279" s="6"/>
      <c r="AJS279" s="6"/>
      <c r="AJT279" s="6"/>
      <c r="AJU279" s="6"/>
      <c r="AJV279" s="6"/>
      <c r="AJW279" s="6"/>
      <c r="AJX279" s="6"/>
      <c r="AJY279" s="6"/>
      <c r="AJZ279" s="6"/>
      <c r="AKA279" s="6"/>
      <c r="AKB279" s="6"/>
      <c r="AKC279" s="6"/>
      <c r="AKD279" s="6"/>
      <c r="AKE279" s="6"/>
      <c r="AKF279" s="6"/>
      <c r="AKG279" s="6"/>
      <c r="AKH279" s="6"/>
      <c r="AKI279" s="6"/>
      <c r="AKJ279" s="6"/>
      <c r="AKK279" s="6"/>
      <c r="AKL279" s="6"/>
      <c r="AKM279" s="6"/>
      <c r="AKN279" s="6"/>
      <c r="AKO279" s="6"/>
      <c r="AKP279" s="6"/>
      <c r="AKQ279" s="6"/>
      <c r="AKR279" s="6"/>
      <c r="AKS279" s="6"/>
      <c r="AKT279" s="6"/>
      <c r="AKU279" s="6"/>
      <c r="AKV279" s="6"/>
      <c r="AKW279" s="6"/>
      <c r="AKX279" s="6"/>
      <c r="AKY279" s="6"/>
      <c r="AKZ279" s="6"/>
      <c r="ALA279" s="6"/>
      <c r="ALB279" s="6"/>
      <c r="ALC279" s="6"/>
      <c r="ALD279" s="6"/>
      <c r="ALE279" s="6"/>
      <c r="ALF279" s="6"/>
      <c r="ALG279" s="6"/>
      <c r="ALH279" s="6"/>
      <c r="ALI279" s="6"/>
      <c r="ALJ279" s="6"/>
      <c r="ALK279" s="6"/>
      <c r="ALL279" s="6"/>
      <c r="ALM279" s="6"/>
      <c r="ALN279" s="6"/>
      <c r="ALO279" s="6"/>
      <c r="ALP279" s="6"/>
      <c r="ALQ279" s="6"/>
      <c r="ALR279" s="6"/>
      <c r="ALS279" s="6"/>
      <c r="ALT279" s="6"/>
      <c r="ALU279" s="6"/>
      <c r="ALV279" s="6"/>
      <c r="ALW279" s="6"/>
      <c r="ALX279" s="6"/>
      <c r="ALY279" s="6"/>
      <c r="ALZ279" s="6"/>
      <c r="AMA279" s="6"/>
      <c r="AMB279" s="6"/>
      <c r="AMC279" s="6"/>
      <c r="AMD279" s="6"/>
      <c r="AME279" s="6"/>
      <c r="AMF279" s="6"/>
      <c r="AMG279" s="6"/>
      <c r="AMH279" s="6"/>
      <c r="AMI279" s="6"/>
      <c r="AMJ279" s="6"/>
      <c r="AMK279" s="6"/>
      <c r="AML279" s="6"/>
      <c r="AMM279" s="6"/>
      <c r="AMN279" s="6"/>
      <c r="AMO279" s="6"/>
      <c r="AMP279" s="6"/>
    </row>
    <row r="280" spans="1:1030" x14ac:dyDescent="0.2">
      <c r="A280" s="3" t="str">
        <f t="shared" si="1424"/>
        <v>opsd_bovin_4J4Q</v>
      </c>
      <c r="B280" s="3" t="s">
        <v>919</v>
      </c>
      <c r="C280" s="3" t="s">
        <v>1043</v>
      </c>
      <c r="D280" s="3" t="str">
        <f>IFERROR(MID(VLOOKUP($B280,Seqs!$A:$B,2,0),E280,1),"")</f>
        <v>E</v>
      </c>
      <c r="E280" s="105">
        <v>33</v>
      </c>
      <c r="F280" s="3" t="str">
        <f>IFERROR(MID(VLOOKUP($B280,Seqs!$A:$B,2,0),G280,1),"")</f>
        <v>H</v>
      </c>
      <c r="G280" s="3">
        <v>65</v>
      </c>
      <c r="H280" s="3" t="str">
        <f>IFERROR(MID(VLOOKUP($B280,Seqs!$A:$B,2,0),I280,1),"")</f>
        <v>K</v>
      </c>
      <c r="I280" s="23">
        <v>66</v>
      </c>
      <c r="J280" s="3" t="str">
        <f>IFERROR(MID(VLOOKUP($B280,Seqs!$A:$B,2,0),K280,1),"")</f>
        <v>R</v>
      </c>
      <c r="K280" s="23">
        <v>69</v>
      </c>
      <c r="L280" s="3" t="str">
        <f>IFERROR(MID(VLOOKUP($B280,Seqs!$A:$B,2,0),M280,1),"")</f>
        <v>T</v>
      </c>
      <c r="M280" s="3">
        <v>70</v>
      </c>
      <c r="N280" s="3" t="str">
        <f>IFERROR(MID(VLOOKUP($B280,Seqs!$A:$B,2,0),O280,1),"")</f>
        <v>H</v>
      </c>
      <c r="O280" s="3">
        <v>100</v>
      </c>
      <c r="P280" s="3" t="str">
        <f>IFERROR(MID(VLOOKUP($B280,Seqs!$A:$B,2,0),Q280,1),"")</f>
        <v>Y</v>
      </c>
      <c r="Q280" s="3">
        <v>102</v>
      </c>
      <c r="R280" s="3" t="str">
        <f>IFERROR(MID(VLOOKUP($B280,Seqs!$A:$B,2,0),S280,1),"")</f>
        <v>F</v>
      </c>
      <c r="S280" s="3">
        <v>105</v>
      </c>
      <c r="T280" s="3" t="str">
        <f>IFERROR(MID(VLOOKUP($B280,Seqs!$A:$B,2,0),U280,1),"")</f>
        <v>G</v>
      </c>
      <c r="U280" s="3">
        <v>106</v>
      </c>
      <c r="V280" s="3" t="str">
        <f>IFERROR(MID(VLOOKUP($B280,Seqs!$A:$B,2,0),W280,1),"")</f>
        <v>K</v>
      </c>
      <c r="W280" s="3">
        <v>141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G</v>
      </c>
      <c r="AC280" s="9">
        <v>149</v>
      </c>
      <c r="AD280" s="3" t="str">
        <f>IFERROR(MID(VLOOKUP($B280,Seqs!$A:$B,2,0),AE280,1),"")</f>
        <v>V</v>
      </c>
      <c r="AE280" s="3">
        <v>173</v>
      </c>
      <c r="AF280" s="3" t="str">
        <f>IFERROR(MID(VLOOKUP($B280,Seqs!$A:$B,2,0),AG280,1),"")</f>
        <v>C</v>
      </c>
      <c r="AG280" s="3">
        <v>187</v>
      </c>
      <c r="AH280" s="3" t="str">
        <f>IFERROR(MID(VLOOKUP($B280,Seqs!$A:$B,2,0),AI280,1),"")</f>
        <v>I</v>
      </c>
      <c r="AI280" s="3">
        <v>189</v>
      </c>
      <c r="AJ280" s="3" t="str">
        <f>IFERROR(MID(VLOOKUP($B280,Seqs!$A:$B,2,0),AK280,1),"")</f>
        <v>N</v>
      </c>
      <c r="AK280" s="3">
        <v>199</v>
      </c>
      <c r="AL280" s="3" t="str">
        <f>IFERROR(MID(VLOOKUP($B280,Seqs!$A:$B,2,0),AM280,1),"")</f>
        <v>Q</v>
      </c>
      <c r="AM280" s="3">
        <v>237</v>
      </c>
      <c r="AN280" s="3" t="str">
        <f>IFERROR(MID(VLOOKUP($B280,Seqs!$A:$B,2,0),AO280,1),"")</f>
        <v>A</v>
      </c>
      <c r="AO280" s="3">
        <v>241</v>
      </c>
      <c r="AP280" s="3" t="str">
        <f>IFERROR(MID(VLOOKUP($B280,Seqs!$A:$B,2,0),AQ280,1),"")</f>
        <v>H</v>
      </c>
      <c r="AQ280" s="3">
        <v>278</v>
      </c>
      <c r="AR280" s="3" t="str">
        <f>IFERROR(MID(VLOOKUP($B280,Seqs!$A:$B,2,0),AS280,1),"")</f>
        <v>G</v>
      </c>
      <c r="AS280" s="3">
        <v>284</v>
      </c>
      <c r="AT280" s="3" t="str">
        <f>IFERROR(MID(VLOOKUP($B280,Seqs!$A:$B,2,0),AU280,1),"")</f>
        <v>M</v>
      </c>
      <c r="AU280" s="3">
        <v>309</v>
      </c>
      <c r="AV280" s="3" t="str">
        <f>IFERROR(MID(VLOOKUP($B280,Seqs!$A:$B,2,0),AW280,1),"")</f>
        <v>N</v>
      </c>
      <c r="AW280" s="3">
        <v>310</v>
      </c>
      <c r="AX280" s="3" t="str">
        <f>IFERROR(MID(VLOOKUP($B280,Seqs!$A:$B,2,0),AY280,1),"")</f>
        <v>C</v>
      </c>
      <c r="AY280" s="3">
        <v>322</v>
      </c>
      <c r="AZ280" s="77" t="str">
        <f>VLOOKUP(B280,Classification!A:D,2,0)</f>
        <v>A</v>
      </c>
      <c r="BA280" s="94" t="str">
        <f>VLOOKUP(B280,Classification!A:D,4,0)</f>
        <v>Opsins</v>
      </c>
      <c r="BB280" s="27" t="b">
        <f t="shared" si="1425"/>
        <v>1</v>
      </c>
      <c r="BC280" s="23">
        <f t="shared" ref="BC280:BC360" si="1956">_xlfn.AGGREGATE(9,6,CH280:CS280)-_xlfn.AGGREGATE(9,6,BV280:CG280)+12</f>
        <v>253</v>
      </c>
      <c r="BD280" s="4" t="s">
        <v>23</v>
      </c>
      <c r="BE280" s="3" t="s">
        <v>1291</v>
      </c>
      <c r="BF280" s="118">
        <v>2.65</v>
      </c>
      <c r="BG280" s="49" t="s">
        <v>1377</v>
      </c>
      <c r="BH280" s="49" t="s">
        <v>1377</v>
      </c>
      <c r="BI280" s="1"/>
      <c r="BJ280" s="70" t="s">
        <v>1287</v>
      </c>
      <c r="BK280" s="57" t="s">
        <v>1287</v>
      </c>
      <c r="BL280" s="57" t="s">
        <v>1287</v>
      </c>
      <c r="BM280" s="57" t="s">
        <v>1287</v>
      </c>
      <c r="BN280" s="57" t="s">
        <v>1287</v>
      </c>
      <c r="BO280" s="57" t="s">
        <v>1287</v>
      </c>
      <c r="BP280" s="57" t="s">
        <v>1287</v>
      </c>
      <c r="BQ280" s="57" t="s">
        <v>1287</v>
      </c>
      <c r="BR280" s="57" t="s">
        <v>1287</v>
      </c>
      <c r="BS280" s="57" t="s">
        <v>1287</v>
      </c>
      <c r="BT280" s="57" t="s">
        <v>1287</v>
      </c>
      <c r="BU280" s="57" t="s">
        <v>1287</v>
      </c>
      <c r="BV280" s="70">
        <f t="shared" ref="BV280:BV360" si="1957">E280</f>
        <v>33</v>
      </c>
      <c r="BW280" s="71">
        <f t="shared" ref="BW280:BW360" si="1958">I280</f>
        <v>66</v>
      </c>
      <c r="BX280" s="72">
        <f t="shared" ref="BX280:BX360" si="1959">M280</f>
        <v>70</v>
      </c>
      <c r="BY280" s="71">
        <f t="shared" ref="BY280:BY360" si="1960">Q280</f>
        <v>102</v>
      </c>
      <c r="BZ280" s="72">
        <f t="shared" ref="BZ280:BZ360" si="1961">U280</f>
        <v>106</v>
      </c>
      <c r="CA280" s="71" t="str">
        <f t="shared" ref="CA280:CA360" si="1962">Y280</f>
        <v>-</v>
      </c>
      <c r="CB280" s="72">
        <f t="shared" ref="CB280:CB360" si="1963">AC280</f>
        <v>149</v>
      </c>
      <c r="CC280" s="71">
        <f t="shared" ref="CC280:CC360" si="1964">AG280</f>
        <v>187</v>
      </c>
      <c r="CD280" s="72">
        <f t="shared" ref="CD280:CD360" si="1965">AK280</f>
        <v>199</v>
      </c>
      <c r="CE280" s="71">
        <f t="shared" ref="CE280:CE360" si="1966">AO280</f>
        <v>241</v>
      </c>
      <c r="CF280" s="72">
        <f t="shared" ref="CF280:CF360" si="1967">AS280</f>
        <v>284</v>
      </c>
      <c r="CG280" s="71">
        <f t="shared" ref="CG280:CG360" si="1968">AW280</f>
        <v>310</v>
      </c>
      <c r="CH280" s="70">
        <f t="shared" ref="CH280:CH360" si="1969">G280</f>
        <v>65</v>
      </c>
      <c r="CI280" s="71">
        <f t="shared" ref="CI280:CI360" si="1970">K280</f>
        <v>69</v>
      </c>
      <c r="CJ280" s="72">
        <f t="shared" ref="CJ280:CJ360" si="1971">O280</f>
        <v>100</v>
      </c>
      <c r="CK280" s="72">
        <f t="shared" ref="CK280:CK360" si="1972">S280</f>
        <v>105</v>
      </c>
      <c r="CL280" s="72">
        <f t="shared" ref="CL280:CL360" si="1973">W280</f>
        <v>141</v>
      </c>
      <c r="CM280" s="72" t="str">
        <f t="shared" ref="CM280:CM360" si="1974">AA280</f>
        <v>-</v>
      </c>
      <c r="CN280" s="72">
        <f t="shared" ref="CN280:CN360" si="1975">AE280</f>
        <v>173</v>
      </c>
      <c r="CO280" s="72">
        <f t="shared" ref="CO280:CO360" si="1976">AI280</f>
        <v>189</v>
      </c>
      <c r="CP280" s="72">
        <f t="shared" ref="CP280:CP360" si="1977">AM280</f>
        <v>237</v>
      </c>
      <c r="CQ280" s="72">
        <f t="shared" ref="CQ280:CQ360" si="1978">AQ280</f>
        <v>278</v>
      </c>
      <c r="CR280" s="72">
        <f t="shared" ref="CR280:CR360" si="1979">AU280</f>
        <v>309</v>
      </c>
      <c r="CS280" s="72">
        <f t="shared" ref="CS280:CS360" si="1980">AY280</f>
        <v>322</v>
      </c>
      <c r="CT280" s="23">
        <f t="shared" ref="CT280:CT360" si="1981">M280-K280</f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30" x14ac:dyDescent="0.2">
      <c r="A281" s="3" t="str">
        <f t="shared" si="1424"/>
        <v>opsd_bovin_5DYS</v>
      </c>
      <c r="B281" s="3" t="s">
        <v>919</v>
      </c>
      <c r="C281" s="3" t="s">
        <v>1357</v>
      </c>
      <c r="D281" s="3" t="str">
        <f>IFERROR(MID(VLOOKUP($B281,Seqs!$A:$B,2,0),E281,1),"")</f>
        <v>E</v>
      </c>
      <c r="E281" s="105">
        <v>33</v>
      </c>
      <c r="F281" s="3" t="str">
        <f>IFERROR(MID(VLOOKUP($B281,Seqs!$A:$B,2,0),G281,1),"")</f>
        <v>H</v>
      </c>
      <c r="G281" s="3">
        <v>65</v>
      </c>
      <c r="H281" s="3" t="str">
        <f>IFERROR(MID(VLOOKUP($B281,Seqs!$A:$B,2,0),I281,1),"")</f>
        <v>K</v>
      </c>
      <c r="I281" s="23">
        <v>66</v>
      </c>
      <c r="J281" s="3" t="str">
        <f>IFERROR(MID(VLOOKUP($B281,Seqs!$A:$B,2,0),K281,1),"")</f>
        <v>R</v>
      </c>
      <c r="K281" s="23">
        <v>69</v>
      </c>
      <c r="L281" s="3" t="str">
        <f>IFERROR(MID(VLOOKUP($B281,Seqs!$A:$B,2,0),M281,1),"")</f>
        <v>T</v>
      </c>
      <c r="M281" s="3">
        <v>70</v>
      </c>
      <c r="N281" s="3" t="str">
        <f>IFERROR(MID(VLOOKUP($B281,Seqs!$A:$B,2,0),O281,1),"")</f>
        <v>H</v>
      </c>
      <c r="O281" s="3">
        <v>100</v>
      </c>
      <c r="P281" s="3" t="str">
        <f>IFERROR(MID(VLOOKUP($B281,Seqs!$A:$B,2,0),Q281,1),"")</f>
        <v>Y</v>
      </c>
      <c r="Q281" s="3">
        <v>102</v>
      </c>
      <c r="R281" s="3" t="str">
        <f>IFERROR(MID(VLOOKUP($B281,Seqs!$A:$B,2,0),S281,1),"")</f>
        <v>F</v>
      </c>
      <c r="S281" s="3">
        <v>105</v>
      </c>
      <c r="T281" s="3" t="str">
        <f>IFERROR(MID(VLOOKUP($B281,Seqs!$A:$B,2,0),U281,1),"")</f>
        <v>G</v>
      </c>
      <c r="U281" s="3">
        <v>106</v>
      </c>
      <c r="V281" s="3" t="str">
        <f>IFERROR(MID(VLOOKUP($B281,Seqs!$A:$B,2,0),W281,1),"")</f>
        <v>K</v>
      </c>
      <c r="W281" s="3">
        <v>141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G</v>
      </c>
      <c r="AC281" s="9">
        <v>149</v>
      </c>
      <c r="AD281" s="3" t="str">
        <f>IFERROR(MID(VLOOKUP($B281,Seqs!$A:$B,2,0),AE281,1),"")</f>
        <v>V</v>
      </c>
      <c r="AE281" s="3">
        <v>173</v>
      </c>
      <c r="AF281" s="3" t="str">
        <f>IFERROR(MID(VLOOKUP($B281,Seqs!$A:$B,2,0),AG281,1),"")</f>
        <v>C</v>
      </c>
      <c r="AG281" s="3">
        <v>187</v>
      </c>
      <c r="AH281" s="3" t="str">
        <f>IFERROR(MID(VLOOKUP($B281,Seqs!$A:$B,2,0),AI281,1),"")</f>
        <v>I</v>
      </c>
      <c r="AI281" s="3">
        <v>189</v>
      </c>
      <c r="AJ281" s="3" t="str">
        <f>IFERROR(MID(VLOOKUP($B281,Seqs!$A:$B,2,0),AK281,1),"")</f>
        <v>N</v>
      </c>
      <c r="AK281" s="3">
        <v>199</v>
      </c>
      <c r="AL281" s="3" t="str">
        <f>IFERROR(MID(VLOOKUP($B281,Seqs!$A:$B,2,0),AM281,1),"")</f>
        <v>Q</v>
      </c>
      <c r="AM281" s="3">
        <v>237</v>
      </c>
      <c r="AN281" s="3" t="str">
        <f>IFERROR(MID(VLOOKUP($B281,Seqs!$A:$B,2,0),AO281,1),"")</f>
        <v>A</v>
      </c>
      <c r="AO281" s="3">
        <v>241</v>
      </c>
      <c r="AP281" s="3" t="str">
        <f>IFERROR(MID(VLOOKUP($B281,Seqs!$A:$B,2,0),AQ281,1),"")</f>
        <v>H</v>
      </c>
      <c r="AQ281" s="3">
        <v>278</v>
      </c>
      <c r="AR281" s="3" t="str">
        <f>IFERROR(MID(VLOOKUP($B281,Seqs!$A:$B,2,0),AS281,1),"")</f>
        <v>G</v>
      </c>
      <c r="AS281" s="3">
        <v>284</v>
      </c>
      <c r="AT281" s="3" t="str">
        <f>IFERROR(MID(VLOOKUP($B281,Seqs!$A:$B,2,0),AU281,1),"")</f>
        <v>M</v>
      </c>
      <c r="AU281" s="3">
        <v>309</v>
      </c>
      <c r="AV281" s="3" t="str">
        <f>IFERROR(MID(VLOOKUP($B281,Seqs!$A:$B,2,0),AW281,1),"")</f>
        <v>N</v>
      </c>
      <c r="AW281" s="3">
        <v>310</v>
      </c>
      <c r="AX281" s="3" t="str">
        <f>IFERROR(MID(VLOOKUP($B281,Seqs!$A:$B,2,0),AY281,1),"")</f>
        <v>C</v>
      </c>
      <c r="AY281" s="3">
        <v>322</v>
      </c>
      <c r="AZ281" s="77" t="str">
        <f>VLOOKUP(B281,Classification!A:D,2,0)</f>
        <v>A</v>
      </c>
      <c r="BA281" s="94" t="str">
        <f>VLOOKUP(B281,Classification!A:D,4,0)</f>
        <v>Opsins</v>
      </c>
      <c r="BB281" s="27" t="b">
        <f t="shared" si="1425"/>
        <v>1</v>
      </c>
      <c r="BC281" s="23">
        <f t="shared" si="1956"/>
        <v>253</v>
      </c>
      <c r="BD281" s="5" t="s">
        <v>23</v>
      </c>
      <c r="BE281" s="3" t="s">
        <v>1291</v>
      </c>
      <c r="BF281" s="118">
        <v>2.2999999999999998</v>
      </c>
      <c r="BG281" s="49" t="s">
        <v>1377</v>
      </c>
      <c r="BH281" s="49" t="s">
        <v>1377</v>
      </c>
      <c r="BI281" s="1"/>
      <c r="BJ281" s="70" t="s">
        <v>1287</v>
      </c>
      <c r="BK281" s="57" t="s">
        <v>1287</v>
      </c>
      <c r="BL281" s="57" t="s">
        <v>1287</v>
      </c>
      <c r="BM281" s="57" t="s">
        <v>1287</v>
      </c>
      <c r="BN281" s="57" t="s">
        <v>1287</v>
      </c>
      <c r="BO281" s="57" t="s">
        <v>1287</v>
      </c>
      <c r="BP281" s="57" t="s">
        <v>1287</v>
      </c>
      <c r="BQ281" s="57" t="s">
        <v>1287</v>
      </c>
      <c r="BR281" s="57" t="s">
        <v>1287</v>
      </c>
      <c r="BS281" s="57" t="s">
        <v>1287</v>
      </c>
      <c r="BT281" s="57" t="s">
        <v>1287</v>
      </c>
      <c r="BU281" s="57" t="s">
        <v>1287</v>
      </c>
      <c r="BV281" s="70">
        <f t="shared" si="1957"/>
        <v>33</v>
      </c>
      <c r="BW281" s="71">
        <f t="shared" si="1958"/>
        <v>66</v>
      </c>
      <c r="BX281" s="72">
        <f t="shared" si="1959"/>
        <v>70</v>
      </c>
      <c r="BY281" s="71">
        <f t="shared" si="1960"/>
        <v>102</v>
      </c>
      <c r="BZ281" s="72">
        <f t="shared" si="1961"/>
        <v>106</v>
      </c>
      <c r="CA281" s="71" t="str">
        <f t="shared" si="1962"/>
        <v>-</v>
      </c>
      <c r="CB281" s="72">
        <f t="shared" si="1963"/>
        <v>149</v>
      </c>
      <c r="CC281" s="71">
        <f t="shared" si="1964"/>
        <v>187</v>
      </c>
      <c r="CD281" s="72">
        <f t="shared" si="1965"/>
        <v>199</v>
      </c>
      <c r="CE281" s="71">
        <f t="shared" si="1966"/>
        <v>241</v>
      </c>
      <c r="CF281" s="72">
        <f t="shared" si="1967"/>
        <v>284</v>
      </c>
      <c r="CG281" s="71">
        <f t="shared" si="1968"/>
        <v>310</v>
      </c>
      <c r="CH281" s="70">
        <f t="shared" si="1969"/>
        <v>65</v>
      </c>
      <c r="CI281" s="71">
        <f t="shared" si="1970"/>
        <v>69</v>
      </c>
      <c r="CJ281" s="72">
        <f t="shared" si="1971"/>
        <v>100</v>
      </c>
      <c r="CK281" s="72">
        <f t="shared" si="1972"/>
        <v>105</v>
      </c>
      <c r="CL281" s="72">
        <f t="shared" si="1973"/>
        <v>141</v>
      </c>
      <c r="CM281" s="72" t="str">
        <f t="shared" si="1974"/>
        <v>-</v>
      </c>
      <c r="CN281" s="72">
        <f t="shared" si="1975"/>
        <v>173</v>
      </c>
      <c r="CO281" s="72">
        <f t="shared" si="1976"/>
        <v>189</v>
      </c>
      <c r="CP281" s="72">
        <f t="shared" si="1977"/>
        <v>237</v>
      </c>
      <c r="CQ281" s="72">
        <f t="shared" si="1978"/>
        <v>278</v>
      </c>
      <c r="CR281" s="72">
        <f t="shared" si="1979"/>
        <v>309</v>
      </c>
      <c r="CS281" s="72">
        <f t="shared" si="1980"/>
        <v>322</v>
      </c>
      <c r="CT281" s="23">
        <f t="shared" si="1981"/>
        <v>1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ref="A282:A380" si="1982">CONCATENATE(B282,"_",C282)</f>
        <v>opsd_bovin_5EN0</v>
      </c>
      <c r="B282" s="3" t="s">
        <v>919</v>
      </c>
      <c r="C282" s="3" t="s">
        <v>1358</v>
      </c>
      <c r="D282" s="3" t="str">
        <f>IFERROR(MID(VLOOKUP($B282,Seqs!$A:$B,2,0),E282,1),"")</f>
        <v>E</v>
      </c>
      <c r="E282" s="105">
        <v>33</v>
      </c>
      <c r="F282" s="3" t="str">
        <f>IFERROR(MID(VLOOKUP($B282,Seqs!$A:$B,2,0),G282,1),"")</f>
        <v>H</v>
      </c>
      <c r="G282" s="3">
        <v>65</v>
      </c>
      <c r="H282" s="3" t="str">
        <f>IFERROR(MID(VLOOKUP($B282,Seqs!$A:$B,2,0),I282,1),"")</f>
        <v>K</v>
      </c>
      <c r="I282" s="23">
        <v>66</v>
      </c>
      <c r="J282" s="3" t="str">
        <f>IFERROR(MID(VLOOKUP($B282,Seqs!$A:$B,2,0),K282,1),"")</f>
        <v>R</v>
      </c>
      <c r="K282" s="23">
        <v>69</v>
      </c>
      <c r="L282" s="3" t="str">
        <f>IFERROR(MID(VLOOKUP($B282,Seqs!$A:$B,2,0),M282,1),"")</f>
        <v>T</v>
      </c>
      <c r="M282" s="3">
        <v>70</v>
      </c>
      <c r="N282" s="3" t="str">
        <f>IFERROR(MID(VLOOKUP($B282,Seqs!$A:$B,2,0),O282,1),"")</f>
        <v>H</v>
      </c>
      <c r="O282" s="3">
        <v>100</v>
      </c>
      <c r="P282" s="3" t="str">
        <f>IFERROR(MID(VLOOKUP($B282,Seqs!$A:$B,2,0),Q282,1),"")</f>
        <v>Y</v>
      </c>
      <c r="Q282" s="3">
        <v>102</v>
      </c>
      <c r="R282" s="3" t="str">
        <f>IFERROR(MID(VLOOKUP($B282,Seqs!$A:$B,2,0),S282,1),"")</f>
        <v>F</v>
      </c>
      <c r="S282" s="3">
        <v>105</v>
      </c>
      <c r="T282" s="3" t="str">
        <f>IFERROR(MID(VLOOKUP($B282,Seqs!$A:$B,2,0),U282,1),"")</f>
        <v>G</v>
      </c>
      <c r="U282" s="3">
        <v>106</v>
      </c>
      <c r="V282" s="3" t="str">
        <f>IFERROR(MID(VLOOKUP($B282,Seqs!$A:$B,2,0),W282,1),"")</f>
        <v>K</v>
      </c>
      <c r="W282" s="3">
        <v>141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G</v>
      </c>
      <c r="AC282" s="9">
        <v>149</v>
      </c>
      <c r="AD282" s="3" t="str">
        <f>IFERROR(MID(VLOOKUP($B282,Seqs!$A:$B,2,0),AE282,1),"")</f>
        <v>V</v>
      </c>
      <c r="AE282" s="3">
        <v>173</v>
      </c>
      <c r="AF282" s="3" t="str">
        <f>IFERROR(MID(VLOOKUP($B282,Seqs!$A:$B,2,0),AG282,1),"")</f>
        <v>C</v>
      </c>
      <c r="AG282" s="3">
        <v>187</v>
      </c>
      <c r="AH282" s="3" t="str">
        <f>IFERROR(MID(VLOOKUP($B282,Seqs!$A:$B,2,0),AI282,1),"")</f>
        <v>I</v>
      </c>
      <c r="AI282" s="3">
        <v>189</v>
      </c>
      <c r="AJ282" s="3" t="str">
        <f>IFERROR(MID(VLOOKUP($B282,Seqs!$A:$B,2,0),AK282,1),"")</f>
        <v>N</v>
      </c>
      <c r="AK282" s="3">
        <v>199</v>
      </c>
      <c r="AL282" s="3" t="str">
        <f>IFERROR(MID(VLOOKUP($B282,Seqs!$A:$B,2,0),AM282,1),"")</f>
        <v>Q</v>
      </c>
      <c r="AM282" s="3">
        <v>237</v>
      </c>
      <c r="AN282" s="3" t="str">
        <f>IFERROR(MID(VLOOKUP($B282,Seqs!$A:$B,2,0),AO282,1),"")</f>
        <v>A</v>
      </c>
      <c r="AO282" s="3">
        <v>241</v>
      </c>
      <c r="AP282" s="3" t="str">
        <f>IFERROR(MID(VLOOKUP($B282,Seqs!$A:$B,2,0),AQ282,1),"")</f>
        <v>H</v>
      </c>
      <c r="AQ282" s="3">
        <v>278</v>
      </c>
      <c r="AR282" s="3" t="str">
        <f>IFERROR(MID(VLOOKUP($B282,Seqs!$A:$B,2,0),AS282,1),"")</f>
        <v>G</v>
      </c>
      <c r="AS282" s="3">
        <v>284</v>
      </c>
      <c r="AT282" s="3" t="str">
        <f>IFERROR(MID(VLOOKUP($B282,Seqs!$A:$B,2,0),AU282,1),"")</f>
        <v>M</v>
      </c>
      <c r="AU282" s="3">
        <v>309</v>
      </c>
      <c r="AV282" s="3" t="str">
        <f>IFERROR(MID(VLOOKUP($B282,Seqs!$A:$B,2,0),AW282,1),"")</f>
        <v>N</v>
      </c>
      <c r="AW282" s="3">
        <v>310</v>
      </c>
      <c r="AX282" s="3" t="str">
        <f>IFERROR(MID(VLOOKUP($B282,Seqs!$A:$B,2,0),AY282,1),"")</f>
        <v>C</v>
      </c>
      <c r="AY282" s="3">
        <v>322</v>
      </c>
      <c r="AZ282" s="77" t="str">
        <f>VLOOKUP(B282,Classification!A:D,2,0)</f>
        <v>A</v>
      </c>
      <c r="BA282" s="94" t="str">
        <f>VLOOKUP(B282,Classification!A:D,4,0)</f>
        <v>Opsins</v>
      </c>
      <c r="BB282" s="27" t="b">
        <f t="shared" ref="BB282:BB380" si="1983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si="1956"/>
        <v>253</v>
      </c>
      <c r="BD282" s="4" t="s">
        <v>23</v>
      </c>
      <c r="BE282" s="3" t="s">
        <v>1291</v>
      </c>
      <c r="BF282" s="118">
        <v>2.81</v>
      </c>
      <c r="BG282" s="49" t="s">
        <v>1377</v>
      </c>
      <c r="BH282" s="49" t="s">
        <v>1377</v>
      </c>
      <c r="BI282" s="1"/>
      <c r="BJ282" s="70" t="s">
        <v>1287</v>
      </c>
      <c r="BK282" s="57" t="s">
        <v>1287</v>
      </c>
      <c r="BL282" s="57" t="s">
        <v>1287</v>
      </c>
      <c r="BM282" s="57" t="s">
        <v>1287</v>
      </c>
      <c r="BN282" s="57" t="s">
        <v>1287</v>
      </c>
      <c r="BO282" s="57" t="s">
        <v>1287</v>
      </c>
      <c r="BP282" s="57" t="s">
        <v>1287</v>
      </c>
      <c r="BQ282" s="57" t="s">
        <v>1287</v>
      </c>
      <c r="BR282" s="57" t="s">
        <v>1287</v>
      </c>
      <c r="BS282" s="57" t="s">
        <v>1287</v>
      </c>
      <c r="BT282" s="57" t="s">
        <v>1287</v>
      </c>
      <c r="BU282" s="57" t="s">
        <v>1287</v>
      </c>
      <c r="BV282" s="70">
        <f t="shared" si="1957"/>
        <v>33</v>
      </c>
      <c r="BW282" s="71">
        <f t="shared" si="1958"/>
        <v>66</v>
      </c>
      <c r="BX282" s="72">
        <f t="shared" si="1959"/>
        <v>70</v>
      </c>
      <c r="BY282" s="71">
        <f t="shared" si="1960"/>
        <v>102</v>
      </c>
      <c r="BZ282" s="72">
        <f t="shared" si="1961"/>
        <v>106</v>
      </c>
      <c r="CA282" s="71" t="str">
        <f t="shared" si="1962"/>
        <v>-</v>
      </c>
      <c r="CB282" s="72">
        <f t="shared" si="1963"/>
        <v>149</v>
      </c>
      <c r="CC282" s="71">
        <f t="shared" si="1964"/>
        <v>187</v>
      </c>
      <c r="CD282" s="72">
        <f t="shared" si="1965"/>
        <v>199</v>
      </c>
      <c r="CE282" s="71">
        <f t="shared" si="1966"/>
        <v>241</v>
      </c>
      <c r="CF282" s="72">
        <f t="shared" si="1967"/>
        <v>284</v>
      </c>
      <c r="CG282" s="71">
        <f t="shared" si="1968"/>
        <v>310</v>
      </c>
      <c r="CH282" s="70">
        <f t="shared" si="1969"/>
        <v>65</v>
      </c>
      <c r="CI282" s="71">
        <f t="shared" si="1970"/>
        <v>69</v>
      </c>
      <c r="CJ282" s="72">
        <f t="shared" si="1971"/>
        <v>100</v>
      </c>
      <c r="CK282" s="72">
        <f t="shared" si="1972"/>
        <v>105</v>
      </c>
      <c r="CL282" s="72">
        <f t="shared" si="1973"/>
        <v>141</v>
      </c>
      <c r="CM282" s="72" t="str">
        <f t="shared" si="1974"/>
        <v>-</v>
      </c>
      <c r="CN282" s="72">
        <f t="shared" si="1975"/>
        <v>173</v>
      </c>
      <c r="CO282" s="72">
        <f t="shared" si="1976"/>
        <v>189</v>
      </c>
      <c r="CP282" s="72">
        <f t="shared" si="1977"/>
        <v>237</v>
      </c>
      <c r="CQ282" s="72">
        <f t="shared" si="1978"/>
        <v>278</v>
      </c>
      <c r="CR282" s="72">
        <f t="shared" si="1979"/>
        <v>309</v>
      </c>
      <c r="CS282" s="72">
        <f t="shared" si="1980"/>
        <v>322</v>
      </c>
      <c r="CT282" s="23">
        <f t="shared" si="1981"/>
        <v>1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30" x14ac:dyDescent="0.2">
      <c r="A283" s="3" t="str">
        <f t="shared" ref="A283:A293" si="1984">CONCATENATE(B283,"_",C283)</f>
        <v>opsd_bovin_5TE3</v>
      </c>
      <c r="B283" s="3" t="s">
        <v>919</v>
      </c>
      <c r="C283" s="3" t="s">
        <v>1399</v>
      </c>
      <c r="D283" s="3" t="str">
        <f>IFERROR(MID(VLOOKUP($B283,Seqs!$A:$B,2,0),E283,1),"")</f>
        <v>E</v>
      </c>
      <c r="E283" s="105">
        <v>33</v>
      </c>
      <c r="F283" s="3" t="str">
        <f>IFERROR(MID(VLOOKUP($B283,Seqs!$A:$B,2,0),G283,1),"")</f>
        <v>H</v>
      </c>
      <c r="G283" s="3">
        <v>65</v>
      </c>
      <c r="H283" s="3" t="str">
        <f>IFERROR(MID(VLOOKUP($B283,Seqs!$A:$B,2,0),I283,1),"")</f>
        <v>K</v>
      </c>
      <c r="I283" s="23">
        <v>66</v>
      </c>
      <c r="J283" s="3" t="str">
        <f>IFERROR(MID(VLOOKUP($B283,Seqs!$A:$B,2,0),K283,1),"")</f>
        <v>R</v>
      </c>
      <c r="K283" s="23">
        <v>69</v>
      </c>
      <c r="L283" s="3" t="str">
        <f>IFERROR(MID(VLOOKUP($B283,Seqs!$A:$B,2,0),M283,1),"")</f>
        <v>T</v>
      </c>
      <c r="M283" s="3">
        <v>70</v>
      </c>
      <c r="N283" s="3" t="str">
        <f>IFERROR(MID(VLOOKUP($B283,Seqs!$A:$B,2,0),O283,1),"")</f>
        <v>H</v>
      </c>
      <c r="O283" s="3">
        <v>100</v>
      </c>
      <c r="P283" s="3" t="str">
        <f>IFERROR(MID(VLOOKUP($B283,Seqs!$A:$B,2,0),Q283,1),"")</f>
        <v>Y</v>
      </c>
      <c r="Q283" s="3">
        <v>102</v>
      </c>
      <c r="R283" s="3" t="str">
        <f>IFERROR(MID(VLOOKUP($B283,Seqs!$A:$B,2,0),S283,1),"")</f>
        <v>F</v>
      </c>
      <c r="S283" s="3">
        <v>105</v>
      </c>
      <c r="T283" s="3" t="str">
        <f>IFERROR(MID(VLOOKUP($B283,Seqs!$A:$B,2,0),U283,1),"")</f>
        <v>G</v>
      </c>
      <c r="U283" s="3">
        <v>106</v>
      </c>
      <c r="V283" s="3" t="str">
        <f>IFERROR(MID(VLOOKUP($B283,Seqs!$A:$B,2,0),W283,1),"")</f>
        <v>K</v>
      </c>
      <c r="W283" s="3">
        <v>141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G</v>
      </c>
      <c r="AC283" s="3">
        <v>149</v>
      </c>
      <c r="AD283" s="3" t="str">
        <f>IFERROR(MID(VLOOKUP($B283,Seqs!$A:$B,2,0),AE283,1),"")</f>
        <v>V</v>
      </c>
      <c r="AE283" s="3">
        <v>173</v>
      </c>
      <c r="AF283" s="3" t="str">
        <f>IFERROR(MID(VLOOKUP($B283,Seqs!$A:$B,2,0),AG283,1),"")</f>
        <v>C</v>
      </c>
      <c r="AG283" s="3">
        <v>187</v>
      </c>
      <c r="AH283" s="3" t="str">
        <f>IFERROR(MID(VLOOKUP($B283,Seqs!$A:$B,2,0),AI283,1),"")</f>
        <v>I</v>
      </c>
      <c r="AI283" s="3">
        <v>189</v>
      </c>
      <c r="AJ283" s="3" t="str">
        <f>IFERROR(MID(VLOOKUP($B283,Seqs!$A:$B,2,0),AK283,1),"")</f>
        <v>N</v>
      </c>
      <c r="AK283" s="3">
        <v>199</v>
      </c>
      <c r="AL283" s="3" t="str">
        <f>IFERROR(MID(VLOOKUP($B283,Seqs!$A:$B,2,0),AM283,1),"")</f>
        <v>Q</v>
      </c>
      <c r="AM283" s="3">
        <v>237</v>
      </c>
      <c r="AN283" s="3" t="str">
        <f>IFERROR(MID(VLOOKUP($B283,Seqs!$A:$B,2,0),AO283,1),"")</f>
        <v>A</v>
      </c>
      <c r="AO283" s="3">
        <v>241</v>
      </c>
      <c r="AP283" s="3" t="str">
        <f>IFERROR(MID(VLOOKUP($B283,Seqs!$A:$B,2,0),AQ283,1),"")</f>
        <v>H</v>
      </c>
      <c r="AQ283" s="3">
        <v>278</v>
      </c>
      <c r="AR283" s="3" t="str">
        <f>IFERROR(MID(VLOOKUP($B283,Seqs!$A:$B,2,0),AS283,1),"")</f>
        <v>G</v>
      </c>
      <c r="AS283" s="3">
        <v>284</v>
      </c>
      <c r="AT283" s="3" t="str">
        <f>IFERROR(MID(VLOOKUP($B283,Seqs!$A:$B,2,0),AU283,1),"")</f>
        <v>M</v>
      </c>
      <c r="AU283" s="3">
        <v>309</v>
      </c>
      <c r="AV283" s="3" t="str">
        <f>IFERROR(MID(VLOOKUP($B283,Seqs!$A:$B,2,0),AW283,1),"")</f>
        <v>N</v>
      </c>
      <c r="AW283" s="3">
        <v>310</v>
      </c>
      <c r="AX283" s="3" t="str">
        <f>IFERROR(MID(VLOOKUP($B283,Seqs!$A:$B,2,0),AY283,1),"")</f>
        <v>C</v>
      </c>
      <c r="AY283" s="3">
        <v>322</v>
      </c>
      <c r="AZ283" s="77" t="str">
        <f>VLOOKUP(B283,Classification!A:D,2,0)</f>
        <v>A</v>
      </c>
      <c r="BA283" s="94" t="str">
        <f>VLOOKUP(B283,Classification!A:D,4,0)</f>
        <v>Opsins</v>
      </c>
      <c r="BB283" s="27" t="b">
        <f t="shared" ref="BB283:BB293" si="1985"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 t="shared" ref="BC283:BC293" si="1986">_xlfn.AGGREGATE(9,6,CH283:CS283)-_xlfn.AGGREGATE(9,6,BV283:CG283)+12</f>
        <v>253</v>
      </c>
      <c r="BD283" s="2" t="s">
        <v>23</v>
      </c>
      <c r="BE283" s="3" t="s">
        <v>1291</v>
      </c>
      <c r="BF283" s="118">
        <v>2.7</v>
      </c>
      <c r="BG283" s="49" t="s">
        <v>1</v>
      </c>
      <c r="BH283" s="49" t="s">
        <v>1377</v>
      </c>
      <c r="BI283" s="1"/>
      <c r="BJ283" s="70" t="s">
        <v>1287</v>
      </c>
      <c r="BK283" s="57" t="s">
        <v>1287</v>
      </c>
      <c r="BL283" s="57" t="s">
        <v>1287</v>
      </c>
      <c r="BM283" s="57" t="s">
        <v>1287</v>
      </c>
      <c r="BN283" s="57" t="s">
        <v>1287</v>
      </c>
      <c r="BO283" s="57" t="s">
        <v>1287</v>
      </c>
      <c r="BP283" s="57" t="s">
        <v>1287</v>
      </c>
      <c r="BQ283" s="57" t="s">
        <v>1287</v>
      </c>
      <c r="BR283" s="57" t="s">
        <v>1287</v>
      </c>
      <c r="BS283" s="57" t="s">
        <v>1287</v>
      </c>
      <c r="BT283" s="57" t="s">
        <v>1287</v>
      </c>
      <c r="BU283" s="57" t="s">
        <v>1287</v>
      </c>
      <c r="BV283" s="70">
        <f t="shared" ref="BV283:BV293" si="1987">E283</f>
        <v>33</v>
      </c>
      <c r="BW283" s="71">
        <f t="shared" ref="BW283:BW293" si="1988">I283</f>
        <v>66</v>
      </c>
      <c r="BX283" s="72">
        <f t="shared" ref="BX283:BX293" si="1989">M283</f>
        <v>70</v>
      </c>
      <c r="BY283" s="71">
        <f t="shared" ref="BY283:BY293" si="1990">Q283</f>
        <v>102</v>
      </c>
      <c r="BZ283" s="72">
        <f t="shared" ref="BZ283:BZ293" si="1991">U283</f>
        <v>106</v>
      </c>
      <c r="CA283" s="71" t="str">
        <f t="shared" ref="CA283:CA293" si="1992">Y283</f>
        <v>-</v>
      </c>
      <c r="CB283" s="72">
        <f t="shared" ref="CB283:CB293" si="1993">AC283</f>
        <v>149</v>
      </c>
      <c r="CC283" s="71">
        <f t="shared" ref="CC283:CC293" si="1994">AG283</f>
        <v>187</v>
      </c>
      <c r="CD283" s="72">
        <f t="shared" ref="CD283:CD293" si="1995">AK283</f>
        <v>199</v>
      </c>
      <c r="CE283" s="71">
        <f t="shared" ref="CE283:CE293" si="1996">AO283</f>
        <v>241</v>
      </c>
      <c r="CF283" s="72">
        <f t="shared" ref="CF283:CF293" si="1997">AS283</f>
        <v>284</v>
      </c>
      <c r="CG283" s="71">
        <f t="shared" ref="CG283:CG293" si="1998">AW283</f>
        <v>310</v>
      </c>
      <c r="CH283" s="70">
        <f t="shared" ref="CH283:CH293" si="1999">G283</f>
        <v>65</v>
      </c>
      <c r="CI283" s="71">
        <f t="shared" ref="CI283:CI293" si="2000">K283</f>
        <v>69</v>
      </c>
      <c r="CJ283" s="72">
        <f t="shared" ref="CJ283:CJ293" si="2001">O283</f>
        <v>100</v>
      </c>
      <c r="CK283" s="72">
        <f t="shared" ref="CK283:CK293" si="2002">S283</f>
        <v>105</v>
      </c>
      <c r="CL283" s="72">
        <f t="shared" ref="CL283:CL293" si="2003">W283</f>
        <v>141</v>
      </c>
      <c r="CM283" s="72" t="str">
        <f t="shared" ref="CM283:CM293" si="2004">AA283</f>
        <v>-</v>
      </c>
      <c r="CN283" s="72">
        <f t="shared" ref="CN283:CN293" si="2005">AE283</f>
        <v>173</v>
      </c>
      <c r="CO283" s="72">
        <f t="shared" ref="CO283:CO293" si="2006">AI283</f>
        <v>189</v>
      </c>
      <c r="CP283" s="72">
        <f t="shared" ref="CP283:CP293" si="2007">AM283</f>
        <v>237</v>
      </c>
      <c r="CQ283" s="72">
        <f t="shared" ref="CQ283:CQ293" si="2008">AQ283</f>
        <v>278</v>
      </c>
      <c r="CR283" s="72">
        <f t="shared" ref="CR283:CR293" si="2009">AU283</f>
        <v>309</v>
      </c>
      <c r="CS283" s="72">
        <f t="shared" ref="CS283:CS293" si="2010">AY283</f>
        <v>322</v>
      </c>
      <c r="CT283" s="23">
        <f t="shared" ref="CT283:CT293" si="2011">M283-K283</f>
        <v>1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30" x14ac:dyDescent="0.2">
      <c r="A284" s="3" t="str">
        <f t="shared" si="1984"/>
        <v>opsd_bovin_5TE5</v>
      </c>
      <c r="B284" s="3" t="s">
        <v>919</v>
      </c>
      <c r="C284" s="3" t="s">
        <v>1400</v>
      </c>
      <c r="D284" s="3" t="str">
        <f>IFERROR(MID(VLOOKUP($B284,Seqs!$A:$B,2,0),E284,1),"")</f>
        <v>Q</v>
      </c>
      <c r="E284" s="3">
        <v>36</v>
      </c>
      <c r="F284" s="3" t="str">
        <f>IFERROR(MID(VLOOKUP($B284,Seqs!$A:$B,2,0),G284,1),"")</f>
        <v>H</v>
      </c>
      <c r="G284" s="3">
        <v>65</v>
      </c>
      <c r="H284" s="3" t="str">
        <f>IFERROR(MID(VLOOKUP($B284,Seqs!$A:$B,2,0),I284,1),"")</f>
        <v>K</v>
      </c>
      <c r="I284" s="23">
        <v>66</v>
      </c>
      <c r="J284" s="3" t="str">
        <f>IFERROR(MID(VLOOKUP($B284,Seqs!$A:$B,2,0),K284,1),"")</f>
        <v>R</v>
      </c>
      <c r="K284" s="23">
        <v>69</v>
      </c>
      <c r="L284" s="3" t="str">
        <f>IFERROR(MID(VLOOKUP($B284,Seqs!$A:$B,2,0),M284,1),"")</f>
        <v>T</v>
      </c>
      <c r="M284" s="3">
        <v>70</v>
      </c>
      <c r="N284" s="3" t="str">
        <f>IFERROR(MID(VLOOKUP($B284,Seqs!$A:$B,2,0),O284,1),"")</f>
        <v>G</v>
      </c>
      <c r="O284" s="3">
        <v>101</v>
      </c>
      <c r="P284" s="3" t="str">
        <f>IFERROR(MID(VLOOKUP($B284,Seqs!$A:$B,2,0),Q284,1),"")</f>
        <v>Y</v>
      </c>
      <c r="Q284" s="3">
        <v>102</v>
      </c>
      <c r="R284" s="3" t="str">
        <f>IFERROR(MID(VLOOKUP($B284,Seqs!$A:$B,2,0),S284,1),"")</f>
        <v>F</v>
      </c>
      <c r="S284" s="3">
        <v>105</v>
      </c>
      <c r="T284" s="3" t="str">
        <f>IFERROR(MID(VLOOKUP($B284,Seqs!$A:$B,2,0),U284,1),"")</f>
        <v>G</v>
      </c>
      <c r="U284" s="3">
        <v>106</v>
      </c>
      <c r="V284" s="3" t="str">
        <f>IFERROR(MID(VLOOKUP($B284,Seqs!$A:$B,2,0),W284,1),"")</f>
        <v>K</v>
      </c>
      <c r="W284" s="3">
        <v>141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G</v>
      </c>
      <c r="AC284" s="3">
        <v>149</v>
      </c>
      <c r="AD284" s="3" t="str">
        <f>IFERROR(MID(VLOOKUP($B284,Seqs!$A:$B,2,0),AE284,1),"")</f>
        <v>V</v>
      </c>
      <c r="AE284" s="3">
        <v>173</v>
      </c>
      <c r="AF284" s="3" t="str">
        <f>IFERROR(MID(VLOOKUP($B284,Seqs!$A:$B,2,0),AG284,1),"")</f>
        <v>C</v>
      </c>
      <c r="AG284" s="3">
        <v>187</v>
      </c>
      <c r="AH284" s="3" t="str">
        <f>IFERROR(MID(VLOOKUP($B284,Seqs!$A:$B,2,0),AI284,1),"")</f>
        <v>I</v>
      </c>
      <c r="AI284" s="3">
        <v>189</v>
      </c>
      <c r="AJ284" s="3" t="str">
        <f>IFERROR(MID(VLOOKUP($B284,Seqs!$A:$B,2,0),AK284,1),"")</f>
        <v>S</v>
      </c>
      <c r="AK284" s="3">
        <v>202</v>
      </c>
      <c r="AL284" s="3" t="str">
        <f>IFERROR(MID(VLOOKUP($B284,Seqs!$A:$B,2,0),AM284,1),"")</f>
        <v>L</v>
      </c>
      <c r="AM284" s="3">
        <v>226</v>
      </c>
      <c r="AN284" s="3" t="str">
        <f>IFERROR(MID(VLOOKUP($B284,Seqs!$A:$B,2,0),AO284,1),"")</f>
        <v>T</v>
      </c>
      <c r="AO284" s="3">
        <v>243</v>
      </c>
      <c r="AP284" s="3" t="str">
        <f>IFERROR(MID(VLOOKUP($B284,Seqs!$A:$B,2,0),AQ284,1),"")</f>
        <v>H</v>
      </c>
      <c r="AQ284" s="3">
        <v>278</v>
      </c>
      <c r="AR284" s="3" t="str">
        <f>IFERROR(MID(VLOOKUP($B284,Seqs!$A:$B,2,0),AS284,1),"")</f>
        <v>P</v>
      </c>
      <c r="AS284" s="3">
        <v>285</v>
      </c>
      <c r="AT284" s="3" t="str">
        <f>IFERROR(MID(VLOOKUP($B284,Seqs!$A:$B,2,0),AU284,1),"")</f>
        <v>M</v>
      </c>
      <c r="AU284" s="3">
        <v>309</v>
      </c>
      <c r="AV284" s="3" t="str">
        <f>IFERROR(MID(VLOOKUP($B284,Seqs!$A:$B,2,0),AW284,1),"")</f>
        <v>N</v>
      </c>
      <c r="AW284" s="3">
        <v>310</v>
      </c>
      <c r="AX284" s="3" t="str">
        <f>IFERROR(MID(VLOOKUP($B284,Seqs!$A:$B,2,0),AY284,1),"")</f>
        <v>C</v>
      </c>
      <c r="AY284" s="3">
        <v>323</v>
      </c>
      <c r="AZ284" s="77" t="str">
        <f>VLOOKUP(B284,Classification!A:D,2,0)</f>
        <v>A</v>
      </c>
      <c r="BA284" s="94" t="str">
        <f>VLOOKUP(B284,Classification!A:D,4,0)</f>
        <v>Opsins</v>
      </c>
      <c r="BB284" s="27" t="b">
        <f t="shared" si="1985"/>
        <v>1</v>
      </c>
      <c r="BC284" s="23">
        <f t="shared" si="1986"/>
        <v>235</v>
      </c>
      <c r="BD284" s="2" t="s">
        <v>23</v>
      </c>
      <c r="BE284" s="3" t="s">
        <v>1374</v>
      </c>
      <c r="BF284" s="118">
        <v>4.01</v>
      </c>
      <c r="BG284" s="49" t="s">
        <v>1377</v>
      </c>
      <c r="BH284" s="49" t="s">
        <v>1377</v>
      </c>
      <c r="BI284" s="1"/>
      <c r="BJ284" s="70" t="s">
        <v>1287</v>
      </c>
      <c r="BK284" s="57" t="s">
        <v>1287</v>
      </c>
      <c r="BL284" s="57" t="s">
        <v>1287</v>
      </c>
      <c r="BM284" s="57" t="s">
        <v>1287</v>
      </c>
      <c r="BN284" s="57" t="s">
        <v>1287</v>
      </c>
      <c r="BO284" s="57" t="s">
        <v>1287</v>
      </c>
      <c r="BP284" s="57" t="s">
        <v>1287</v>
      </c>
      <c r="BQ284" s="57" t="s">
        <v>1287</v>
      </c>
      <c r="BR284" s="57" t="s">
        <v>1287</v>
      </c>
      <c r="BS284" s="57" t="s">
        <v>1287</v>
      </c>
      <c r="BT284" s="57" t="s">
        <v>1287</v>
      </c>
      <c r="BU284" s="57" t="s">
        <v>1287</v>
      </c>
      <c r="BV284" s="70">
        <f t="shared" si="1987"/>
        <v>36</v>
      </c>
      <c r="BW284" s="71">
        <f t="shared" si="1988"/>
        <v>66</v>
      </c>
      <c r="BX284" s="72">
        <f t="shared" si="1989"/>
        <v>70</v>
      </c>
      <c r="BY284" s="71">
        <f t="shared" si="1990"/>
        <v>102</v>
      </c>
      <c r="BZ284" s="72">
        <f t="shared" si="1991"/>
        <v>106</v>
      </c>
      <c r="CA284" s="71" t="str">
        <f t="shared" si="1992"/>
        <v>-</v>
      </c>
      <c r="CB284" s="72">
        <f t="shared" si="1993"/>
        <v>149</v>
      </c>
      <c r="CC284" s="71">
        <f t="shared" si="1994"/>
        <v>187</v>
      </c>
      <c r="CD284" s="72">
        <f t="shared" si="1995"/>
        <v>202</v>
      </c>
      <c r="CE284" s="71">
        <f t="shared" si="1996"/>
        <v>243</v>
      </c>
      <c r="CF284" s="72">
        <f t="shared" si="1997"/>
        <v>285</v>
      </c>
      <c r="CG284" s="71">
        <f t="shared" si="1998"/>
        <v>310</v>
      </c>
      <c r="CH284" s="70">
        <f t="shared" si="1999"/>
        <v>65</v>
      </c>
      <c r="CI284" s="71">
        <f t="shared" si="2000"/>
        <v>69</v>
      </c>
      <c r="CJ284" s="72">
        <f t="shared" si="2001"/>
        <v>101</v>
      </c>
      <c r="CK284" s="72">
        <f t="shared" si="2002"/>
        <v>105</v>
      </c>
      <c r="CL284" s="72">
        <f t="shared" si="2003"/>
        <v>141</v>
      </c>
      <c r="CM284" s="72" t="str">
        <f t="shared" si="2004"/>
        <v>-</v>
      </c>
      <c r="CN284" s="72">
        <f t="shared" si="2005"/>
        <v>173</v>
      </c>
      <c r="CO284" s="72">
        <f t="shared" si="2006"/>
        <v>189</v>
      </c>
      <c r="CP284" s="72">
        <f t="shared" si="2007"/>
        <v>226</v>
      </c>
      <c r="CQ284" s="72">
        <f t="shared" si="2008"/>
        <v>278</v>
      </c>
      <c r="CR284" s="72">
        <f t="shared" si="2009"/>
        <v>309</v>
      </c>
      <c r="CS284" s="72">
        <f t="shared" si="2010"/>
        <v>323</v>
      </c>
      <c r="CT284" s="23">
        <f t="shared" si="2011"/>
        <v>1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30" x14ac:dyDescent="0.2">
      <c r="A285" s="3" t="str">
        <f t="shared" si="1984"/>
        <v>opsd_bovin_5WKT</v>
      </c>
      <c r="B285" s="3" t="s">
        <v>919</v>
      </c>
      <c r="C285" s="3" t="s">
        <v>1450</v>
      </c>
      <c r="D285" s="3" t="str">
        <f>IFERROR(MID(VLOOKUP($B285,Seqs!$A:$B,2,0),E285,1),"")</f>
        <v>E</v>
      </c>
      <c r="E285" s="3">
        <v>33</v>
      </c>
      <c r="F285" s="3" t="str">
        <f>IFERROR(MID(VLOOKUP($B285,Seqs!$A:$B,2,0),G285,1),"")</f>
        <v>Q</v>
      </c>
      <c r="G285" s="3">
        <v>64</v>
      </c>
      <c r="H285" s="3" t="str">
        <f>IFERROR(MID(VLOOKUP($B285,Seqs!$A:$B,2,0),I285,1),"")</f>
        <v>K</v>
      </c>
      <c r="I285" s="23">
        <v>66</v>
      </c>
      <c r="J285" s="3" t="str">
        <f>IFERROR(MID(VLOOKUP($B285,Seqs!$A:$B,2,0),K285,1),"")</f>
        <v>R</v>
      </c>
      <c r="K285" s="23">
        <v>69</v>
      </c>
      <c r="L285" s="3" t="str">
        <f>IFERROR(MID(VLOOKUP($B285,Seqs!$A:$B,2,0),M285,1),"")</f>
        <v>N</v>
      </c>
      <c r="M285" s="3">
        <v>73</v>
      </c>
      <c r="N285" s="3" t="str">
        <f>IFERROR(MID(VLOOKUP($B285,Seqs!$A:$B,2,0),O285,1),"")</f>
        <v>G</v>
      </c>
      <c r="O285" s="3">
        <v>101</v>
      </c>
      <c r="P285" s="3" t="str">
        <f>IFERROR(MID(VLOOKUP($B285,Seqs!$A:$B,2,0),Q285,1),"")</f>
        <v>Y</v>
      </c>
      <c r="Q285" s="3">
        <v>102</v>
      </c>
      <c r="R285" s="3" t="str">
        <f>IFERROR(MID(VLOOKUP($B285,Seqs!$A:$B,2,0),S285,1),"")</f>
        <v>F</v>
      </c>
      <c r="S285" s="3">
        <v>105</v>
      </c>
      <c r="T285" s="3" t="str">
        <f>IFERROR(MID(VLOOKUP($B285,Seqs!$A:$B,2,0),U285,1),"")</f>
        <v>G</v>
      </c>
      <c r="U285" s="3">
        <v>106</v>
      </c>
      <c r="V285" s="3" t="str">
        <f>IFERROR(MID(VLOOKUP($B285,Seqs!$A:$B,2,0),W285,1),"")</f>
        <v>K</v>
      </c>
      <c r="W285" s="3">
        <v>141</v>
      </c>
      <c r="X285" s="3" t="str">
        <f>IFERROR(MID(VLOOKUP($B285,Seqs!$A:$B,2,0),Y285,1),"")</f>
        <v/>
      </c>
      <c r="Y285" s="3" t="s">
        <v>23</v>
      </c>
      <c r="Z285" s="3" t="str">
        <f>IFERROR(MID(VLOOKUP($B285,Seqs!$A:$B,2,0),AA285,1),"")</f>
        <v/>
      </c>
      <c r="AA285" s="3" t="s">
        <v>23</v>
      </c>
      <c r="AB285" s="3" t="str">
        <f>IFERROR(MID(VLOOKUP($B285,Seqs!$A:$B,2,0),AC285,1),"")</f>
        <v>G</v>
      </c>
      <c r="AC285" s="3">
        <v>149</v>
      </c>
      <c r="AD285" s="3" t="str">
        <f>IFERROR(MID(VLOOKUP($B285,Seqs!$A:$B,2,0),AE285,1),"")</f>
        <v>V</v>
      </c>
      <c r="AE285" s="3">
        <v>173</v>
      </c>
      <c r="AF285" s="3" t="str">
        <f>IFERROR(MID(VLOOKUP($B285,Seqs!$A:$B,2,0),AG285,1),"")</f>
        <v>C</v>
      </c>
      <c r="AG285" s="3">
        <v>187</v>
      </c>
      <c r="AH285" s="3" t="str">
        <f>IFERROR(MID(VLOOKUP($B285,Seqs!$A:$B,2,0),AI285,1),"")</f>
        <v>I</v>
      </c>
      <c r="AI285" s="3">
        <v>189</v>
      </c>
      <c r="AJ285" s="3" t="str">
        <f>IFERROR(MID(VLOOKUP($B285,Seqs!$A:$B,2,0),AK285,1),"")</f>
        <v>N</v>
      </c>
      <c r="AK285" s="3">
        <v>199</v>
      </c>
      <c r="AL285" s="3" t="str">
        <f>IFERROR(MID(VLOOKUP($B285,Seqs!$A:$B,2,0),AM285,1),"")</f>
        <v>Q</v>
      </c>
      <c r="AM285" s="3">
        <v>236</v>
      </c>
      <c r="AN285" s="3" t="str">
        <f>IFERROR(MID(VLOOKUP($B285,Seqs!$A:$B,2,0),AO285,1),"")</f>
        <v>S</v>
      </c>
      <c r="AO285" s="3">
        <v>240</v>
      </c>
      <c r="AP285" s="3" t="str">
        <f>IFERROR(MID(VLOOKUP($B285,Seqs!$A:$B,2,0),AQ285,1),"")</f>
        <v>H</v>
      </c>
      <c r="AQ285" s="3">
        <v>278</v>
      </c>
      <c r="AR285" s="3" t="str">
        <f>IFERROR(MID(VLOOKUP($B285,Seqs!$A:$B,2,0),AS285,1),"")</f>
        <v>G</v>
      </c>
      <c r="AS285" s="3">
        <v>284</v>
      </c>
      <c r="AT285" s="3" t="str">
        <f>IFERROR(MID(VLOOKUP($B285,Seqs!$A:$B,2,0),AU285,1),"")</f>
        <v>M</v>
      </c>
      <c r="AU285" s="3">
        <v>309</v>
      </c>
      <c r="AV285" s="3" t="str">
        <f>IFERROR(MID(VLOOKUP($B285,Seqs!$A:$B,2,0),AW285,1),"")</f>
        <v>N</v>
      </c>
      <c r="AW285" s="3">
        <v>310</v>
      </c>
      <c r="AX285" s="3" t="str">
        <f>IFERROR(MID(VLOOKUP($B285,Seqs!$A:$B,2,0),AY285,1),"")</f>
        <v>C</v>
      </c>
      <c r="AY285" s="3">
        <v>322</v>
      </c>
      <c r="AZ285" s="77" t="str">
        <f>VLOOKUP(B285,Classification!A:D,2,0)</f>
        <v>A</v>
      </c>
      <c r="BA285" s="94" t="str">
        <f>VLOOKUP(B285,Classification!A:D,4,0)</f>
        <v>Opsins</v>
      </c>
      <c r="BB285" s="27" t="b">
        <f t="shared" si="1985"/>
        <v>1</v>
      </c>
      <c r="BC285" s="23">
        <f t="shared" si="1986"/>
        <v>250</v>
      </c>
      <c r="BD285" s="2" t="s">
        <v>23</v>
      </c>
      <c r="BE285" s="3" t="s">
        <v>1291</v>
      </c>
      <c r="BF285" s="118">
        <v>3.2</v>
      </c>
      <c r="BG285" s="49" t="s">
        <v>1</v>
      </c>
      <c r="BH285" s="49" t="s">
        <v>1</v>
      </c>
      <c r="BI285" s="1"/>
      <c r="BJ285" s="70" t="s">
        <v>1287</v>
      </c>
      <c r="BK285" s="57" t="s">
        <v>1287</v>
      </c>
      <c r="BL285" s="57" t="s">
        <v>1287</v>
      </c>
      <c r="BM285" s="57" t="s">
        <v>1287</v>
      </c>
      <c r="BN285" s="57" t="s">
        <v>1287</v>
      </c>
      <c r="BO285" s="57" t="s">
        <v>1287</v>
      </c>
      <c r="BP285" s="57" t="s">
        <v>1287</v>
      </c>
      <c r="BQ285" s="57" t="s">
        <v>1287</v>
      </c>
      <c r="BR285" s="57" t="s">
        <v>1287</v>
      </c>
      <c r="BS285" s="57" t="s">
        <v>1287</v>
      </c>
      <c r="BT285" s="57" t="s">
        <v>1287</v>
      </c>
      <c r="BU285" s="57" t="s">
        <v>1287</v>
      </c>
      <c r="BV285" s="70">
        <f t="shared" si="1987"/>
        <v>33</v>
      </c>
      <c r="BW285" s="71">
        <f t="shared" si="1988"/>
        <v>66</v>
      </c>
      <c r="BX285" s="72">
        <f t="shared" si="1989"/>
        <v>73</v>
      </c>
      <c r="BY285" s="71">
        <f t="shared" si="1990"/>
        <v>102</v>
      </c>
      <c r="BZ285" s="72">
        <f t="shared" si="1991"/>
        <v>106</v>
      </c>
      <c r="CA285" s="71" t="str">
        <f t="shared" si="1992"/>
        <v>-</v>
      </c>
      <c r="CB285" s="72">
        <f t="shared" si="1993"/>
        <v>149</v>
      </c>
      <c r="CC285" s="71">
        <f t="shared" si="1994"/>
        <v>187</v>
      </c>
      <c r="CD285" s="72">
        <f t="shared" si="1995"/>
        <v>199</v>
      </c>
      <c r="CE285" s="71">
        <f t="shared" si="1996"/>
        <v>240</v>
      </c>
      <c r="CF285" s="72">
        <f t="shared" si="1997"/>
        <v>284</v>
      </c>
      <c r="CG285" s="71">
        <f t="shared" si="1998"/>
        <v>310</v>
      </c>
      <c r="CH285" s="70">
        <f t="shared" si="1999"/>
        <v>64</v>
      </c>
      <c r="CI285" s="71">
        <f t="shared" si="2000"/>
        <v>69</v>
      </c>
      <c r="CJ285" s="72">
        <f t="shared" si="2001"/>
        <v>101</v>
      </c>
      <c r="CK285" s="72">
        <f t="shared" si="2002"/>
        <v>105</v>
      </c>
      <c r="CL285" s="72">
        <f t="shared" si="2003"/>
        <v>141</v>
      </c>
      <c r="CM285" s="72" t="str">
        <f t="shared" si="2004"/>
        <v>-</v>
      </c>
      <c r="CN285" s="72">
        <f t="shared" si="2005"/>
        <v>173</v>
      </c>
      <c r="CO285" s="72">
        <f t="shared" si="2006"/>
        <v>189</v>
      </c>
      <c r="CP285" s="72">
        <f t="shared" si="2007"/>
        <v>236</v>
      </c>
      <c r="CQ285" s="72">
        <f t="shared" si="2008"/>
        <v>278</v>
      </c>
      <c r="CR285" s="72">
        <f t="shared" si="2009"/>
        <v>309</v>
      </c>
      <c r="CS285" s="72">
        <f t="shared" si="2010"/>
        <v>322</v>
      </c>
      <c r="CT285" s="23">
        <f t="shared" si="2011"/>
        <v>4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30" x14ac:dyDescent="0.2">
      <c r="A286" s="3" t="str">
        <f t="shared" si="1984"/>
        <v>opsd_bovin_6FK6</v>
      </c>
      <c r="B286" s="3" t="s">
        <v>919</v>
      </c>
      <c r="C286" s="3" t="s">
        <v>1481</v>
      </c>
      <c r="D286" s="3" t="str">
        <f>IFERROR(MID(VLOOKUP($B286,Seqs!$A:$B,2,0),E286,1),"")</f>
        <v>E</v>
      </c>
      <c r="E286" s="3">
        <v>33</v>
      </c>
      <c r="F286" s="3" t="str">
        <f>IFERROR(MID(VLOOKUP($B286,Seqs!$A:$B,2,0),G286,1),"")</f>
        <v>Q</v>
      </c>
      <c r="G286" s="3">
        <v>64</v>
      </c>
      <c r="H286" s="3" t="str">
        <f>IFERROR(MID(VLOOKUP($B286,Seqs!$A:$B,2,0),I286,1),"")</f>
        <v>K</v>
      </c>
      <c r="I286" s="23">
        <v>66</v>
      </c>
      <c r="J286" s="3" t="str">
        <f>IFERROR(MID(VLOOKUP($B286,Seqs!$A:$B,2,0),K286,1),"")</f>
        <v>R</v>
      </c>
      <c r="K286" s="23">
        <v>69</v>
      </c>
      <c r="L286" s="3" t="str">
        <f>IFERROR(MID(VLOOKUP($B286,Seqs!$A:$B,2,0),M286,1),"")</f>
        <v>N</v>
      </c>
      <c r="M286" s="3">
        <v>73</v>
      </c>
      <c r="N286" s="3" t="str">
        <f>IFERROR(MID(VLOOKUP($B286,Seqs!$A:$B,2,0),O286,1),"")</f>
        <v>G</v>
      </c>
      <c r="O286" s="3">
        <v>101</v>
      </c>
      <c r="P286" s="3" t="str">
        <f>IFERROR(MID(VLOOKUP($B286,Seqs!$A:$B,2,0),Q286,1),"")</f>
        <v>Y</v>
      </c>
      <c r="Q286" s="3">
        <v>102</v>
      </c>
      <c r="R286" s="3" t="str">
        <f>IFERROR(MID(VLOOKUP($B286,Seqs!$A:$B,2,0),S286,1),"")</f>
        <v>F</v>
      </c>
      <c r="S286" s="3">
        <v>105</v>
      </c>
      <c r="T286" s="3" t="str">
        <f>IFERROR(MID(VLOOKUP($B286,Seqs!$A:$B,2,0),U286,1),"")</f>
        <v>G</v>
      </c>
      <c r="U286" s="3">
        <v>106</v>
      </c>
      <c r="V286" s="3" t="str">
        <f>IFERROR(MID(VLOOKUP($B286,Seqs!$A:$B,2,0),W286,1),"")</f>
        <v>K</v>
      </c>
      <c r="W286" s="3">
        <v>141</v>
      </c>
      <c r="X286" s="3" t="str">
        <f>IFERROR(MID(VLOOKUP($B286,Seqs!$A:$B,2,0),Y286,1),"")</f>
        <v/>
      </c>
      <c r="Y286" s="3" t="s">
        <v>23</v>
      </c>
      <c r="Z286" s="3" t="str">
        <f>IFERROR(MID(VLOOKUP($B286,Seqs!$A:$B,2,0),AA286,1),"")</f>
        <v/>
      </c>
      <c r="AA286" s="3" t="s">
        <v>23</v>
      </c>
      <c r="AB286" s="3" t="str">
        <f>IFERROR(MID(VLOOKUP($B286,Seqs!$A:$B,2,0),AC286,1),"")</f>
        <v>G</v>
      </c>
      <c r="AC286" s="3">
        <v>149</v>
      </c>
      <c r="AD286" s="3" t="str">
        <f>IFERROR(MID(VLOOKUP($B286,Seqs!$A:$B,2,0),AE286,1),"")</f>
        <v>V</v>
      </c>
      <c r="AE286" s="3">
        <v>173</v>
      </c>
      <c r="AF286" s="3" t="str">
        <f>IFERROR(MID(VLOOKUP($B286,Seqs!$A:$B,2,0),AG286,1),"")</f>
        <v>C</v>
      </c>
      <c r="AG286" s="3">
        <v>187</v>
      </c>
      <c r="AH286" s="3" t="str">
        <f>IFERROR(MID(VLOOKUP($B286,Seqs!$A:$B,2,0),AI286,1),"")</f>
        <v>I</v>
      </c>
      <c r="AI286" s="3">
        <v>189</v>
      </c>
      <c r="AJ286" s="3" t="str">
        <f>IFERROR(MID(VLOOKUP($B286,Seqs!$A:$B,2,0),AK286,1),"")</f>
        <v>N</v>
      </c>
      <c r="AK286" s="3">
        <v>199</v>
      </c>
      <c r="AL286" s="3" t="str">
        <f>IFERROR(MID(VLOOKUP($B286,Seqs!$A:$B,2,0),AM286,1),"")</f>
        <v>Q</v>
      </c>
      <c r="AM286" s="3">
        <v>236</v>
      </c>
      <c r="AN286" s="3" t="str">
        <f>IFERROR(MID(VLOOKUP($B286,Seqs!$A:$B,2,0),AO286,1),"")</f>
        <v>S</v>
      </c>
      <c r="AO286" s="3">
        <v>240</v>
      </c>
      <c r="AP286" s="3" t="str">
        <f>IFERROR(MID(VLOOKUP($B286,Seqs!$A:$B,2,0),AQ286,1),"")</f>
        <v>H</v>
      </c>
      <c r="AQ286" s="3">
        <v>278</v>
      </c>
      <c r="AR286" s="3" t="str">
        <f>IFERROR(MID(VLOOKUP($B286,Seqs!$A:$B,2,0),AS286,1),"")</f>
        <v>G</v>
      </c>
      <c r="AS286" s="3">
        <v>284</v>
      </c>
      <c r="AT286" s="3" t="str">
        <f>IFERROR(MID(VLOOKUP($B286,Seqs!$A:$B,2,0),AU286,1),"")</f>
        <v>M</v>
      </c>
      <c r="AU286" s="3">
        <v>309</v>
      </c>
      <c r="AV286" s="3" t="str">
        <f>IFERROR(MID(VLOOKUP($B286,Seqs!$A:$B,2,0),AW286,1),"")</f>
        <v>N</v>
      </c>
      <c r="AW286" s="3">
        <v>310</v>
      </c>
      <c r="AX286" s="3" t="str">
        <f>IFERROR(MID(VLOOKUP($B286,Seqs!$A:$B,2,0),AY286,1),"")</f>
        <v>C</v>
      </c>
      <c r="AY286" s="3">
        <v>322</v>
      </c>
      <c r="AZ286" s="77" t="str">
        <f>VLOOKUP(B286,Classification!A:D,2,0)</f>
        <v>A</v>
      </c>
      <c r="BA286" s="94" t="str">
        <f>VLOOKUP(B286,Classification!A:D,4,0)</f>
        <v>Opsins</v>
      </c>
      <c r="BB286" s="27" t="b">
        <f t="shared" si="1985"/>
        <v>1</v>
      </c>
      <c r="BC286" s="23">
        <f t="shared" si="1986"/>
        <v>250</v>
      </c>
      <c r="BD286" s="2" t="s">
        <v>23</v>
      </c>
      <c r="BE286" s="3" t="s">
        <v>1291</v>
      </c>
      <c r="BF286" s="118">
        <v>2.36</v>
      </c>
      <c r="BG286" s="49" t="s">
        <v>1</v>
      </c>
      <c r="BH286" s="49" t="s">
        <v>1</v>
      </c>
      <c r="BI286" s="1"/>
      <c r="BJ286" s="70" t="s">
        <v>1287</v>
      </c>
      <c r="BK286" s="57" t="s">
        <v>1287</v>
      </c>
      <c r="BL286" s="57" t="s">
        <v>1287</v>
      </c>
      <c r="BM286" s="57" t="s">
        <v>1287</v>
      </c>
      <c r="BN286" s="57" t="s">
        <v>1287</v>
      </c>
      <c r="BO286" s="57" t="s">
        <v>1287</v>
      </c>
      <c r="BP286" s="57" t="s">
        <v>1287</v>
      </c>
      <c r="BQ286" s="57" t="s">
        <v>1287</v>
      </c>
      <c r="BR286" s="57" t="s">
        <v>1287</v>
      </c>
      <c r="BS286" s="57" t="s">
        <v>1287</v>
      </c>
      <c r="BT286" s="57" t="s">
        <v>1287</v>
      </c>
      <c r="BU286" s="57" t="s">
        <v>1287</v>
      </c>
      <c r="BV286" s="70">
        <f t="shared" si="1987"/>
        <v>33</v>
      </c>
      <c r="BW286" s="71">
        <f t="shared" si="1988"/>
        <v>66</v>
      </c>
      <c r="BX286" s="72">
        <f t="shared" si="1989"/>
        <v>73</v>
      </c>
      <c r="BY286" s="71">
        <f t="shared" si="1990"/>
        <v>102</v>
      </c>
      <c r="BZ286" s="72">
        <f t="shared" si="1991"/>
        <v>106</v>
      </c>
      <c r="CA286" s="71" t="str">
        <f t="shared" si="1992"/>
        <v>-</v>
      </c>
      <c r="CB286" s="72">
        <f t="shared" si="1993"/>
        <v>149</v>
      </c>
      <c r="CC286" s="71">
        <f t="shared" si="1994"/>
        <v>187</v>
      </c>
      <c r="CD286" s="72">
        <f t="shared" si="1995"/>
        <v>199</v>
      </c>
      <c r="CE286" s="71">
        <f t="shared" si="1996"/>
        <v>240</v>
      </c>
      <c r="CF286" s="72">
        <f t="shared" si="1997"/>
        <v>284</v>
      </c>
      <c r="CG286" s="71">
        <f t="shared" si="1998"/>
        <v>310</v>
      </c>
      <c r="CH286" s="70">
        <f t="shared" si="1999"/>
        <v>64</v>
      </c>
      <c r="CI286" s="71">
        <f t="shared" si="2000"/>
        <v>69</v>
      </c>
      <c r="CJ286" s="72">
        <f t="shared" si="2001"/>
        <v>101</v>
      </c>
      <c r="CK286" s="72">
        <f t="shared" si="2002"/>
        <v>105</v>
      </c>
      <c r="CL286" s="72">
        <f t="shared" si="2003"/>
        <v>141</v>
      </c>
      <c r="CM286" s="72" t="str">
        <f t="shared" si="2004"/>
        <v>-</v>
      </c>
      <c r="CN286" s="72">
        <f t="shared" si="2005"/>
        <v>173</v>
      </c>
      <c r="CO286" s="72">
        <f t="shared" si="2006"/>
        <v>189</v>
      </c>
      <c r="CP286" s="72">
        <f t="shared" si="2007"/>
        <v>236</v>
      </c>
      <c r="CQ286" s="72">
        <f t="shared" si="2008"/>
        <v>278</v>
      </c>
      <c r="CR286" s="72">
        <f t="shared" si="2009"/>
        <v>309</v>
      </c>
      <c r="CS286" s="72">
        <f t="shared" si="2010"/>
        <v>322</v>
      </c>
      <c r="CT286" s="23">
        <f t="shared" si="2011"/>
        <v>4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30" x14ac:dyDescent="0.2">
      <c r="A287" s="3" t="str">
        <f t="shared" si="1984"/>
        <v>opsd_bovin_6FK7</v>
      </c>
      <c r="B287" s="3" t="s">
        <v>919</v>
      </c>
      <c r="C287" s="3" t="s">
        <v>1482</v>
      </c>
      <c r="D287" s="3" t="str">
        <f>IFERROR(MID(VLOOKUP($B287,Seqs!$A:$B,2,0),E287,1),"")</f>
        <v>E</v>
      </c>
      <c r="E287" s="3">
        <v>33</v>
      </c>
      <c r="F287" s="3" t="str">
        <f>IFERROR(MID(VLOOKUP($B287,Seqs!$A:$B,2,0),G287,1),"")</f>
        <v>Q</v>
      </c>
      <c r="G287" s="3">
        <v>64</v>
      </c>
      <c r="H287" s="3" t="str">
        <f>IFERROR(MID(VLOOKUP($B287,Seqs!$A:$B,2,0),I287,1),"")</f>
        <v>K</v>
      </c>
      <c r="I287" s="23">
        <v>66</v>
      </c>
      <c r="J287" s="3" t="str">
        <f>IFERROR(MID(VLOOKUP($B287,Seqs!$A:$B,2,0),K287,1),"")</f>
        <v>R</v>
      </c>
      <c r="K287" s="23">
        <v>69</v>
      </c>
      <c r="L287" s="3" t="str">
        <f>IFERROR(MID(VLOOKUP($B287,Seqs!$A:$B,2,0),M287,1),"")</f>
        <v>N</v>
      </c>
      <c r="M287" s="3">
        <v>73</v>
      </c>
      <c r="N287" s="3" t="str">
        <f>IFERROR(MID(VLOOKUP($B287,Seqs!$A:$B,2,0),O287,1),"")</f>
        <v>G</v>
      </c>
      <c r="O287" s="3">
        <v>101</v>
      </c>
      <c r="P287" s="3" t="str">
        <f>IFERROR(MID(VLOOKUP($B287,Seqs!$A:$B,2,0),Q287,1),"")</f>
        <v>Y</v>
      </c>
      <c r="Q287" s="3">
        <v>102</v>
      </c>
      <c r="R287" s="3" t="str">
        <f>IFERROR(MID(VLOOKUP($B287,Seqs!$A:$B,2,0),S287,1),"")</f>
        <v>F</v>
      </c>
      <c r="S287" s="3">
        <v>105</v>
      </c>
      <c r="T287" s="3" t="str">
        <f>IFERROR(MID(VLOOKUP($B287,Seqs!$A:$B,2,0),U287,1),"")</f>
        <v>G</v>
      </c>
      <c r="U287" s="3">
        <v>106</v>
      </c>
      <c r="V287" s="3" t="str">
        <f>IFERROR(MID(VLOOKUP($B287,Seqs!$A:$B,2,0),W287,1),"")</f>
        <v>K</v>
      </c>
      <c r="W287" s="3">
        <v>141</v>
      </c>
      <c r="X287" s="3" t="str">
        <f>IFERROR(MID(VLOOKUP($B287,Seqs!$A:$B,2,0),Y287,1),"")</f>
        <v/>
      </c>
      <c r="Y287" s="3" t="s">
        <v>23</v>
      </c>
      <c r="Z287" s="3" t="str">
        <f>IFERROR(MID(VLOOKUP($B287,Seqs!$A:$B,2,0),AA287,1),"")</f>
        <v/>
      </c>
      <c r="AA287" s="3" t="s">
        <v>23</v>
      </c>
      <c r="AB287" s="3" t="str">
        <f>IFERROR(MID(VLOOKUP($B287,Seqs!$A:$B,2,0),AC287,1),"")</f>
        <v>G</v>
      </c>
      <c r="AC287" s="3">
        <v>149</v>
      </c>
      <c r="AD287" s="3" t="str">
        <f>IFERROR(MID(VLOOKUP($B287,Seqs!$A:$B,2,0),AE287,1),"")</f>
        <v>V</v>
      </c>
      <c r="AE287" s="3">
        <v>173</v>
      </c>
      <c r="AF287" s="3" t="str">
        <f>IFERROR(MID(VLOOKUP($B287,Seqs!$A:$B,2,0),AG287,1),"")</f>
        <v>C</v>
      </c>
      <c r="AG287" s="3">
        <v>187</v>
      </c>
      <c r="AH287" s="3" t="str">
        <f>IFERROR(MID(VLOOKUP($B287,Seqs!$A:$B,2,0),AI287,1),"")</f>
        <v>I</v>
      </c>
      <c r="AI287" s="3">
        <v>189</v>
      </c>
      <c r="AJ287" s="3" t="str">
        <f>IFERROR(MID(VLOOKUP($B287,Seqs!$A:$B,2,0),AK287,1),"")</f>
        <v>N</v>
      </c>
      <c r="AK287" s="3">
        <v>199</v>
      </c>
      <c r="AL287" s="3" t="str">
        <f>IFERROR(MID(VLOOKUP($B287,Seqs!$A:$B,2,0),AM287,1),"")</f>
        <v>Q</v>
      </c>
      <c r="AM287" s="3">
        <v>236</v>
      </c>
      <c r="AN287" s="3" t="str">
        <f>IFERROR(MID(VLOOKUP($B287,Seqs!$A:$B,2,0),AO287,1),"")</f>
        <v>S</v>
      </c>
      <c r="AO287" s="3">
        <v>240</v>
      </c>
      <c r="AP287" s="3" t="str">
        <f>IFERROR(MID(VLOOKUP($B287,Seqs!$A:$B,2,0),AQ287,1),"")</f>
        <v>H</v>
      </c>
      <c r="AQ287" s="3">
        <v>278</v>
      </c>
      <c r="AR287" s="3" t="str">
        <f>IFERROR(MID(VLOOKUP($B287,Seqs!$A:$B,2,0),AS287,1),"")</f>
        <v>T</v>
      </c>
      <c r="AS287" s="3">
        <v>289</v>
      </c>
      <c r="AT287" s="3" t="str">
        <f>IFERROR(MID(VLOOKUP($B287,Seqs!$A:$B,2,0),AU287,1),"")</f>
        <v>M</v>
      </c>
      <c r="AU287" s="3">
        <v>309</v>
      </c>
      <c r="AV287" s="3" t="str">
        <f>IFERROR(MID(VLOOKUP($B287,Seqs!$A:$B,2,0),AW287,1),"")</f>
        <v>N</v>
      </c>
      <c r="AW287" s="3">
        <v>310</v>
      </c>
      <c r="AX287" s="3" t="str">
        <f>IFERROR(MID(VLOOKUP($B287,Seqs!$A:$B,2,0),AY287,1),"")</f>
        <v>C</v>
      </c>
      <c r="AY287" s="3">
        <v>322</v>
      </c>
      <c r="AZ287" s="77" t="str">
        <f>VLOOKUP(B287,Classification!A:D,2,0)</f>
        <v>A</v>
      </c>
      <c r="BA287" s="94" t="str">
        <f>VLOOKUP(B287,Classification!A:D,4,0)</f>
        <v>Opsins</v>
      </c>
      <c r="BB287" s="27" t="b">
        <f t="shared" si="1985"/>
        <v>1</v>
      </c>
      <c r="BC287" s="23">
        <f t="shared" si="1986"/>
        <v>245</v>
      </c>
      <c r="BD287" s="2" t="s">
        <v>23</v>
      </c>
      <c r="BE287" s="3" t="s">
        <v>1291</v>
      </c>
      <c r="BF287" s="118">
        <v>2.62</v>
      </c>
      <c r="BG287" s="49" t="s">
        <v>1</v>
      </c>
      <c r="BH287" s="49" t="s">
        <v>1</v>
      </c>
      <c r="BI287" s="1"/>
      <c r="BJ287" s="70" t="s">
        <v>1287</v>
      </c>
      <c r="BK287" s="57" t="s">
        <v>1287</v>
      </c>
      <c r="BL287" s="57" t="s">
        <v>1287</v>
      </c>
      <c r="BM287" s="57" t="s">
        <v>1287</v>
      </c>
      <c r="BN287" s="57" t="s">
        <v>1287</v>
      </c>
      <c r="BO287" s="57" t="s">
        <v>1287</v>
      </c>
      <c r="BP287" s="57" t="s">
        <v>1287</v>
      </c>
      <c r="BQ287" s="57" t="s">
        <v>1287</v>
      </c>
      <c r="BR287" s="57" t="s">
        <v>1287</v>
      </c>
      <c r="BS287" s="57" t="s">
        <v>1287</v>
      </c>
      <c r="BT287" s="57" t="s">
        <v>1287</v>
      </c>
      <c r="BU287" s="57" t="s">
        <v>1287</v>
      </c>
      <c r="BV287" s="70">
        <f t="shared" si="1987"/>
        <v>33</v>
      </c>
      <c r="BW287" s="71">
        <f t="shared" si="1988"/>
        <v>66</v>
      </c>
      <c r="BX287" s="72">
        <f t="shared" si="1989"/>
        <v>73</v>
      </c>
      <c r="BY287" s="71">
        <f t="shared" si="1990"/>
        <v>102</v>
      </c>
      <c r="BZ287" s="72">
        <f t="shared" si="1991"/>
        <v>106</v>
      </c>
      <c r="CA287" s="71" t="str">
        <f t="shared" si="1992"/>
        <v>-</v>
      </c>
      <c r="CB287" s="72">
        <f t="shared" si="1993"/>
        <v>149</v>
      </c>
      <c r="CC287" s="71">
        <f t="shared" si="1994"/>
        <v>187</v>
      </c>
      <c r="CD287" s="72">
        <f t="shared" si="1995"/>
        <v>199</v>
      </c>
      <c r="CE287" s="71">
        <f t="shared" si="1996"/>
        <v>240</v>
      </c>
      <c r="CF287" s="72">
        <f t="shared" si="1997"/>
        <v>289</v>
      </c>
      <c r="CG287" s="71">
        <f t="shared" si="1998"/>
        <v>310</v>
      </c>
      <c r="CH287" s="70">
        <f t="shared" si="1999"/>
        <v>64</v>
      </c>
      <c r="CI287" s="71">
        <f t="shared" si="2000"/>
        <v>69</v>
      </c>
      <c r="CJ287" s="72">
        <f t="shared" si="2001"/>
        <v>101</v>
      </c>
      <c r="CK287" s="72">
        <f t="shared" si="2002"/>
        <v>105</v>
      </c>
      <c r="CL287" s="72">
        <f t="shared" si="2003"/>
        <v>141</v>
      </c>
      <c r="CM287" s="72" t="str">
        <f t="shared" si="2004"/>
        <v>-</v>
      </c>
      <c r="CN287" s="72">
        <f t="shared" si="2005"/>
        <v>173</v>
      </c>
      <c r="CO287" s="72">
        <f t="shared" si="2006"/>
        <v>189</v>
      </c>
      <c r="CP287" s="72">
        <f t="shared" si="2007"/>
        <v>236</v>
      </c>
      <c r="CQ287" s="72">
        <f t="shared" si="2008"/>
        <v>278</v>
      </c>
      <c r="CR287" s="72">
        <f t="shared" si="2009"/>
        <v>309</v>
      </c>
      <c r="CS287" s="72">
        <f t="shared" si="2010"/>
        <v>322</v>
      </c>
      <c r="CT287" s="23">
        <f t="shared" si="2011"/>
        <v>4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30" x14ac:dyDescent="0.2">
      <c r="A288" s="3" t="str">
        <f t="shared" si="1984"/>
        <v>opsd_bovin_6FK8</v>
      </c>
      <c r="B288" s="3" t="s">
        <v>919</v>
      </c>
      <c r="C288" s="3" t="s">
        <v>1483</v>
      </c>
      <c r="D288" s="3" t="str">
        <f>IFERROR(MID(VLOOKUP($B288,Seqs!$A:$B,2,0),E288,1),"")</f>
        <v>E</v>
      </c>
      <c r="E288" s="3">
        <v>33</v>
      </c>
      <c r="F288" s="3" t="str">
        <f>IFERROR(MID(VLOOKUP($B288,Seqs!$A:$B,2,0),G288,1),"")</f>
        <v>Q</v>
      </c>
      <c r="G288" s="3">
        <v>64</v>
      </c>
      <c r="H288" s="3" t="str">
        <f>IFERROR(MID(VLOOKUP($B288,Seqs!$A:$B,2,0),I288,1),"")</f>
        <v>K</v>
      </c>
      <c r="I288" s="23">
        <v>66</v>
      </c>
      <c r="J288" s="3" t="str">
        <f>IFERROR(MID(VLOOKUP($B288,Seqs!$A:$B,2,0),K288,1),"")</f>
        <v>R</v>
      </c>
      <c r="K288" s="23">
        <v>69</v>
      </c>
      <c r="L288" s="3" t="str">
        <f>IFERROR(MID(VLOOKUP($B288,Seqs!$A:$B,2,0),M288,1),"")</f>
        <v>N</v>
      </c>
      <c r="M288" s="3">
        <v>73</v>
      </c>
      <c r="N288" s="3" t="str">
        <f>IFERROR(MID(VLOOKUP($B288,Seqs!$A:$B,2,0),O288,1),"")</f>
        <v>G</v>
      </c>
      <c r="O288" s="3">
        <v>101</v>
      </c>
      <c r="P288" s="3" t="str">
        <f>IFERROR(MID(VLOOKUP($B288,Seqs!$A:$B,2,0),Q288,1),"")</f>
        <v>Y</v>
      </c>
      <c r="Q288" s="3">
        <v>102</v>
      </c>
      <c r="R288" s="3" t="str">
        <f>IFERROR(MID(VLOOKUP($B288,Seqs!$A:$B,2,0),S288,1),"")</f>
        <v>F</v>
      </c>
      <c r="S288" s="3">
        <v>105</v>
      </c>
      <c r="T288" s="3" t="str">
        <f>IFERROR(MID(VLOOKUP($B288,Seqs!$A:$B,2,0),U288,1),"")</f>
        <v>G</v>
      </c>
      <c r="U288" s="3">
        <v>106</v>
      </c>
      <c r="V288" s="3" t="str">
        <f>IFERROR(MID(VLOOKUP($B288,Seqs!$A:$B,2,0),W288,1),"")</f>
        <v>K</v>
      </c>
      <c r="W288" s="3">
        <v>141</v>
      </c>
      <c r="X288" s="3" t="str">
        <f>IFERROR(MID(VLOOKUP($B288,Seqs!$A:$B,2,0),Y288,1),"")</f>
        <v/>
      </c>
      <c r="Y288" s="3" t="s">
        <v>23</v>
      </c>
      <c r="Z288" s="3" t="str">
        <f>IFERROR(MID(VLOOKUP($B288,Seqs!$A:$B,2,0),AA288,1),"")</f>
        <v/>
      </c>
      <c r="AA288" s="3" t="s">
        <v>23</v>
      </c>
      <c r="AB288" s="3" t="str">
        <f>IFERROR(MID(VLOOKUP($B288,Seqs!$A:$B,2,0),AC288,1),"")</f>
        <v>G</v>
      </c>
      <c r="AC288" s="3">
        <v>149</v>
      </c>
      <c r="AD288" s="3" t="str">
        <f>IFERROR(MID(VLOOKUP($B288,Seqs!$A:$B,2,0),AE288,1),"")</f>
        <v>V</v>
      </c>
      <c r="AE288" s="3">
        <v>173</v>
      </c>
      <c r="AF288" s="3" t="str">
        <f>IFERROR(MID(VLOOKUP($B288,Seqs!$A:$B,2,0),AG288,1),"")</f>
        <v>C</v>
      </c>
      <c r="AG288" s="3">
        <v>187</v>
      </c>
      <c r="AH288" s="3" t="str">
        <f>IFERROR(MID(VLOOKUP($B288,Seqs!$A:$B,2,0),AI288,1),"")</f>
        <v>I</v>
      </c>
      <c r="AI288" s="3">
        <v>189</v>
      </c>
      <c r="AJ288" s="3" t="str">
        <f>IFERROR(MID(VLOOKUP($B288,Seqs!$A:$B,2,0),AK288,1),"")</f>
        <v>N</v>
      </c>
      <c r="AK288" s="3">
        <v>199</v>
      </c>
      <c r="AL288" s="3" t="str">
        <f>IFERROR(MID(VLOOKUP($B288,Seqs!$A:$B,2,0),AM288,1),"")</f>
        <v>Q</v>
      </c>
      <c r="AM288" s="3">
        <v>236</v>
      </c>
      <c r="AN288" s="3" t="str">
        <f>IFERROR(MID(VLOOKUP($B288,Seqs!$A:$B,2,0),AO288,1),"")</f>
        <v>S</v>
      </c>
      <c r="AO288" s="3">
        <v>240</v>
      </c>
      <c r="AP288" s="3" t="str">
        <f>IFERROR(MID(VLOOKUP($B288,Seqs!$A:$B,2,0),AQ288,1),"")</f>
        <v>H</v>
      </c>
      <c r="AQ288" s="3">
        <v>278</v>
      </c>
      <c r="AR288" s="3" t="str">
        <f>IFERROR(MID(VLOOKUP($B288,Seqs!$A:$B,2,0),AS288,1),"")</f>
        <v>T</v>
      </c>
      <c r="AS288" s="3">
        <v>289</v>
      </c>
      <c r="AT288" s="3" t="str">
        <f>IFERROR(MID(VLOOKUP($B288,Seqs!$A:$B,2,0),AU288,1),"")</f>
        <v>M</v>
      </c>
      <c r="AU288" s="3">
        <v>309</v>
      </c>
      <c r="AV288" s="3" t="str">
        <f>IFERROR(MID(VLOOKUP($B288,Seqs!$A:$B,2,0),AW288,1),"")</f>
        <v>N</v>
      </c>
      <c r="AW288" s="3">
        <v>310</v>
      </c>
      <c r="AX288" s="3" t="str">
        <f>IFERROR(MID(VLOOKUP($B288,Seqs!$A:$B,2,0),AY288,1),"")</f>
        <v>C</v>
      </c>
      <c r="AY288" s="3">
        <v>322</v>
      </c>
      <c r="AZ288" s="77" t="str">
        <f>VLOOKUP(B288,Classification!A:D,2,0)</f>
        <v>A</v>
      </c>
      <c r="BA288" s="94" t="str">
        <f>VLOOKUP(B288,Classification!A:D,4,0)</f>
        <v>Opsins</v>
      </c>
      <c r="BB288" s="27" t="b">
        <f t="shared" si="1985"/>
        <v>1</v>
      </c>
      <c r="BC288" s="23">
        <f t="shared" si="1986"/>
        <v>245</v>
      </c>
      <c r="BD288" s="2" t="s">
        <v>23</v>
      </c>
      <c r="BE288" s="3" t="s">
        <v>1291</v>
      </c>
      <c r="BF288" s="118">
        <v>2.87</v>
      </c>
      <c r="BG288" s="49" t="s">
        <v>1</v>
      </c>
      <c r="BH288" s="49" t="s">
        <v>1</v>
      </c>
      <c r="BI288" s="1"/>
      <c r="BJ288" s="70" t="s">
        <v>1287</v>
      </c>
      <c r="BK288" s="57" t="s">
        <v>1287</v>
      </c>
      <c r="BL288" s="57" t="s">
        <v>1287</v>
      </c>
      <c r="BM288" s="57" t="s">
        <v>1287</v>
      </c>
      <c r="BN288" s="57" t="s">
        <v>1287</v>
      </c>
      <c r="BO288" s="57" t="s">
        <v>1287</v>
      </c>
      <c r="BP288" s="57" t="s">
        <v>1287</v>
      </c>
      <c r="BQ288" s="57" t="s">
        <v>1287</v>
      </c>
      <c r="BR288" s="57" t="s">
        <v>1287</v>
      </c>
      <c r="BS288" s="57" t="s">
        <v>1287</v>
      </c>
      <c r="BT288" s="57" t="s">
        <v>1287</v>
      </c>
      <c r="BU288" s="57" t="s">
        <v>1287</v>
      </c>
      <c r="BV288" s="70">
        <f t="shared" si="1987"/>
        <v>33</v>
      </c>
      <c r="BW288" s="71">
        <f t="shared" si="1988"/>
        <v>66</v>
      </c>
      <c r="BX288" s="72">
        <f t="shared" si="1989"/>
        <v>73</v>
      </c>
      <c r="BY288" s="71">
        <f t="shared" si="1990"/>
        <v>102</v>
      </c>
      <c r="BZ288" s="72">
        <f t="shared" si="1991"/>
        <v>106</v>
      </c>
      <c r="CA288" s="71" t="str">
        <f t="shared" si="1992"/>
        <v>-</v>
      </c>
      <c r="CB288" s="72">
        <f t="shared" si="1993"/>
        <v>149</v>
      </c>
      <c r="CC288" s="71">
        <f t="shared" si="1994"/>
        <v>187</v>
      </c>
      <c r="CD288" s="72">
        <f t="shared" si="1995"/>
        <v>199</v>
      </c>
      <c r="CE288" s="71">
        <f t="shared" si="1996"/>
        <v>240</v>
      </c>
      <c r="CF288" s="72">
        <f t="shared" si="1997"/>
        <v>289</v>
      </c>
      <c r="CG288" s="71">
        <f t="shared" si="1998"/>
        <v>310</v>
      </c>
      <c r="CH288" s="70">
        <f t="shared" si="1999"/>
        <v>64</v>
      </c>
      <c r="CI288" s="71">
        <f t="shared" si="2000"/>
        <v>69</v>
      </c>
      <c r="CJ288" s="72">
        <f t="shared" si="2001"/>
        <v>101</v>
      </c>
      <c r="CK288" s="72">
        <f t="shared" si="2002"/>
        <v>105</v>
      </c>
      <c r="CL288" s="72">
        <f t="shared" si="2003"/>
        <v>141</v>
      </c>
      <c r="CM288" s="72" t="str">
        <f t="shared" si="2004"/>
        <v>-</v>
      </c>
      <c r="CN288" s="72">
        <f t="shared" si="2005"/>
        <v>173</v>
      </c>
      <c r="CO288" s="72">
        <f t="shared" si="2006"/>
        <v>189</v>
      </c>
      <c r="CP288" s="72">
        <f t="shared" si="2007"/>
        <v>236</v>
      </c>
      <c r="CQ288" s="72">
        <f t="shared" si="2008"/>
        <v>278</v>
      </c>
      <c r="CR288" s="72">
        <f t="shared" si="2009"/>
        <v>309</v>
      </c>
      <c r="CS288" s="72">
        <f t="shared" si="2010"/>
        <v>322</v>
      </c>
      <c r="CT288" s="23">
        <f t="shared" si="2011"/>
        <v>4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29" x14ac:dyDescent="0.2">
      <c r="A289" s="3" t="str">
        <f t="shared" si="1984"/>
        <v>opsd_bovin_6FK9</v>
      </c>
      <c r="B289" s="3" t="s">
        <v>919</v>
      </c>
      <c r="C289" s="3" t="s">
        <v>1484</v>
      </c>
      <c r="D289" s="3" t="str">
        <f>IFERROR(MID(VLOOKUP($B289,Seqs!$A:$B,2,0),E289,1),"")</f>
        <v>E</v>
      </c>
      <c r="E289" s="3">
        <v>33</v>
      </c>
      <c r="F289" s="3" t="str">
        <f>IFERROR(MID(VLOOKUP($B289,Seqs!$A:$B,2,0),G289,1),"")</f>
        <v>Q</v>
      </c>
      <c r="G289" s="3">
        <v>64</v>
      </c>
      <c r="H289" s="3" t="str">
        <f>IFERROR(MID(VLOOKUP($B289,Seqs!$A:$B,2,0),I289,1),"")</f>
        <v>K</v>
      </c>
      <c r="I289" s="23">
        <v>66</v>
      </c>
      <c r="J289" s="3" t="str">
        <f>IFERROR(MID(VLOOKUP($B289,Seqs!$A:$B,2,0),K289,1),"")</f>
        <v>R</v>
      </c>
      <c r="K289" s="23">
        <v>69</v>
      </c>
      <c r="L289" s="3" t="str">
        <f>IFERROR(MID(VLOOKUP($B289,Seqs!$A:$B,2,0),M289,1),"")</f>
        <v>N</v>
      </c>
      <c r="M289" s="3">
        <v>73</v>
      </c>
      <c r="N289" s="3" t="str">
        <f>IFERROR(MID(VLOOKUP($B289,Seqs!$A:$B,2,0),O289,1),"")</f>
        <v>G</v>
      </c>
      <c r="O289" s="3">
        <v>101</v>
      </c>
      <c r="P289" s="3" t="str">
        <f>IFERROR(MID(VLOOKUP($B289,Seqs!$A:$B,2,0),Q289,1),"")</f>
        <v>Y</v>
      </c>
      <c r="Q289" s="3">
        <v>102</v>
      </c>
      <c r="R289" s="3" t="str">
        <f>IFERROR(MID(VLOOKUP($B289,Seqs!$A:$B,2,0),S289,1),"")</f>
        <v>F</v>
      </c>
      <c r="S289" s="3">
        <v>105</v>
      </c>
      <c r="T289" s="3" t="str">
        <f>IFERROR(MID(VLOOKUP($B289,Seqs!$A:$B,2,0),U289,1),"")</f>
        <v>G</v>
      </c>
      <c r="U289" s="3">
        <v>106</v>
      </c>
      <c r="V289" s="3" t="str">
        <f>IFERROR(MID(VLOOKUP($B289,Seqs!$A:$B,2,0),W289,1),"")</f>
        <v>K</v>
      </c>
      <c r="W289" s="3">
        <v>141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G</v>
      </c>
      <c r="AC289" s="3">
        <v>149</v>
      </c>
      <c r="AD289" s="3" t="str">
        <f>IFERROR(MID(VLOOKUP($B289,Seqs!$A:$B,2,0),AE289,1),"")</f>
        <v>V</v>
      </c>
      <c r="AE289" s="3">
        <v>173</v>
      </c>
      <c r="AF289" s="3" t="str">
        <f>IFERROR(MID(VLOOKUP($B289,Seqs!$A:$B,2,0),AG289,1),"")</f>
        <v>C</v>
      </c>
      <c r="AG289" s="3">
        <v>187</v>
      </c>
      <c r="AH289" s="3" t="str">
        <f>IFERROR(MID(VLOOKUP($B289,Seqs!$A:$B,2,0),AI289,1),"")</f>
        <v>I</v>
      </c>
      <c r="AI289" s="3">
        <v>189</v>
      </c>
      <c r="AJ289" s="3" t="str">
        <f>IFERROR(MID(VLOOKUP($B289,Seqs!$A:$B,2,0),AK289,1),"")</f>
        <v>N</v>
      </c>
      <c r="AK289" s="3">
        <v>199</v>
      </c>
      <c r="AL289" s="3" t="str">
        <f>IFERROR(MID(VLOOKUP($B289,Seqs!$A:$B,2,0),AM289,1),"")</f>
        <v>Q</v>
      </c>
      <c r="AM289" s="3">
        <v>236</v>
      </c>
      <c r="AN289" s="3" t="str">
        <f>IFERROR(MID(VLOOKUP($B289,Seqs!$A:$B,2,0),AO289,1),"")</f>
        <v>S</v>
      </c>
      <c r="AO289" s="3">
        <v>240</v>
      </c>
      <c r="AP289" s="3" t="str">
        <f>IFERROR(MID(VLOOKUP($B289,Seqs!$A:$B,2,0),AQ289,1),"")</f>
        <v>H</v>
      </c>
      <c r="AQ289" s="3">
        <v>278</v>
      </c>
      <c r="AR289" s="3" t="str">
        <f>IFERROR(MID(VLOOKUP($B289,Seqs!$A:$B,2,0),AS289,1),"")</f>
        <v>G</v>
      </c>
      <c r="AS289" s="3">
        <v>284</v>
      </c>
      <c r="AT289" s="3" t="str">
        <f>IFERROR(MID(VLOOKUP($B289,Seqs!$A:$B,2,0),AU289,1),"")</f>
        <v>M</v>
      </c>
      <c r="AU289" s="3">
        <v>309</v>
      </c>
      <c r="AV289" s="3" t="str">
        <f>IFERROR(MID(VLOOKUP($B289,Seqs!$A:$B,2,0),AW289,1),"")</f>
        <v>N</v>
      </c>
      <c r="AW289" s="3">
        <v>310</v>
      </c>
      <c r="AX289" s="3" t="str">
        <f>IFERROR(MID(VLOOKUP($B289,Seqs!$A:$B,2,0),AY289,1),"")</f>
        <v>C</v>
      </c>
      <c r="AY289" s="3">
        <v>322</v>
      </c>
      <c r="AZ289" s="77" t="str">
        <f>VLOOKUP(B289,Classification!A:D,2,0)</f>
        <v>A</v>
      </c>
      <c r="BA289" s="94" t="str">
        <f>VLOOKUP(B289,Classification!A:D,4,0)</f>
        <v>Opsins</v>
      </c>
      <c r="BB289" s="27" t="b">
        <f t="shared" si="1985"/>
        <v>1</v>
      </c>
      <c r="BC289" s="23">
        <f t="shared" si="1986"/>
        <v>250</v>
      </c>
      <c r="BD289" s="2" t="s">
        <v>23</v>
      </c>
      <c r="BE289" s="3" t="s">
        <v>1291</v>
      </c>
      <c r="BF289" s="118">
        <v>2.63</v>
      </c>
      <c r="BG289" s="49" t="s">
        <v>1</v>
      </c>
      <c r="BH289" s="49" t="s">
        <v>1</v>
      </c>
      <c r="BI289" s="1"/>
      <c r="BJ289" s="70" t="s">
        <v>1287</v>
      </c>
      <c r="BK289" s="57" t="s">
        <v>1287</v>
      </c>
      <c r="BL289" s="57" t="s">
        <v>1287</v>
      </c>
      <c r="BM289" s="57" t="s">
        <v>1287</v>
      </c>
      <c r="BN289" s="57" t="s">
        <v>1287</v>
      </c>
      <c r="BO289" s="57" t="s">
        <v>1287</v>
      </c>
      <c r="BP289" s="57" t="s">
        <v>1287</v>
      </c>
      <c r="BQ289" s="57" t="s">
        <v>1287</v>
      </c>
      <c r="BR289" s="57" t="s">
        <v>1287</v>
      </c>
      <c r="BS289" s="57" t="s">
        <v>1287</v>
      </c>
      <c r="BT289" s="57" t="s">
        <v>1287</v>
      </c>
      <c r="BU289" s="57" t="s">
        <v>1287</v>
      </c>
      <c r="BV289" s="70">
        <f t="shared" si="1987"/>
        <v>33</v>
      </c>
      <c r="BW289" s="71">
        <f t="shared" si="1988"/>
        <v>66</v>
      </c>
      <c r="BX289" s="72">
        <f t="shared" si="1989"/>
        <v>73</v>
      </c>
      <c r="BY289" s="71">
        <f t="shared" si="1990"/>
        <v>102</v>
      </c>
      <c r="BZ289" s="72">
        <f t="shared" si="1991"/>
        <v>106</v>
      </c>
      <c r="CA289" s="71" t="str">
        <f t="shared" si="1992"/>
        <v>-</v>
      </c>
      <c r="CB289" s="72">
        <f t="shared" si="1993"/>
        <v>149</v>
      </c>
      <c r="CC289" s="71">
        <f t="shared" si="1994"/>
        <v>187</v>
      </c>
      <c r="CD289" s="72">
        <f t="shared" si="1995"/>
        <v>199</v>
      </c>
      <c r="CE289" s="71">
        <f t="shared" si="1996"/>
        <v>240</v>
      </c>
      <c r="CF289" s="72">
        <f t="shared" si="1997"/>
        <v>284</v>
      </c>
      <c r="CG289" s="71">
        <f t="shared" si="1998"/>
        <v>310</v>
      </c>
      <c r="CH289" s="70">
        <f t="shared" si="1999"/>
        <v>64</v>
      </c>
      <c r="CI289" s="71">
        <f t="shared" si="2000"/>
        <v>69</v>
      </c>
      <c r="CJ289" s="72">
        <f t="shared" si="2001"/>
        <v>101</v>
      </c>
      <c r="CK289" s="72">
        <f t="shared" si="2002"/>
        <v>105</v>
      </c>
      <c r="CL289" s="72">
        <f t="shared" si="2003"/>
        <v>141</v>
      </c>
      <c r="CM289" s="72" t="str">
        <f t="shared" si="2004"/>
        <v>-</v>
      </c>
      <c r="CN289" s="72">
        <f t="shared" si="2005"/>
        <v>173</v>
      </c>
      <c r="CO289" s="72">
        <f t="shared" si="2006"/>
        <v>189</v>
      </c>
      <c r="CP289" s="72">
        <f t="shared" si="2007"/>
        <v>236</v>
      </c>
      <c r="CQ289" s="72">
        <f t="shared" si="2008"/>
        <v>278</v>
      </c>
      <c r="CR289" s="72">
        <f t="shared" si="2009"/>
        <v>309</v>
      </c>
      <c r="CS289" s="72">
        <f t="shared" si="2010"/>
        <v>322</v>
      </c>
      <c r="CT289" s="23">
        <f t="shared" si="2011"/>
        <v>4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29" x14ac:dyDescent="0.2">
      <c r="A290" s="3" t="str">
        <f t="shared" si="1984"/>
        <v>opsd_bovin_6FKA</v>
      </c>
      <c r="B290" s="3" t="s">
        <v>919</v>
      </c>
      <c r="C290" s="3" t="s">
        <v>1485</v>
      </c>
      <c r="D290" s="3" t="str">
        <f>IFERROR(MID(VLOOKUP($B290,Seqs!$A:$B,2,0),E290,1),"")</f>
        <v>E</v>
      </c>
      <c r="E290" s="3">
        <v>33</v>
      </c>
      <c r="F290" s="3" t="str">
        <f>IFERROR(MID(VLOOKUP($B290,Seqs!$A:$B,2,0),G290,1),"")</f>
        <v>Q</v>
      </c>
      <c r="G290" s="3">
        <v>64</v>
      </c>
      <c r="H290" s="3" t="str">
        <f>IFERROR(MID(VLOOKUP($B290,Seqs!$A:$B,2,0),I290,1),"")</f>
        <v>K</v>
      </c>
      <c r="I290" s="23">
        <v>66</v>
      </c>
      <c r="J290" s="3" t="str">
        <f>IFERROR(MID(VLOOKUP($B290,Seqs!$A:$B,2,0),K290,1),"")</f>
        <v>R</v>
      </c>
      <c r="K290" s="23">
        <v>69</v>
      </c>
      <c r="L290" s="3" t="str">
        <f>IFERROR(MID(VLOOKUP($B290,Seqs!$A:$B,2,0),M290,1),"")</f>
        <v>N</v>
      </c>
      <c r="M290" s="3">
        <v>73</v>
      </c>
      <c r="N290" s="3" t="str">
        <f>IFERROR(MID(VLOOKUP($B290,Seqs!$A:$B,2,0),O290,1),"")</f>
        <v>G</v>
      </c>
      <c r="O290" s="3">
        <v>101</v>
      </c>
      <c r="P290" s="3" t="str">
        <f>IFERROR(MID(VLOOKUP($B290,Seqs!$A:$B,2,0),Q290,1),"")</f>
        <v>Y</v>
      </c>
      <c r="Q290" s="3">
        <v>102</v>
      </c>
      <c r="R290" s="3" t="str">
        <f>IFERROR(MID(VLOOKUP($B290,Seqs!$A:$B,2,0),S290,1),"")</f>
        <v>F</v>
      </c>
      <c r="S290" s="3">
        <v>105</v>
      </c>
      <c r="T290" s="3" t="str">
        <f>IFERROR(MID(VLOOKUP($B290,Seqs!$A:$B,2,0),U290,1),"")</f>
        <v>G</v>
      </c>
      <c r="U290" s="3">
        <v>106</v>
      </c>
      <c r="V290" s="3" t="str">
        <f>IFERROR(MID(VLOOKUP($B290,Seqs!$A:$B,2,0),W290,1),"")</f>
        <v>K</v>
      </c>
      <c r="W290" s="3">
        <v>141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G</v>
      </c>
      <c r="AC290" s="3">
        <v>149</v>
      </c>
      <c r="AD290" s="3" t="str">
        <f>IFERROR(MID(VLOOKUP($B290,Seqs!$A:$B,2,0),AE290,1),"")</f>
        <v>V</v>
      </c>
      <c r="AE290" s="3">
        <v>173</v>
      </c>
      <c r="AF290" s="3" t="str">
        <f>IFERROR(MID(VLOOKUP($B290,Seqs!$A:$B,2,0),AG290,1),"")</f>
        <v>C</v>
      </c>
      <c r="AG290" s="3">
        <v>187</v>
      </c>
      <c r="AH290" s="3" t="str">
        <f>IFERROR(MID(VLOOKUP($B290,Seqs!$A:$B,2,0),AI290,1),"")</f>
        <v>I</v>
      </c>
      <c r="AI290" s="3">
        <v>189</v>
      </c>
      <c r="AJ290" s="3" t="str">
        <f>IFERROR(MID(VLOOKUP($B290,Seqs!$A:$B,2,0),AK290,1),"")</f>
        <v>N</v>
      </c>
      <c r="AK290" s="3">
        <v>199</v>
      </c>
      <c r="AL290" s="3" t="str">
        <f>IFERROR(MID(VLOOKUP($B290,Seqs!$A:$B,2,0),AM290,1),"")</f>
        <v>Q</v>
      </c>
      <c r="AM290" s="3">
        <v>236</v>
      </c>
      <c r="AN290" s="3" t="str">
        <f>IFERROR(MID(VLOOKUP($B290,Seqs!$A:$B,2,0),AO290,1),"")</f>
        <v>S</v>
      </c>
      <c r="AO290" s="3">
        <v>240</v>
      </c>
      <c r="AP290" s="3" t="str">
        <f>IFERROR(MID(VLOOKUP($B290,Seqs!$A:$B,2,0),AQ290,1),"")</f>
        <v>H</v>
      </c>
      <c r="AQ290" s="3">
        <v>278</v>
      </c>
      <c r="AR290" s="3" t="str">
        <f>IFERROR(MID(VLOOKUP($B290,Seqs!$A:$B,2,0),AS290,1),"")</f>
        <v>G</v>
      </c>
      <c r="AS290" s="3">
        <v>284</v>
      </c>
      <c r="AT290" s="3" t="str">
        <f>IFERROR(MID(VLOOKUP($B290,Seqs!$A:$B,2,0),AU290,1),"")</f>
        <v>M</v>
      </c>
      <c r="AU290" s="3">
        <v>309</v>
      </c>
      <c r="AV290" s="3" t="str">
        <f>IFERROR(MID(VLOOKUP($B290,Seqs!$A:$B,2,0),AW290,1),"")</f>
        <v>N</v>
      </c>
      <c r="AW290" s="3">
        <v>310</v>
      </c>
      <c r="AX290" s="3" t="str">
        <f>IFERROR(MID(VLOOKUP($B290,Seqs!$A:$B,2,0),AY290,1),"")</f>
        <v>C</v>
      </c>
      <c r="AY290" s="3">
        <v>322</v>
      </c>
      <c r="AZ290" s="77" t="str">
        <f>VLOOKUP(B290,Classification!A:D,2,0)</f>
        <v>A</v>
      </c>
      <c r="BA290" s="94" t="str">
        <f>VLOOKUP(B290,Classification!A:D,4,0)</f>
        <v>Opsins</v>
      </c>
      <c r="BB290" s="27" t="b">
        <f t="shared" si="1985"/>
        <v>1</v>
      </c>
      <c r="BC290" s="23">
        <f t="shared" si="1986"/>
        <v>250</v>
      </c>
      <c r="BD290" s="2" t="s">
        <v>23</v>
      </c>
      <c r="BE290" s="3" t="s">
        <v>1291</v>
      </c>
      <c r="BF290" s="118">
        <v>2.7</v>
      </c>
      <c r="BG290" s="49" t="s">
        <v>1</v>
      </c>
      <c r="BH290" s="49" t="s">
        <v>1</v>
      </c>
      <c r="BI290" s="1"/>
      <c r="BJ290" s="70" t="s">
        <v>1287</v>
      </c>
      <c r="BK290" s="57" t="s">
        <v>1287</v>
      </c>
      <c r="BL290" s="57" t="s">
        <v>1287</v>
      </c>
      <c r="BM290" s="57" t="s">
        <v>1287</v>
      </c>
      <c r="BN290" s="57" t="s">
        <v>1287</v>
      </c>
      <c r="BO290" s="57" t="s">
        <v>1287</v>
      </c>
      <c r="BP290" s="57" t="s">
        <v>1287</v>
      </c>
      <c r="BQ290" s="57" t="s">
        <v>1287</v>
      </c>
      <c r="BR290" s="57" t="s">
        <v>1287</v>
      </c>
      <c r="BS290" s="57" t="s">
        <v>1287</v>
      </c>
      <c r="BT290" s="57" t="s">
        <v>1287</v>
      </c>
      <c r="BU290" s="57" t="s">
        <v>1287</v>
      </c>
      <c r="BV290" s="70">
        <f t="shared" si="1987"/>
        <v>33</v>
      </c>
      <c r="BW290" s="71">
        <f t="shared" si="1988"/>
        <v>66</v>
      </c>
      <c r="BX290" s="72">
        <f t="shared" si="1989"/>
        <v>73</v>
      </c>
      <c r="BY290" s="71">
        <f t="shared" si="1990"/>
        <v>102</v>
      </c>
      <c r="BZ290" s="72">
        <f t="shared" si="1991"/>
        <v>106</v>
      </c>
      <c r="CA290" s="71" t="str">
        <f t="shared" si="1992"/>
        <v>-</v>
      </c>
      <c r="CB290" s="72">
        <f t="shared" si="1993"/>
        <v>149</v>
      </c>
      <c r="CC290" s="71">
        <f t="shared" si="1994"/>
        <v>187</v>
      </c>
      <c r="CD290" s="72">
        <f t="shared" si="1995"/>
        <v>199</v>
      </c>
      <c r="CE290" s="71">
        <f t="shared" si="1996"/>
        <v>240</v>
      </c>
      <c r="CF290" s="72">
        <f t="shared" si="1997"/>
        <v>284</v>
      </c>
      <c r="CG290" s="71">
        <f t="shared" si="1998"/>
        <v>310</v>
      </c>
      <c r="CH290" s="70">
        <f t="shared" si="1999"/>
        <v>64</v>
      </c>
      <c r="CI290" s="71">
        <f t="shared" si="2000"/>
        <v>69</v>
      </c>
      <c r="CJ290" s="72">
        <f t="shared" si="2001"/>
        <v>101</v>
      </c>
      <c r="CK290" s="72">
        <f t="shared" si="2002"/>
        <v>105</v>
      </c>
      <c r="CL290" s="72">
        <f t="shared" si="2003"/>
        <v>141</v>
      </c>
      <c r="CM290" s="72" t="str">
        <f t="shared" si="2004"/>
        <v>-</v>
      </c>
      <c r="CN290" s="72">
        <f t="shared" si="2005"/>
        <v>173</v>
      </c>
      <c r="CO290" s="72">
        <f t="shared" si="2006"/>
        <v>189</v>
      </c>
      <c r="CP290" s="72">
        <f t="shared" si="2007"/>
        <v>236</v>
      </c>
      <c r="CQ290" s="72">
        <f t="shared" si="2008"/>
        <v>278</v>
      </c>
      <c r="CR290" s="72">
        <f t="shared" si="2009"/>
        <v>309</v>
      </c>
      <c r="CS290" s="72">
        <f t="shared" si="2010"/>
        <v>322</v>
      </c>
      <c r="CT290" s="23">
        <f t="shared" si="2011"/>
        <v>4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29" x14ac:dyDescent="0.2">
      <c r="A291" s="3" t="str">
        <f t="shared" si="1984"/>
        <v>opsd_bovin_6FKB</v>
      </c>
      <c r="B291" s="3" t="s">
        <v>919</v>
      </c>
      <c r="C291" s="3" t="s">
        <v>1486</v>
      </c>
      <c r="D291" s="3" t="str">
        <f>IFERROR(MID(VLOOKUP($B291,Seqs!$A:$B,2,0),E291,1),"")</f>
        <v>E</v>
      </c>
      <c r="E291" s="3">
        <v>33</v>
      </c>
      <c r="F291" s="3" t="str">
        <f>IFERROR(MID(VLOOKUP($B291,Seqs!$A:$B,2,0),G291,1),"")</f>
        <v>Q</v>
      </c>
      <c r="G291" s="3">
        <v>64</v>
      </c>
      <c r="H291" s="3" t="str">
        <f>IFERROR(MID(VLOOKUP($B291,Seqs!$A:$B,2,0),I291,1),"")</f>
        <v>K</v>
      </c>
      <c r="I291" s="23">
        <v>66</v>
      </c>
      <c r="J291" s="3" t="str">
        <f>IFERROR(MID(VLOOKUP($B291,Seqs!$A:$B,2,0),K291,1),"")</f>
        <v>R</v>
      </c>
      <c r="K291" s="23">
        <v>69</v>
      </c>
      <c r="L291" s="3" t="str">
        <f>IFERROR(MID(VLOOKUP($B291,Seqs!$A:$B,2,0),M291,1),"")</f>
        <v>N</v>
      </c>
      <c r="M291" s="3">
        <v>73</v>
      </c>
      <c r="N291" s="3" t="str">
        <f>IFERROR(MID(VLOOKUP($B291,Seqs!$A:$B,2,0),O291,1),"")</f>
        <v>G</v>
      </c>
      <c r="O291" s="3">
        <v>101</v>
      </c>
      <c r="P291" s="3" t="str">
        <f>IFERROR(MID(VLOOKUP($B291,Seqs!$A:$B,2,0),Q291,1),"")</f>
        <v>Y</v>
      </c>
      <c r="Q291" s="3">
        <v>102</v>
      </c>
      <c r="R291" s="3" t="str">
        <f>IFERROR(MID(VLOOKUP($B291,Seqs!$A:$B,2,0),S291,1),"")</f>
        <v>F</v>
      </c>
      <c r="S291" s="3">
        <v>105</v>
      </c>
      <c r="T291" s="3" t="str">
        <f>IFERROR(MID(VLOOKUP($B291,Seqs!$A:$B,2,0),U291,1),"")</f>
        <v>G</v>
      </c>
      <c r="U291" s="3">
        <v>106</v>
      </c>
      <c r="V291" s="3" t="str">
        <f>IFERROR(MID(VLOOKUP($B291,Seqs!$A:$B,2,0),W291,1),"")</f>
        <v>K</v>
      </c>
      <c r="W291" s="3">
        <v>141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G</v>
      </c>
      <c r="AC291" s="3">
        <v>149</v>
      </c>
      <c r="AD291" s="3" t="str">
        <f>IFERROR(MID(VLOOKUP($B291,Seqs!$A:$B,2,0),AE291,1),"")</f>
        <v>V</v>
      </c>
      <c r="AE291" s="3">
        <v>173</v>
      </c>
      <c r="AF291" s="3" t="str">
        <f>IFERROR(MID(VLOOKUP($B291,Seqs!$A:$B,2,0),AG291,1),"")</f>
        <v>C</v>
      </c>
      <c r="AG291" s="3">
        <v>187</v>
      </c>
      <c r="AH291" s="3" t="str">
        <f>IFERROR(MID(VLOOKUP($B291,Seqs!$A:$B,2,0),AI291,1),"")</f>
        <v>I</v>
      </c>
      <c r="AI291" s="3">
        <v>189</v>
      </c>
      <c r="AJ291" s="3" t="str">
        <f>IFERROR(MID(VLOOKUP($B291,Seqs!$A:$B,2,0),AK291,1),"")</f>
        <v>N</v>
      </c>
      <c r="AK291" s="3">
        <v>199</v>
      </c>
      <c r="AL291" s="3" t="str">
        <f>IFERROR(MID(VLOOKUP($B291,Seqs!$A:$B,2,0),AM291,1),"")</f>
        <v>Q</v>
      </c>
      <c r="AM291" s="3">
        <v>236</v>
      </c>
      <c r="AN291" s="3" t="str">
        <f>IFERROR(MID(VLOOKUP($B291,Seqs!$A:$B,2,0),AO291,1),"")</f>
        <v>S</v>
      </c>
      <c r="AO291" s="3">
        <v>240</v>
      </c>
      <c r="AP291" s="3" t="str">
        <f>IFERROR(MID(VLOOKUP($B291,Seqs!$A:$B,2,0),AQ291,1),"")</f>
        <v>H</v>
      </c>
      <c r="AQ291" s="3">
        <v>278</v>
      </c>
      <c r="AR291" s="3" t="str">
        <f>IFERROR(MID(VLOOKUP($B291,Seqs!$A:$B,2,0),AS291,1),"")</f>
        <v>G</v>
      </c>
      <c r="AS291" s="3">
        <v>284</v>
      </c>
      <c r="AT291" s="3" t="str">
        <f>IFERROR(MID(VLOOKUP($B291,Seqs!$A:$B,2,0),AU291,1),"")</f>
        <v>M</v>
      </c>
      <c r="AU291" s="3">
        <v>309</v>
      </c>
      <c r="AV291" s="3" t="str">
        <f>IFERROR(MID(VLOOKUP($B291,Seqs!$A:$B,2,0),AW291,1),"")</f>
        <v>N</v>
      </c>
      <c r="AW291" s="3">
        <v>310</v>
      </c>
      <c r="AX291" s="3" t="str">
        <f>IFERROR(MID(VLOOKUP($B291,Seqs!$A:$B,2,0),AY291,1),"")</f>
        <v>C</v>
      </c>
      <c r="AY291" s="3">
        <v>322</v>
      </c>
      <c r="AZ291" s="77" t="str">
        <f>VLOOKUP(B291,Classification!A:D,2,0)</f>
        <v>A</v>
      </c>
      <c r="BA291" s="94" t="str">
        <f>VLOOKUP(B291,Classification!A:D,4,0)</f>
        <v>Opsins</v>
      </c>
      <c r="BB291" s="27" t="b">
        <f t="shared" si="1985"/>
        <v>1</v>
      </c>
      <c r="BC291" s="23">
        <f t="shared" si="1986"/>
        <v>250</v>
      </c>
      <c r="BD291" s="2" t="s">
        <v>23</v>
      </c>
      <c r="BE291" s="3" t="s">
        <v>1291</v>
      </c>
      <c r="BF291" s="118">
        <v>3.03</v>
      </c>
      <c r="BG291" s="49" t="s">
        <v>1</v>
      </c>
      <c r="BH291" s="49" t="s">
        <v>1</v>
      </c>
      <c r="BI291" s="1"/>
      <c r="BJ291" s="70" t="s">
        <v>1287</v>
      </c>
      <c r="BK291" s="57" t="s">
        <v>1287</v>
      </c>
      <c r="BL291" s="57" t="s">
        <v>1287</v>
      </c>
      <c r="BM291" s="57" t="s">
        <v>1287</v>
      </c>
      <c r="BN291" s="57" t="s">
        <v>1287</v>
      </c>
      <c r="BO291" s="57" t="s">
        <v>1287</v>
      </c>
      <c r="BP291" s="57" t="s">
        <v>1287</v>
      </c>
      <c r="BQ291" s="57" t="s">
        <v>1287</v>
      </c>
      <c r="BR291" s="57" t="s">
        <v>1287</v>
      </c>
      <c r="BS291" s="57" t="s">
        <v>1287</v>
      </c>
      <c r="BT291" s="57" t="s">
        <v>1287</v>
      </c>
      <c r="BU291" s="57" t="s">
        <v>1287</v>
      </c>
      <c r="BV291" s="70">
        <f t="shared" si="1987"/>
        <v>33</v>
      </c>
      <c r="BW291" s="71">
        <f t="shared" si="1988"/>
        <v>66</v>
      </c>
      <c r="BX291" s="72">
        <f t="shared" si="1989"/>
        <v>73</v>
      </c>
      <c r="BY291" s="71">
        <f t="shared" si="1990"/>
        <v>102</v>
      </c>
      <c r="BZ291" s="72">
        <f t="shared" si="1991"/>
        <v>106</v>
      </c>
      <c r="CA291" s="71" t="str">
        <f t="shared" si="1992"/>
        <v>-</v>
      </c>
      <c r="CB291" s="72">
        <f t="shared" si="1993"/>
        <v>149</v>
      </c>
      <c r="CC291" s="71">
        <f t="shared" si="1994"/>
        <v>187</v>
      </c>
      <c r="CD291" s="72">
        <f t="shared" si="1995"/>
        <v>199</v>
      </c>
      <c r="CE291" s="71">
        <f t="shared" si="1996"/>
        <v>240</v>
      </c>
      <c r="CF291" s="72">
        <f t="shared" si="1997"/>
        <v>284</v>
      </c>
      <c r="CG291" s="71">
        <f t="shared" si="1998"/>
        <v>310</v>
      </c>
      <c r="CH291" s="70">
        <f t="shared" si="1999"/>
        <v>64</v>
      </c>
      <c r="CI291" s="71">
        <f t="shared" si="2000"/>
        <v>69</v>
      </c>
      <c r="CJ291" s="72">
        <f t="shared" si="2001"/>
        <v>101</v>
      </c>
      <c r="CK291" s="72">
        <f t="shared" si="2002"/>
        <v>105</v>
      </c>
      <c r="CL291" s="72">
        <f t="shared" si="2003"/>
        <v>141</v>
      </c>
      <c r="CM291" s="72" t="str">
        <f t="shared" si="2004"/>
        <v>-</v>
      </c>
      <c r="CN291" s="72">
        <f t="shared" si="2005"/>
        <v>173</v>
      </c>
      <c r="CO291" s="72">
        <f t="shared" si="2006"/>
        <v>189</v>
      </c>
      <c r="CP291" s="72">
        <f t="shared" si="2007"/>
        <v>236</v>
      </c>
      <c r="CQ291" s="72">
        <f t="shared" si="2008"/>
        <v>278</v>
      </c>
      <c r="CR291" s="72">
        <f t="shared" si="2009"/>
        <v>309</v>
      </c>
      <c r="CS291" s="72">
        <f t="shared" si="2010"/>
        <v>322</v>
      </c>
      <c r="CT291" s="23">
        <f t="shared" si="2011"/>
        <v>4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29" x14ac:dyDescent="0.2">
      <c r="A292" s="3" t="str">
        <f t="shared" si="1984"/>
        <v>opsd_bovin_6FKC</v>
      </c>
      <c r="B292" s="3" t="s">
        <v>919</v>
      </c>
      <c r="C292" s="3" t="s">
        <v>1487</v>
      </c>
      <c r="D292" s="3" t="str">
        <f>IFERROR(MID(VLOOKUP($B292,Seqs!$A:$B,2,0),E292,1),"")</f>
        <v>E</v>
      </c>
      <c r="E292" s="3">
        <v>33</v>
      </c>
      <c r="F292" s="3" t="str">
        <f>IFERROR(MID(VLOOKUP($B292,Seqs!$A:$B,2,0),G292,1),"")</f>
        <v>Q</v>
      </c>
      <c r="G292" s="3">
        <v>64</v>
      </c>
      <c r="H292" s="3" t="str">
        <f>IFERROR(MID(VLOOKUP($B292,Seqs!$A:$B,2,0),I292,1),"")</f>
        <v>K</v>
      </c>
      <c r="I292" s="23">
        <v>66</v>
      </c>
      <c r="J292" s="3" t="str">
        <f>IFERROR(MID(VLOOKUP($B292,Seqs!$A:$B,2,0),K292,1),"")</f>
        <v>R</v>
      </c>
      <c r="K292" s="23">
        <v>69</v>
      </c>
      <c r="L292" s="3" t="str">
        <f>IFERROR(MID(VLOOKUP($B292,Seqs!$A:$B,2,0),M292,1),"")</f>
        <v>N</v>
      </c>
      <c r="M292" s="3">
        <v>73</v>
      </c>
      <c r="N292" s="3" t="str">
        <f>IFERROR(MID(VLOOKUP($B292,Seqs!$A:$B,2,0),O292,1),"")</f>
        <v>G</v>
      </c>
      <c r="O292" s="3">
        <v>101</v>
      </c>
      <c r="P292" s="3" t="str">
        <f>IFERROR(MID(VLOOKUP($B292,Seqs!$A:$B,2,0),Q292,1),"")</f>
        <v>Y</v>
      </c>
      <c r="Q292" s="3">
        <v>102</v>
      </c>
      <c r="R292" s="3" t="str">
        <f>IFERROR(MID(VLOOKUP($B292,Seqs!$A:$B,2,0),S292,1),"")</f>
        <v>F</v>
      </c>
      <c r="S292" s="3">
        <v>105</v>
      </c>
      <c r="T292" s="3" t="str">
        <f>IFERROR(MID(VLOOKUP($B292,Seqs!$A:$B,2,0),U292,1),"")</f>
        <v>G</v>
      </c>
      <c r="U292" s="3">
        <v>106</v>
      </c>
      <c r="V292" s="3" t="str">
        <f>IFERROR(MID(VLOOKUP($B292,Seqs!$A:$B,2,0),W292,1),"")</f>
        <v>K</v>
      </c>
      <c r="W292" s="3">
        <v>141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G</v>
      </c>
      <c r="AC292" s="3">
        <v>149</v>
      </c>
      <c r="AD292" s="3" t="str">
        <f>IFERROR(MID(VLOOKUP($B292,Seqs!$A:$B,2,0),AE292,1),"")</f>
        <v>V</v>
      </c>
      <c r="AE292" s="3">
        <v>173</v>
      </c>
      <c r="AF292" s="3" t="str">
        <f>IFERROR(MID(VLOOKUP($B292,Seqs!$A:$B,2,0),AG292,1),"")</f>
        <v>C</v>
      </c>
      <c r="AG292" s="3">
        <v>187</v>
      </c>
      <c r="AH292" s="3" t="str">
        <f>IFERROR(MID(VLOOKUP($B292,Seqs!$A:$B,2,0),AI292,1),"")</f>
        <v>I</v>
      </c>
      <c r="AI292" s="3">
        <v>189</v>
      </c>
      <c r="AJ292" s="3" t="str">
        <f>IFERROR(MID(VLOOKUP($B292,Seqs!$A:$B,2,0),AK292,1),"")</f>
        <v>N</v>
      </c>
      <c r="AK292" s="3">
        <v>199</v>
      </c>
      <c r="AL292" s="3" t="str">
        <f>IFERROR(MID(VLOOKUP($B292,Seqs!$A:$B,2,0),AM292,1),"")</f>
        <v>Q</v>
      </c>
      <c r="AM292" s="3">
        <v>236</v>
      </c>
      <c r="AN292" s="3" t="str">
        <f>IFERROR(MID(VLOOKUP($B292,Seqs!$A:$B,2,0),AO292,1),"")</f>
        <v>S</v>
      </c>
      <c r="AO292" s="3">
        <v>240</v>
      </c>
      <c r="AP292" s="3" t="str">
        <f>IFERROR(MID(VLOOKUP($B292,Seqs!$A:$B,2,0),AQ292,1),"")</f>
        <v>H</v>
      </c>
      <c r="AQ292" s="3">
        <v>278</v>
      </c>
      <c r="AR292" s="3" t="str">
        <f>IFERROR(MID(VLOOKUP($B292,Seqs!$A:$B,2,0),AS292,1),"")</f>
        <v>T</v>
      </c>
      <c r="AS292" s="3">
        <v>289</v>
      </c>
      <c r="AT292" s="3" t="str">
        <f>IFERROR(MID(VLOOKUP($B292,Seqs!$A:$B,2,0),AU292,1),"")</f>
        <v>M</v>
      </c>
      <c r="AU292" s="3">
        <v>309</v>
      </c>
      <c r="AV292" s="3" t="str">
        <f>IFERROR(MID(VLOOKUP($B292,Seqs!$A:$B,2,0),AW292,1),"")</f>
        <v>N</v>
      </c>
      <c r="AW292" s="3">
        <v>310</v>
      </c>
      <c r="AX292" s="3" t="str">
        <f>IFERROR(MID(VLOOKUP($B292,Seqs!$A:$B,2,0),AY292,1),"")</f>
        <v>C</v>
      </c>
      <c r="AY292" s="3">
        <v>322</v>
      </c>
      <c r="AZ292" s="77" t="str">
        <f>VLOOKUP(B292,Classification!A:D,2,0)</f>
        <v>A</v>
      </c>
      <c r="BA292" s="94" t="str">
        <f>VLOOKUP(B292,Classification!A:D,4,0)</f>
        <v>Opsins</v>
      </c>
      <c r="BB292" s="27" t="b">
        <f t="shared" si="1985"/>
        <v>1</v>
      </c>
      <c r="BC292" s="23">
        <f t="shared" si="1986"/>
        <v>245</v>
      </c>
      <c r="BD292" s="2" t="s">
        <v>23</v>
      </c>
      <c r="BE292" s="3" t="s">
        <v>1291</v>
      </c>
      <c r="BF292" s="118">
        <v>2.46</v>
      </c>
      <c r="BG292" s="49" t="s">
        <v>1</v>
      </c>
      <c r="BH292" s="49" t="s">
        <v>1</v>
      </c>
      <c r="BI292" s="1"/>
      <c r="BJ292" s="70" t="s">
        <v>1287</v>
      </c>
      <c r="BK292" s="57" t="s">
        <v>1287</v>
      </c>
      <c r="BL292" s="57" t="s">
        <v>1287</v>
      </c>
      <c r="BM292" s="57" t="s">
        <v>1287</v>
      </c>
      <c r="BN292" s="57" t="s">
        <v>1287</v>
      </c>
      <c r="BO292" s="57" t="s">
        <v>1287</v>
      </c>
      <c r="BP292" s="57" t="s">
        <v>1287</v>
      </c>
      <c r="BQ292" s="57" t="s">
        <v>1287</v>
      </c>
      <c r="BR292" s="57" t="s">
        <v>1287</v>
      </c>
      <c r="BS292" s="57" t="s">
        <v>1287</v>
      </c>
      <c r="BT292" s="57" t="s">
        <v>1287</v>
      </c>
      <c r="BU292" s="57" t="s">
        <v>1287</v>
      </c>
      <c r="BV292" s="70">
        <f t="shared" si="1987"/>
        <v>33</v>
      </c>
      <c r="BW292" s="71">
        <f t="shared" si="1988"/>
        <v>66</v>
      </c>
      <c r="BX292" s="72">
        <f t="shared" si="1989"/>
        <v>73</v>
      </c>
      <c r="BY292" s="71">
        <f t="shared" si="1990"/>
        <v>102</v>
      </c>
      <c r="BZ292" s="72">
        <f t="shared" si="1991"/>
        <v>106</v>
      </c>
      <c r="CA292" s="71" t="str">
        <f t="shared" si="1992"/>
        <v>-</v>
      </c>
      <c r="CB292" s="72">
        <f t="shared" si="1993"/>
        <v>149</v>
      </c>
      <c r="CC292" s="71">
        <f t="shared" si="1994"/>
        <v>187</v>
      </c>
      <c r="CD292" s="72">
        <f t="shared" si="1995"/>
        <v>199</v>
      </c>
      <c r="CE292" s="71">
        <f t="shared" si="1996"/>
        <v>240</v>
      </c>
      <c r="CF292" s="72">
        <f t="shared" si="1997"/>
        <v>289</v>
      </c>
      <c r="CG292" s="71">
        <f t="shared" si="1998"/>
        <v>310</v>
      </c>
      <c r="CH292" s="70">
        <f t="shared" si="1999"/>
        <v>64</v>
      </c>
      <c r="CI292" s="71">
        <f t="shared" si="2000"/>
        <v>69</v>
      </c>
      <c r="CJ292" s="72">
        <f t="shared" si="2001"/>
        <v>101</v>
      </c>
      <c r="CK292" s="72">
        <f t="shared" si="2002"/>
        <v>105</v>
      </c>
      <c r="CL292" s="72">
        <f t="shared" si="2003"/>
        <v>141</v>
      </c>
      <c r="CM292" s="72" t="str">
        <f t="shared" si="2004"/>
        <v>-</v>
      </c>
      <c r="CN292" s="72">
        <f t="shared" si="2005"/>
        <v>173</v>
      </c>
      <c r="CO292" s="72">
        <f t="shared" si="2006"/>
        <v>189</v>
      </c>
      <c r="CP292" s="72">
        <f t="shared" si="2007"/>
        <v>236</v>
      </c>
      <c r="CQ292" s="72">
        <f t="shared" si="2008"/>
        <v>278</v>
      </c>
      <c r="CR292" s="72">
        <f t="shared" si="2009"/>
        <v>309</v>
      </c>
      <c r="CS292" s="72">
        <f t="shared" si="2010"/>
        <v>322</v>
      </c>
      <c r="CT292" s="23">
        <f t="shared" si="2011"/>
        <v>4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29" x14ac:dyDescent="0.2">
      <c r="A293" s="3" t="str">
        <f t="shared" si="1984"/>
        <v>opsd_bovin_6FKD</v>
      </c>
      <c r="B293" s="3" t="s">
        <v>919</v>
      </c>
      <c r="C293" s="3" t="s">
        <v>1488</v>
      </c>
      <c r="D293" s="3" t="str">
        <f>IFERROR(MID(VLOOKUP($B293,Seqs!$A:$B,2,0),E293,1),"")</f>
        <v>E</v>
      </c>
      <c r="E293" s="3">
        <v>33</v>
      </c>
      <c r="F293" s="3" t="str">
        <f>IFERROR(MID(VLOOKUP($B293,Seqs!$A:$B,2,0),G293,1),"")</f>
        <v>Q</v>
      </c>
      <c r="G293" s="3">
        <v>64</v>
      </c>
      <c r="H293" s="3" t="str">
        <f>IFERROR(MID(VLOOKUP($B293,Seqs!$A:$B,2,0),I293,1),"")</f>
        <v>K</v>
      </c>
      <c r="I293" s="23">
        <v>66</v>
      </c>
      <c r="J293" s="3" t="str">
        <f>IFERROR(MID(VLOOKUP($B293,Seqs!$A:$B,2,0),K293,1),"")</f>
        <v>R</v>
      </c>
      <c r="K293" s="23">
        <v>69</v>
      </c>
      <c r="L293" s="3" t="str">
        <f>IFERROR(MID(VLOOKUP($B293,Seqs!$A:$B,2,0),M293,1),"")</f>
        <v>N</v>
      </c>
      <c r="M293" s="3">
        <v>73</v>
      </c>
      <c r="N293" s="3" t="str">
        <f>IFERROR(MID(VLOOKUP($B293,Seqs!$A:$B,2,0),O293,1),"")</f>
        <v>G</v>
      </c>
      <c r="O293" s="3">
        <v>101</v>
      </c>
      <c r="P293" s="3" t="str">
        <f>IFERROR(MID(VLOOKUP($B293,Seqs!$A:$B,2,0),Q293,1),"")</f>
        <v>Y</v>
      </c>
      <c r="Q293" s="3">
        <v>102</v>
      </c>
      <c r="R293" s="3" t="str">
        <f>IFERROR(MID(VLOOKUP($B293,Seqs!$A:$B,2,0),S293,1),"")</f>
        <v>F</v>
      </c>
      <c r="S293" s="3">
        <v>105</v>
      </c>
      <c r="T293" s="3" t="str">
        <f>IFERROR(MID(VLOOKUP($B293,Seqs!$A:$B,2,0),U293,1),"")</f>
        <v>G</v>
      </c>
      <c r="U293" s="3">
        <v>106</v>
      </c>
      <c r="V293" s="3" t="str">
        <f>IFERROR(MID(VLOOKUP($B293,Seqs!$A:$B,2,0),W293,1),"")</f>
        <v>K</v>
      </c>
      <c r="W293" s="3">
        <v>141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G</v>
      </c>
      <c r="AC293" s="3">
        <v>149</v>
      </c>
      <c r="AD293" s="3" t="str">
        <f>IFERROR(MID(VLOOKUP($B293,Seqs!$A:$B,2,0),AE293,1),"")</f>
        <v>V</v>
      </c>
      <c r="AE293" s="3">
        <v>173</v>
      </c>
      <c r="AF293" s="3" t="str">
        <f>IFERROR(MID(VLOOKUP($B293,Seqs!$A:$B,2,0),AG293,1),"")</f>
        <v>C</v>
      </c>
      <c r="AG293" s="3">
        <v>187</v>
      </c>
      <c r="AH293" s="3" t="str">
        <f>IFERROR(MID(VLOOKUP($B293,Seqs!$A:$B,2,0),AI293,1),"")</f>
        <v>I</v>
      </c>
      <c r="AI293" s="3">
        <v>189</v>
      </c>
      <c r="AJ293" s="3" t="str">
        <f>IFERROR(MID(VLOOKUP($B293,Seqs!$A:$B,2,0),AK293,1),"")</f>
        <v>N</v>
      </c>
      <c r="AK293" s="3">
        <v>199</v>
      </c>
      <c r="AL293" s="3" t="str">
        <f>IFERROR(MID(VLOOKUP($B293,Seqs!$A:$B,2,0),AM293,1),"")</f>
        <v>Q</v>
      </c>
      <c r="AM293" s="3">
        <v>236</v>
      </c>
      <c r="AN293" s="3" t="str">
        <f>IFERROR(MID(VLOOKUP($B293,Seqs!$A:$B,2,0),AO293,1),"")</f>
        <v>S</v>
      </c>
      <c r="AO293" s="3">
        <v>240</v>
      </c>
      <c r="AP293" s="3" t="str">
        <f>IFERROR(MID(VLOOKUP($B293,Seqs!$A:$B,2,0),AQ293,1),"")</f>
        <v>H</v>
      </c>
      <c r="AQ293" s="3">
        <v>278</v>
      </c>
      <c r="AR293" s="3" t="str">
        <f>IFERROR(MID(VLOOKUP($B293,Seqs!$A:$B,2,0),AS293,1),"")</f>
        <v>T</v>
      </c>
      <c r="AS293" s="3">
        <v>289</v>
      </c>
      <c r="AT293" s="3" t="str">
        <f>IFERROR(MID(VLOOKUP($B293,Seqs!$A:$B,2,0),AU293,1),"")</f>
        <v>M</v>
      </c>
      <c r="AU293" s="3">
        <v>309</v>
      </c>
      <c r="AV293" s="3" t="str">
        <f>IFERROR(MID(VLOOKUP($B293,Seqs!$A:$B,2,0),AW293,1),"")</f>
        <v>N</v>
      </c>
      <c r="AW293" s="3">
        <v>310</v>
      </c>
      <c r="AX293" s="3" t="str">
        <f>IFERROR(MID(VLOOKUP($B293,Seqs!$A:$B,2,0),AY293,1),"")</f>
        <v>C</v>
      </c>
      <c r="AY293" s="3">
        <v>322</v>
      </c>
      <c r="AZ293" s="77" t="str">
        <f>VLOOKUP(B293,Classification!A:D,2,0)</f>
        <v>A</v>
      </c>
      <c r="BA293" s="94" t="str">
        <f>VLOOKUP(B293,Classification!A:D,4,0)</f>
        <v>Opsins</v>
      </c>
      <c r="BB293" s="27" t="b">
        <f t="shared" si="1985"/>
        <v>1</v>
      </c>
      <c r="BC293" s="23">
        <f t="shared" si="1986"/>
        <v>245</v>
      </c>
      <c r="BD293" s="2" t="s">
        <v>23</v>
      </c>
      <c r="BE293" s="3" t="s">
        <v>1291</v>
      </c>
      <c r="BF293" s="118">
        <v>2.4900000000000002</v>
      </c>
      <c r="BG293" s="49" t="s">
        <v>1</v>
      </c>
      <c r="BH293" s="49" t="s">
        <v>1</v>
      </c>
      <c r="BI293" s="1"/>
      <c r="BJ293" s="70" t="s">
        <v>1287</v>
      </c>
      <c r="BK293" s="57" t="s">
        <v>1287</v>
      </c>
      <c r="BL293" s="57" t="s">
        <v>1287</v>
      </c>
      <c r="BM293" s="57" t="s">
        <v>1287</v>
      </c>
      <c r="BN293" s="57" t="s">
        <v>1287</v>
      </c>
      <c r="BO293" s="57" t="s">
        <v>1287</v>
      </c>
      <c r="BP293" s="57" t="s">
        <v>1287</v>
      </c>
      <c r="BQ293" s="57" t="s">
        <v>1287</v>
      </c>
      <c r="BR293" s="57" t="s">
        <v>1287</v>
      </c>
      <c r="BS293" s="57" t="s">
        <v>1287</v>
      </c>
      <c r="BT293" s="57" t="s">
        <v>1287</v>
      </c>
      <c r="BU293" s="57" t="s">
        <v>1287</v>
      </c>
      <c r="BV293" s="70">
        <f t="shared" si="1987"/>
        <v>33</v>
      </c>
      <c r="BW293" s="71">
        <f t="shared" si="1988"/>
        <v>66</v>
      </c>
      <c r="BX293" s="72">
        <f t="shared" si="1989"/>
        <v>73</v>
      </c>
      <c r="BY293" s="71">
        <f t="shared" si="1990"/>
        <v>102</v>
      </c>
      <c r="BZ293" s="72">
        <f t="shared" si="1991"/>
        <v>106</v>
      </c>
      <c r="CA293" s="71" t="str">
        <f t="shared" si="1992"/>
        <v>-</v>
      </c>
      <c r="CB293" s="72">
        <f t="shared" si="1993"/>
        <v>149</v>
      </c>
      <c r="CC293" s="71">
        <f t="shared" si="1994"/>
        <v>187</v>
      </c>
      <c r="CD293" s="72">
        <f t="shared" si="1995"/>
        <v>199</v>
      </c>
      <c r="CE293" s="71">
        <f t="shared" si="1996"/>
        <v>240</v>
      </c>
      <c r="CF293" s="72">
        <f t="shared" si="1997"/>
        <v>289</v>
      </c>
      <c r="CG293" s="71">
        <f t="shared" si="1998"/>
        <v>310</v>
      </c>
      <c r="CH293" s="70">
        <f t="shared" si="1999"/>
        <v>64</v>
      </c>
      <c r="CI293" s="71">
        <f t="shared" si="2000"/>
        <v>69</v>
      </c>
      <c r="CJ293" s="72">
        <f t="shared" si="2001"/>
        <v>101</v>
      </c>
      <c r="CK293" s="72">
        <f t="shared" si="2002"/>
        <v>105</v>
      </c>
      <c r="CL293" s="72">
        <f t="shared" si="2003"/>
        <v>141</v>
      </c>
      <c r="CM293" s="72" t="str">
        <f t="shared" si="2004"/>
        <v>-</v>
      </c>
      <c r="CN293" s="72">
        <f t="shared" si="2005"/>
        <v>173</v>
      </c>
      <c r="CO293" s="72">
        <f t="shared" si="2006"/>
        <v>189</v>
      </c>
      <c r="CP293" s="72">
        <f t="shared" si="2007"/>
        <v>236</v>
      </c>
      <c r="CQ293" s="72">
        <f t="shared" si="2008"/>
        <v>278</v>
      </c>
      <c r="CR293" s="72">
        <f t="shared" si="2009"/>
        <v>309</v>
      </c>
      <c r="CS293" s="72">
        <f t="shared" si="2010"/>
        <v>322</v>
      </c>
      <c r="CT293" s="23">
        <f t="shared" si="2011"/>
        <v>4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29" x14ac:dyDescent="0.2">
      <c r="A294" s="3" t="str">
        <f t="shared" ref="A294" si="2012">CONCATENATE(B294,"_",C294)</f>
        <v>opsd_bovin_6FUF</v>
      </c>
      <c r="B294" s="3" t="s">
        <v>919</v>
      </c>
      <c r="C294" s="3" t="s">
        <v>1518</v>
      </c>
      <c r="D294" s="3" t="str">
        <f>IFERROR(MID(VLOOKUP($B294,Seqs!$A:$B,2,0),E294,1),"")</f>
        <v>E</v>
      </c>
      <c r="E294" s="3">
        <v>33</v>
      </c>
      <c r="F294" s="3" t="str">
        <f>IFERROR(MID(VLOOKUP($B294,Seqs!$A:$B,2,0),G294,1),"")</f>
        <v>H</v>
      </c>
      <c r="G294" s="3">
        <v>65</v>
      </c>
      <c r="H294" s="3" t="str">
        <f>IFERROR(MID(VLOOKUP($B294,Seqs!$A:$B,2,0),I294,1),"")</f>
        <v>K</v>
      </c>
      <c r="I294" s="23">
        <v>66</v>
      </c>
      <c r="J294" s="3" t="str">
        <f>IFERROR(MID(VLOOKUP($B294,Seqs!$A:$B,2,0),K294,1),"")</f>
        <v>R</v>
      </c>
      <c r="K294" s="23">
        <v>69</v>
      </c>
      <c r="L294" s="3" t="str">
        <f>IFERROR(MID(VLOOKUP($B294,Seqs!$A:$B,2,0),M294,1),"")</f>
        <v>N</v>
      </c>
      <c r="M294" s="3">
        <v>73</v>
      </c>
      <c r="N294" s="3" t="str">
        <f>IFERROR(MID(VLOOKUP($B294,Seqs!$A:$B,2,0),O294,1),"")</f>
        <v>G</v>
      </c>
      <c r="O294" s="3">
        <v>101</v>
      </c>
      <c r="P294" s="3" t="str">
        <f>IFERROR(MID(VLOOKUP($B294,Seqs!$A:$B,2,0),Q294,1),"")</f>
        <v>Y</v>
      </c>
      <c r="Q294" s="3">
        <v>102</v>
      </c>
      <c r="R294" s="3" t="str">
        <f>IFERROR(MID(VLOOKUP($B294,Seqs!$A:$B,2,0),S294,1),"")</f>
        <v>F</v>
      </c>
      <c r="S294" s="3">
        <v>105</v>
      </c>
      <c r="T294" s="3" t="str">
        <f>IFERROR(MID(VLOOKUP($B294,Seqs!$A:$B,2,0),U294,1),"")</f>
        <v>G</v>
      </c>
      <c r="U294" s="3">
        <v>106</v>
      </c>
      <c r="V294" s="3" t="str">
        <f>IFERROR(MID(VLOOKUP($B294,Seqs!$A:$B,2,0),W294,1),"")</f>
        <v>K</v>
      </c>
      <c r="W294" s="3">
        <v>141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G</v>
      </c>
      <c r="AC294" s="3">
        <v>149</v>
      </c>
      <c r="AD294" s="3" t="str">
        <f>IFERROR(MID(VLOOKUP($B294,Seqs!$A:$B,2,0),AE294,1),"")</f>
        <v>V</v>
      </c>
      <c r="AE294" s="3">
        <v>173</v>
      </c>
      <c r="AF294" s="3" t="str">
        <f>IFERROR(MID(VLOOKUP($B294,Seqs!$A:$B,2,0),AG294,1),"")</f>
        <v>C</v>
      </c>
      <c r="AG294" s="3">
        <v>187</v>
      </c>
      <c r="AH294" s="3" t="str">
        <f>IFERROR(MID(VLOOKUP($B294,Seqs!$A:$B,2,0),AI294,1),"")</f>
        <v>I</v>
      </c>
      <c r="AI294" s="3">
        <v>189</v>
      </c>
      <c r="AJ294" s="3" t="str">
        <f>IFERROR(MID(VLOOKUP($B294,Seqs!$A:$B,2,0),AK294,1),"")</f>
        <v>N</v>
      </c>
      <c r="AK294" s="3">
        <v>199</v>
      </c>
      <c r="AL294" s="3" t="str">
        <f>IFERROR(MID(VLOOKUP($B294,Seqs!$A:$B,2,0),AM294,1),"")</f>
        <v>Q</v>
      </c>
      <c r="AM294" s="3">
        <v>237</v>
      </c>
      <c r="AN294" s="3" t="str">
        <f>IFERROR(MID(VLOOKUP($B294,Seqs!$A:$B,2,0),AO294,1),"")</f>
        <v>S</v>
      </c>
      <c r="AO294" s="3">
        <v>240</v>
      </c>
      <c r="AP294" s="3" t="str">
        <f>IFERROR(MID(VLOOKUP($B294,Seqs!$A:$B,2,0),AQ294,1),"")</f>
        <v>H</v>
      </c>
      <c r="AQ294" s="3">
        <v>278</v>
      </c>
      <c r="AR294" s="3" t="str">
        <f>IFERROR(MID(VLOOKUP($B294,Seqs!$A:$B,2,0),AS294,1),"")</f>
        <v>T</v>
      </c>
      <c r="AS294" s="3">
        <v>289</v>
      </c>
      <c r="AT294" s="3" t="str">
        <f>IFERROR(MID(VLOOKUP($B294,Seqs!$A:$B,2,0),AU294,1),"")</f>
        <v>M</v>
      </c>
      <c r="AU294" s="3">
        <v>309</v>
      </c>
      <c r="AV294" s="3" t="str">
        <f>IFERROR(MID(VLOOKUP($B294,Seqs!$A:$B,2,0),AW294,1),"")</f>
        <v>N</v>
      </c>
      <c r="AW294" s="3">
        <v>310</v>
      </c>
      <c r="AX294" s="3" t="str">
        <f>IFERROR(MID(VLOOKUP($B294,Seqs!$A:$B,2,0),AY294,1),"")</f>
        <v>R</v>
      </c>
      <c r="AY294" s="3">
        <v>314</v>
      </c>
      <c r="AZ294" s="77" t="str">
        <f>VLOOKUP(B294,Classification!A:D,2,0)</f>
        <v>A</v>
      </c>
      <c r="BA294" s="94" t="str">
        <f>VLOOKUP(B294,Classification!A:D,4,0)</f>
        <v>Opsins</v>
      </c>
      <c r="BB294" s="27" t="b">
        <f t="shared" ref="BB294" si="2013">AND(E294&lt;G294,OR(G294&lt;I294,I294="-"),OR(I294&lt;K294,I294="-"),OR(K294&lt;M294,K294="-"),M294&lt;O294,OR(O294&lt;Q294,Q294="-"),OR(Q294&lt;S294,Q294="-"),OR(S294&lt;U294,S294="-"),U294&lt;W294,OR(W294&lt;Y294,Y294="-"),OR(Y294&lt;AA294,Y294="-"),OR(AA294&lt;AC294,AA294="-"),AC294&lt;AE294,OR(AE294&lt;AG294,AG294="-"),OR(AG294&lt;AI294,AG294="-"),OR(AI294&lt;AK294,AI294="-"),AK294&lt;AM294,AM294&lt;AO294,AO294&lt;AQ294,AQ294&lt;AS294,AS294&lt;AU294,OR(AU294&lt;AW294,AW294="-"),OR(AW294&lt;AY294,AW294="-"))</f>
        <v>1</v>
      </c>
      <c r="BC294" s="23">
        <f t="shared" ref="BC294" si="2014">_xlfn.AGGREGATE(9,6,CH294:CS294)-_xlfn.AGGREGATE(9,6,BV294:CG294)+12</f>
        <v>239</v>
      </c>
      <c r="BD294" s="2" t="s">
        <v>23</v>
      </c>
      <c r="BE294" s="3" t="s">
        <v>1291</v>
      </c>
      <c r="BF294" s="118">
        <v>3.12</v>
      </c>
      <c r="BG294" s="49" t="s">
        <v>1</v>
      </c>
      <c r="BH294" s="49" t="s">
        <v>1</v>
      </c>
      <c r="BI294" s="1"/>
      <c r="BJ294" s="70" t="s">
        <v>1287</v>
      </c>
      <c r="BK294" s="57" t="s">
        <v>1287</v>
      </c>
      <c r="BL294" s="57" t="s">
        <v>1287</v>
      </c>
      <c r="BM294" s="57" t="s">
        <v>1287</v>
      </c>
      <c r="BN294" s="57" t="s">
        <v>1287</v>
      </c>
      <c r="BO294" s="57" t="s">
        <v>1287</v>
      </c>
      <c r="BP294" s="57" t="s">
        <v>1287</v>
      </c>
      <c r="BQ294" s="57" t="s">
        <v>1287</v>
      </c>
      <c r="BR294" s="57" t="s">
        <v>1287</v>
      </c>
      <c r="BS294" s="57" t="s">
        <v>1287</v>
      </c>
      <c r="BT294" s="57" t="s">
        <v>1287</v>
      </c>
      <c r="BU294" s="57" t="s">
        <v>1287</v>
      </c>
      <c r="BV294" s="70">
        <f t="shared" ref="BV294" si="2015">E294</f>
        <v>33</v>
      </c>
      <c r="BW294" s="71">
        <f t="shared" ref="BW294" si="2016">I294</f>
        <v>66</v>
      </c>
      <c r="BX294" s="72">
        <f t="shared" ref="BX294" si="2017">M294</f>
        <v>73</v>
      </c>
      <c r="BY294" s="71">
        <f t="shared" ref="BY294" si="2018">Q294</f>
        <v>102</v>
      </c>
      <c r="BZ294" s="72">
        <f t="shared" ref="BZ294" si="2019">U294</f>
        <v>106</v>
      </c>
      <c r="CA294" s="71" t="str">
        <f t="shared" ref="CA294" si="2020">Y294</f>
        <v>-</v>
      </c>
      <c r="CB294" s="72">
        <f t="shared" ref="CB294" si="2021">AC294</f>
        <v>149</v>
      </c>
      <c r="CC294" s="71">
        <f t="shared" ref="CC294" si="2022">AG294</f>
        <v>187</v>
      </c>
      <c r="CD294" s="72">
        <f t="shared" ref="CD294" si="2023">AK294</f>
        <v>199</v>
      </c>
      <c r="CE294" s="71">
        <f t="shared" ref="CE294" si="2024">AO294</f>
        <v>240</v>
      </c>
      <c r="CF294" s="72">
        <f t="shared" ref="CF294" si="2025">AS294</f>
        <v>289</v>
      </c>
      <c r="CG294" s="71">
        <f t="shared" ref="CG294" si="2026">AW294</f>
        <v>310</v>
      </c>
      <c r="CH294" s="70">
        <f t="shared" ref="CH294" si="2027">G294</f>
        <v>65</v>
      </c>
      <c r="CI294" s="71">
        <f t="shared" ref="CI294" si="2028">K294</f>
        <v>69</v>
      </c>
      <c r="CJ294" s="72">
        <f t="shared" ref="CJ294" si="2029">O294</f>
        <v>101</v>
      </c>
      <c r="CK294" s="72">
        <f t="shared" ref="CK294" si="2030">S294</f>
        <v>105</v>
      </c>
      <c r="CL294" s="72">
        <f t="shared" ref="CL294" si="2031">W294</f>
        <v>141</v>
      </c>
      <c r="CM294" s="72" t="str">
        <f t="shared" ref="CM294" si="2032">AA294</f>
        <v>-</v>
      </c>
      <c r="CN294" s="72">
        <f t="shared" ref="CN294" si="2033">AE294</f>
        <v>173</v>
      </c>
      <c r="CO294" s="72">
        <f t="shared" ref="CO294" si="2034">AI294</f>
        <v>189</v>
      </c>
      <c r="CP294" s="72">
        <f t="shared" ref="CP294" si="2035">AM294</f>
        <v>237</v>
      </c>
      <c r="CQ294" s="72">
        <f t="shared" ref="CQ294" si="2036">AQ294</f>
        <v>278</v>
      </c>
      <c r="CR294" s="72">
        <f t="shared" ref="CR294" si="2037">AU294</f>
        <v>309</v>
      </c>
      <c r="CS294" s="72">
        <f t="shared" ref="CS294" si="2038">AY294</f>
        <v>314</v>
      </c>
      <c r="CT294" s="23">
        <f t="shared" ref="CT294" si="2039">M294-K294</f>
        <v>4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29" s="12" customFormat="1" x14ac:dyDescent="0.2">
      <c r="A295" s="9" t="str">
        <f t="shared" ref="A295" si="2040">CONCATENATE(B295,"_",C295)</f>
        <v>opsd_bovin_6QNO</v>
      </c>
      <c r="B295" s="9" t="s">
        <v>919</v>
      </c>
      <c r="C295" s="9" t="s">
        <v>1585</v>
      </c>
      <c r="D295" s="9" t="str">
        <f>IFERROR(MID(VLOOKUP($B295,Seqs!$A:$B,2,0),E295,1),"")</f>
        <v>E</v>
      </c>
      <c r="E295" s="9">
        <v>33</v>
      </c>
      <c r="F295" s="9" t="str">
        <f>IFERROR(MID(VLOOKUP($B295,Seqs!$A:$B,2,0),G295,1),"")</f>
        <v>H</v>
      </c>
      <c r="G295" s="9">
        <v>65</v>
      </c>
      <c r="H295" s="9" t="str">
        <f>IFERROR(MID(VLOOKUP($B295,Seqs!$A:$B,2,0),I295,1),"")</f>
        <v>K</v>
      </c>
      <c r="I295" s="109">
        <v>66</v>
      </c>
      <c r="J295" s="9" t="str">
        <f>IFERROR(MID(VLOOKUP($B295,Seqs!$A:$B,2,0),K295,1),"")</f>
        <v>R</v>
      </c>
      <c r="K295" s="109">
        <v>69</v>
      </c>
      <c r="L295" s="9" t="str">
        <f>IFERROR(MID(VLOOKUP($B295,Seqs!$A:$B,2,0),M295,1),"")</f>
        <v>N</v>
      </c>
      <c r="M295" s="9">
        <v>73</v>
      </c>
      <c r="N295" s="9" t="str">
        <f>IFERROR(MID(VLOOKUP($B295,Seqs!$A:$B,2,0),O295,1),"")</f>
        <v>H</v>
      </c>
      <c r="O295" s="9">
        <v>100</v>
      </c>
      <c r="P295" s="9" t="str">
        <f>IFERROR(MID(VLOOKUP($B295,Seqs!$A:$B,2,0),Q295,1),"")</f>
        <v>Y</v>
      </c>
      <c r="Q295" s="9">
        <v>102</v>
      </c>
      <c r="R295" s="9" t="str">
        <f>IFERROR(MID(VLOOKUP($B295,Seqs!$A:$B,2,0),S295,1),"")</f>
        <v>F</v>
      </c>
      <c r="S295" s="9">
        <v>105</v>
      </c>
      <c r="T295" s="9" t="str">
        <f>IFERROR(MID(VLOOKUP($B295,Seqs!$A:$B,2,0),U295,1),"")</f>
        <v>G</v>
      </c>
      <c r="U295" s="9">
        <v>106</v>
      </c>
      <c r="V295" s="9" t="str">
        <f>IFERROR(MID(VLOOKUP($B295,Seqs!$A:$B,2,0),W295,1),"")</f>
        <v>K</v>
      </c>
      <c r="W295" s="9">
        <v>141</v>
      </c>
      <c r="X295" s="9" t="str">
        <f>IFERROR(MID(VLOOKUP($B295,Seqs!$A:$B,2,0),Y295,1),"")</f>
        <v/>
      </c>
      <c r="Y295" s="9" t="s">
        <v>23</v>
      </c>
      <c r="Z295" s="9" t="str">
        <f>IFERROR(MID(VLOOKUP($B295,Seqs!$A:$B,2,0),AA295,1),"")</f>
        <v/>
      </c>
      <c r="AA295" s="9" t="s">
        <v>23</v>
      </c>
      <c r="AB295" s="9" t="str">
        <f>IFERROR(MID(VLOOKUP($B295,Seqs!$A:$B,2,0),AC295,1),"")</f>
        <v>E</v>
      </c>
      <c r="AC295" s="9">
        <v>150</v>
      </c>
      <c r="AD295" s="9" t="str">
        <f>IFERROR(MID(VLOOKUP($B295,Seqs!$A:$B,2,0),AE295,1),"")</f>
        <v>V</v>
      </c>
      <c r="AE295" s="9">
        <v>173</v>
      </c>
      <c r="AF295" s="9" t="str">
        <f>IFERROR(MID(VLOOKUP($B295,Seqs!$A:$B,2,0),AG295,1),"")</f>
        <v>C</v>
      </c>
      <c r="AG295" s="9">
        <v>187</v>
      </c>
      <c r="AH295" s="9" t="str">
        <f>IFERROR(MID(VLOOKUP($B295,Seqs!$A:$B,2,0),AI295,1),"")</f>
        <v>I</v>
      </c>
      <c r="AI295" s="9">
        <v>189</v>
      </c>
      <c r="AJ295" s="9" t="str">
        <f>IFERROR(MID(VLOOKUP($B295,Seqs!$A:$B,2,0),AK295,1),"")</f>
        <v>N</v>
      </c>
      <c r="AK295" s="9">
        <v>200</v>
      </c>
      <c r="AL295" s="9" t="str">
        <f>IFERROR(MID(VLOOKUP($B295,Seqs!$A:$B,2,0),AM295,1),"")</f>
        <v>Q</v>
      </c>
      <c r="AM295" s="9">
        <v>237</v>
      </c>
      <c r="AN295" s="9" t="str">
        <f>IFERROR(MID(VLOOKUP($B295,Seqs!$A:$B,2,0),AO295,1),"")</f>
        <v>S</v>
      </c>
      <c r="AO295" s="9">
        <v>240</v>
      </c>
      <c r="AP295" s="9" t="str">
        <f>IFERROR(MID(VLOOKUP($B295,Seqs!$A:$B,2,0),AQ295,1),"")</f>
        <v>H</v>
      </c>
      <c r="AQ295" s="9">
        <v>278</v>
      </c>
      <c r="AR295" s="9" t="str">
        <f>IFERROR(MID(VLOOKUP($B295,Seqs!$A:$B,2,0),AS295,1),"")</f>
        <v>G</v>
      </c>
      <c r="AS295" s="9">
        <v>284</v>
      </c>
      <c r="AT295" s="9" t="str">
        <f>IFERROR(MID(VLOOKUP($B295,Seqs!$A:$B,2,0),AU295,1),"")</f>
        <v>M</v>
      </c>
      <c r="AU295" s="9">
        <v>309</v>
      </c>
      <c r="AV295" s="9" t="str">
        <f>IFERROR(MID(VLOOKUP($B295,Seqs!$A:$B,2,0),AW295,1),"")</f>
        <v>N</v>
      </c>
      <c r="AW295" s="9">
        <v>310</v>
      </c>
      <c r="AX295" s="9" t="str">
        <f>IFERROR(MID(VLOOKUP($B295,Seqs!$A:$B,2,0),AY295,1),"")</f>
        <v>C</v>
      </c>
      <c r="AY295" s="9">
        <v>322</v>
      </c>
      <c r="AZ295" s="110" t="str">
        <f>VLOOKUP(B295,Classification!A:D,2,0)</f>
        <v>A</v>
      </c>
      <c r="BA295" s="98" t="str">
        <f>VLOOKUP(B295,Classification!A:D,4,0)</f>
        <v>Opsins</v>
      </c>
      <c r="BB295" s="36" t="b">
        <f t="shared" ref="BB295" si="2041">AND(E295&lt;G295,OR(G295&lt;I295,I295="-"),OR(I295&lt;K295,I295="-"),OR(K295&lt;M295,K295="-"),M295&lt;O295,OR(O295&lt;Q295,Q295="-"),OR(Q295&lt;S295,Q295="-"),OR(S295&lt;U295,S295="-"),U295&lt;W295,OR(W295&lt;Y295,Y295="-"),OR(Y295&lt;AA295,Y295="-"),OR(AA295&lt;AC295,AA295="-"),AC295&lt;AE295,OR(AE295&lt;AG295,AG295="-"),OR(AG295&lt;AI295,AG295="-"),OR(AI295&lt;AK295,AI295="-"),AK295&lt;AM295,AM295&lt;AO295,AO295&lt;AQ295,AQ295&lt;AS295,AS295&lt;AU295,OR(AU295&lt;AW295,AW295="-"),OR(AW295&lt;AY295,AW295="-"))</f>
        <v>1</v>
      </c>
      <c r="BC295" s="109">
        <f t="shared" ref="BC295" si="2042">_xlfn.AGGREGATE(9,6,CH295:CS295)-_xlfn.AGGREGATE(9,6,BV295:CG295)+12</f>
        <v>249</v>
      </c>
      <c r="BD295" s="40" t="s">
        <v>23</v>
      </c>
      <c r="BE295" s="9" t="s">
        <v>1291</v>
      </c>
      <c r="BF295" s="119">
        <v>4.38</v>
      </c>
      <c r="BG295" s="51" t="s">
        <v>1422</v>
      </c>
      <c r="BH295" s="51" t="s">
        <v>1422</v>
      </c>
      <c r="BJ295" s="111" t="s">
        <v>1287</v>
      </c>
      <c r="BK295" s="112" t="s">
        <v>1287</v>
      </c>
      <c r="BL295" s="112" t="s">
        <v>1287</v>
      </c>
      <c r="BM295" s="112" t="s">
        <v>1287</v>
      </c>
      <c r="BN295" s="112" t="s">
        <v>1287</v>
      </c>
      <c r="BO295" s="112" t="s">
        <v>1287</v>
      </c>
      <c r="BP295" s="112" t="s">
        <v>1287</v>
      </c>
      <c r="BQ295" s="112" t="s">
        <v>1287</v>
      </c>
      <c r="BR295" s="112" t="s">
        <v>1287</v>
      </c>
      <c r="BS295" s="112" t="s">
        <v>1287</v>
      </c>
      <c r="BT295" s="112" t="s">
        <v>1287</v>
      </c>
      <c r="BU295" s="112" t="s">
        <v>1287</v>
      </c>
      <c r="BV295" s="111">
        <f t="shared" ref="BV295" si="2043">E295</f>
        <v>33</v>
      </c>
      <c r="BW295" s="113">
        <f t="shared" ref="BW295" si="2044">I295</f>
        <v>66</v>
      </c>
      <c r="BX295" s="114">
        <f t="shared" ref="BX295" si="2045">M295</f>
        <v>73</v>
      </c>
      <c r="BY295" s="113">
        <f t="shared" ref="BY295" si="2046">Q295</f>
        <v>102</v>
      </c>
      <c r="BZ295" s="114">
        <f t="shared" ref="BZ295" si="2047">U295</f>
        <v>106</v>
      </c>
      <c r="CA295" s="113" t="str">
        <f t="shared" ref="CA295" si="2048">Y295</f>
        <v>-</v>
      </c>
      <c r="CB295" s="114">
        <f t="shared" ref="CB295" si="2049">AC295</f>
        <v>150</v>
      </c>
      <c r="CC295" s="113">
        <f t="shared" ref="CC295" si="2050">AG295</f>
        <v>187</v>
      </c>
      <c r="CD295" s="114">
        <f t="shared" ref="CD295" si="2051">AK295</f>
        <v>200</v>
      </c>
      <c r="CE295" s="113">
        <f t="shared" ref="CE295" si="2052">AO295</f>
        <v>240</v>
      </c>
      <c r="CF295" s="114">
        <f t="shared" ref="CF295" si="2053">AS295</f>
        <v>284</v>
      </c>
      <c r="CG295" s="113">
        <f t="shared" ref="CG295" si="2054">AW295</f>
        <v>310</v>
      </c>
      <c r="CH295" s="111">
        <f t="shared" ref="CH295" si="2055">G295</f>
        <v>65</v>
      </c>
      <c r="CI295" s="113">
        <f t="shared" ref="CI295" si="2056">K295</f>
        <v>69</v>
      </c>
      <c r="CJ295" s="114">
        <f t="shared" ref="CJ295" si="2057">O295</f>
        <v>100</v>
      </c>
      <c r="CK295" s="114">
        <f t="shared" ref="CK295" si="2058">S295</f>
        <v>105</v>
      </c>
      <c r="CL295" s="114">
        <f t="shared" ref="CL295" si="2059">W295</f>
        <v>141</v>
      </c>
      <c r="CM295" s="114" t="str">
        <f t="shared" ref="CM295" si="2060">AA295</f>
        <v>-</v>
      </c>
      <c r="CN295" s="114">
        <f t="shared" ref="CN295" si="2061">AE295</f>
        <v>173</v>
      </c>
      <c r="CO295" s="114">
        <f t="shared" ref="CO295" si="2062">AI295</f>
        <v>189</v>
      </c>
      <c r="CP295" s="114">
        <f t="shared" ref="CP295" si="2063">AM295</f>
        <v>237</v>
      </c>
      <c r="CQ295" s="114">
        <f t="shared" ref="CQ295" si="2064">AQ295</f>
        <v>278</v>
      </c>
      <c r="CR295" s="114">
        <f t="shared" ref="CR295" si="2065">AU295</f>
        <v>309</v>
      </c>
      <c r="CS295" s="114">
        <f t="shared" ref="CS295" si="2066">AY295</f>
        <v>322</v>
      </c>
      <c r="CT295" s="109">
        <f t="shared" ref="CT295" si="2067">M295-K295</f>
        <v>4</v>
      </c>
    </row>
    <row r="296" spans="1:1029" s="12" customFormat="1" x14ac:dyDescent="0.2">
      <c r="A296" s="9" t="str">
        <f t="shared" ref="A296" si="2068">CONCATENATE(B296,"_",C296)</f>
        <v>opsd_bovin_6OY9</v>
      </c>
      <c r="B296" s="9" t="s">
        <v>919</v>
      </c>
      <c r="C296" s="9" t="s">
        <v>1587</v>
      </c>
      <c r="D296" s="9" t="str">
        <f>IFERROR(MID(VLOOKUP($B296,Seqs!$A:$B,2,0),E296,1),"")</f>
        <v>E</v>
      </c>
      <c r="E296" s="9">
        <v>33</v>
      </c>
      <c r="F296" s="9" t="str">
        <f>IFERROR(MID(VLOOKUP($B296,Seqs!$A:$B,2,0),G296,1),"")</f>
        <v>Q</v>
      </c>
      <c r="G296" s="9">
        <v>64</v>
      </c>
      <c r="H296" s="9" t="str">
        <f>IFERROR(MID(VLOOKUP($B296,Seqs!$A:$B,2,0),I296,1),"")</f>
        <v/>
      </c>
      <c r="I296" s="109" t="s">
        <v>23</v>
      </c>
      <c r="J296" s="9" t="str">
        <f>IFERROR(MID(VLOOKUP($B296,Seqs!$A:$B,2,0),K296,1),"")</f>
        <v/>
      </c>
      <c r="K296" s="109" t="s">
        <v>23</v>
      </c>
      <c r="L296" s="9" t="str">
        <f>IFERROR(MID(VLOOKUP($B296,Seqs!$A:$B,2,0),M296,1),"")</f>
        <v>N</v>
      </c>
      <c r="M296" s="9">
        <v>73</v>
      </c>
      <c r="N296" s="9" t="str">
        <f>IFERROR(MID(VLOOKUP($B296,Seqs!$A:$B,2,0),O296,1),"")</f>
        <v>H</v>
      </c>
      <c r="O296" s="9">
        <v>100</v>
      </c>
      <c r="P296" s="9" t="str">
        <f>IFERROR(MID(VLOOKUP($B296,Seqs!$A:$B,2,0),Q296,1),"")</f>
        <v>Y</v>
      </c>
      <c r="Q296" s="9">
        <v>102</v>
      </c>
      <c r="R296" s="9" t="str">
        <f>IFERROR(MID(VLOOKUP($B296,Seqs!$A:$B,2,0),S296,1),"")</f>
        <v>F</v>
      </c>
      <c r="S296" s="9">
        <v>105</v>
      </c>
      <c r="T296" s="9" t="str">
        <f>IFERROR(MID(VLOOKUP($B296,Seqs!$A:$B,2,0),U296,1),"")</f>
        <v>G</v>
      </c>
      <c r="U296" s="9">
        <v>106</v>
      </c>
      <c r="V296" s="9" t="str">
        <f>IFERROR(MID(VLOOKUP($B296,Seqs!$A:$B,2,0),W296,1),"")</f>
        <v>C</v>
      </c>
      <c r="W296" s="9">
        <v>140</v>
      </c>
      <c r="X296" s="9" t="str">
        <f>IFERROR(MID(VLOOKUP($B296,Seqs!$A:$B,2,0),Y296,1),"")</f>
        <v/>
      </c>
      <c r="Y296" s="9" t="s">
        <v>23</v>
      </c>
      <c r="Z296" s="9" t="str">
        <f>IFERROR(MID(VLOOKUP($B296,Seqs!$A:$B,2,0),AA296,1),"")</f>
        <v/>
      </c>
      <c r="AA296" s="9" t="s">
        <v>23</v>
      </c>
      <c r="AB296" s="9" t="str">
        <f>IFERROR(MID(VLOOKUP($B296,Seqs!$A:$B,2,0),AC296,1),"")</f>
        <v>E</v>
      </c>
      <c r="AC296" s="9">
        <v>150</v>
      </c>
      <c r="AD296" s="9" t="str">
        <f>IFERROR(MID(VLOOKUP($B296,Seqs!$A:$B,2,0),AE296,1),"")</f>
        <v>L</v>
      </c>
      <c r="AE296" s="9">
        <v>172</v>
      </c>
      <c r="AF296" s="9" t="str">
        <f>IFERROR(MID(VLOOKUP($B296,Seqs!$A:$B,2,0),AG296,1),"")</f>
        <v>C</v>
      </c>
      <c r="AG296" s="9">
        <v>187</v>
      </c>
      <c r="AH296" s="9" t="str">
        <f>IFERROR(MID(VLOOKUP($B296,Seqs!$A:$B,2,0),AI296,1),"")</f>
        <v>I</v>
      </c>
      <c r="AI296" s="9">
        <v>189</v>
      </c>
      <c r="AJ296" s="9" t="str">
        <f>IFERROR(MID(VLOOKUP($B296,Seqs!$A:$B,2,0),AK296,1),"")</f>
        <v>N</v>
      </c>
      <c r="AK296" s="9">
        <v>199</v>
      </c>
      <c r="AL296" s="9" t="str">
        <f>IFERROR(MID(VLOOKUP($B296,Seqs!$A:$B,2,0),AM296,1),"")</f>
        <v>Q</v>
      </c>
      <c r="AM296" s="9">
        <v>236</v>
      </c>
      <c r="AN296" s="9" t="str">
        <f>IFERROR(MID(VLOOKUP($B296,Seqs!$A:$B,2,0),AO296,1),"")</f>
        <v>S</v>
      </c>
      <c r="AO296" s="9">
        <v>240</v>
      </c>
      <c r="AP296" s="9" t="str">
        <f>IFERROR(MID(VLOOKUP($B296,Seqs!$A:$B,2,0),AQ296,1),"")</f>
        <v>H</v>
      </c>
      <c r="AQ296" s="9">
        <v>278</v>
      </c>
      <c r="AR296" s="9" t="str">
        <f>IFERROR(MID(VLOOKUP($B296,Seqs!$A:$B,2,0),AS296,1),"")</f>
        <v>G</v>
      </c>
      <c r="AS296" s="9">
        <v>284</v>
      </c>
      <c r="AT296" s="9" t="str">
        <f>IFERROR(MID(VLOOKUP($B296,Seqs!$A:$B,2,0),AU296,1),"")</f>
        <v>M</v>
      </c>
      <c r="AU296" s="9">
        <v>309</v>
      </c>
      <c r="AV296" s="9" t="str">
        <f>IFERROR(MID(VLOOKUP($B296,Seqs!$A:$B,2,0),AW296,1),"")</f>
        <v>F</v>
      </c>
      <c r="AW296" s="9">
        <v>313</v>
      </c>
      <c r="AX296" s="9" t="str">
        <f>IFERROR(MID(VLOOKUP($B296,Seqs!$A:$B,2,0),AY296,1),"")</f>
        <v>C</v>
      </c>
      <c r="AY296" s="9">
        <v>322</v>
      </c>
      <c r="AZ296" s="110" t="str">
        <f>VLOOKUP(B296,Classification!A:D,2,0)</f>
        <v>A</v>
      </c>
      <c r="BA296" s="98" t="str">
        <f>VLOOKUP(B296,Classification!A:D,4,0)</f>
        <v>Opsins</v>
      </c>
      <c r="BB296" s="36" t="b">
        <f t="shared" ref="BB296" si="2069">AND(E296&lt;G296,OR(G296&lt;I296,I296="-"),OR(I296&lt;K296,I296="-"),OR(K296&lt;M296,K296="-"),M296&lt;O296,OR(O296&lt;Q296,Q296="-"),OR(Q296&lt;S296,Q296="-"),OR(S296&lt;U296,S296="-"),U296&lt;W296,OR(W296&lt;Y296,Y296="-"),OR(Y296&lt;AA296,Y296="-"),OR(AA296&lt;AC296,AA296="-"),AC296&lt;AE296,OR(AE296&lt;AG296,AG296="-"),OR(AG296&lt;AI296,AG296="-"),OR(AI296&lt;AK296,AI296="-"),AK296&lt;AM296,AM296&lt;AO296,AO296&lt;AQ296,AQ296&lt;AS296,AS296&lt;AU296,OR(AU296&lt;AW296,AW296="-"),OR(AW296&lt;AY296,AW296="-"))</f>
        <v>1</v>
      </c>
      <c r="BC296" s="109">
        <f t="shared" ref="BC296" si="2070">_xlfn.AGGREGATE(9,6,CH296:CS296)-_xlfn.AGGREGATE(9,6,BV296:CG296)+12</f>
        <v>240</v>
      </c>
      <c r="BD296" s="40" t="s">
        <v>23</v>
      </c>
      <c r="BE296" s="9" t="s">
        <v>1291</v>
      </c>
      <c r="BF296" s="119">
        <v>3.9</v>
      </c>
      <c r="BG296" s="51" t="s">
        <v>1422</v>
      </c>
      <c r="BH296" s="51" t="s">
        <v>1422</v>
      </c>
      <c r="BJ296" s="111" t="s">
        <v>1287</v>
      </c>
      <c r="BK296" s="112" t="s">
        <v>1287</v>
      </c>
      <c r="BL296" s="112" t="s">
        <v>1287</v>
      </c>
      <c r="BM296" s="112" t="s">
        <v>1287</v>
      </c>
      <c r="BN296" s="112" t="s">
        <v>1287</v>
      </c>
      <c r="BO296" s="112" t="s">
        <v>1287</v>
      </c>
      <c r="BP296" s="112" t="s">
        <v>1287</v>
      </c>
      <c r="BQ296" s="112" t="s">
        <v>1287</v>
      </c>
      <c r="BR296" s="112" t="s">
        <v>1287</v>
      </c>
      <c r="BS296" s="112" t="s">
        <v>1287</v>
      </c>
      <c r="BT296" s="112" t="s">
        <v>1287</v>
      </c>
      <c r="BU296" s="112" t="s">
        <v>1287</v>
      </c>
      <c r="BV296" s="111">
        <f t="shared" ref="BV296" si="2071">E296</f>
        <v>33</v>
      </c>
      <c r="BW296" s="113" t="str">
        <f t="shared" ref="BW296" si="2072">I296</f>
        <v>-</v>
      </c>
      <c r="BX296" s="114">
        <f t="shared" ref="BX296" si="2073">M296</f>
        <v>73</v>
      </c>
      <c r="BY296" s="113">
        <f t="shared" ref="BY296" si="2074">Q296</f>
        <v>102</v>
      </c>
      <c r="BZ296" s="114">
        <f t="shared" ref="BZ296" si="2075">U296</f>
        <v>106</v>
      </c>
      <c r="CA296" s="113" t="str">
        <f t="shared" ref="CA296" si="2076">Y296</f>
        <v>-</v>
      </c>
      <c r="CB296" s="114">
        <f t="shared" ref="CB296" si="2077">AC296</f>
        <v>150</v>
      </c>
      <c r="CC296" s="113">
        <f t="shared" ref="CC296" si="2078">AG296</f>
        <v>187</v>
      </c>
      <c r="CD296" s="114">
        <f t="shared" ref="CD296" si="2079">AK296</f>
        <v>199</v>
      </c>
      <c r="CE296" s="113">
        <f t="shared" ref="CE296" si="2080">AO296</f>
        <v>240</v>
      </c>
      <c r="CF296" s="114">
        <f t="shared" ref="CF296" si="2081">AS296</f>
        <v>284</v>
      </c>
      <c r="CG296" s="113">
        <f t="shared" ref="CG296" si="2082">AW296</f>
        <v>313</v>
      </c>
      <c r="CH296" s="111">
        <f t="shared" ref="CH296" si="2083">G296</f>
        <v>64</v>
      </c>
      <c r="CI296" s="113" t="str">
        <f t="shared" ref="CI296" si="2084">K296</f>
        <v>-</v>
      </c>
      <c r="CJ296" s="114">
        <f t="shared" ref="CJ296" si="2085">O296</f>
        <v>100</v>
      </c>
      <c r="CK296" s="114">
        <f t="shared" ref="CK296" si="2086">S296</f>
        <v>105</v>
      </c>
      <c r="CL296" s="114">
        <f t="shared" ref="CL296" si="2087">W296</f>
        <v>140</v>
      </c>
      <c r="CM296" s="114" t="str">
        <f t="shared" ref="CM296" si="2088">AA296</f>
        <v>-</v>
      </c>
      <c r="CN296" s="114">
        <f t="shared" ref="CN296" si="2089">AE296</f>
        <v>172</v>
      </c>
      <c r="CO296" s="114">
        <f t="shared" ref="CO296" si="2090">AI296</f>
        <v>189</v>
      </c>
      <c r="CP296" s="114">
        <f t="shared" ref="CP296" si="2091">AM296</f>
        <v>236</v>
      </c>
      <c r="CQ296" s="114">
        <f t="shared" ref="CQ296" si="2092">AQ296</f>
        <v>278</v>
      </c>
      <c r="CR296" s="114">
        <f t="shared" ref="CR296" si="2093">AU296</f>
        <v>309</v>
      </c>
      <c r="CS296" s="114">
        <f t="shared" ref="CS296" si="2094">AY296</f>
        <v>322</v>
      </c>
      <c r="CT296" s="109" t="e">
        <f t="shared" ref="CT296" si="2095">M296-K296</f>
        <v>#VALUE!</v>
      </c>
    </row>
    <row r="297" spans="1:1029" s="12" customFormat="1" x14ac:dyDescent="0.2">
      <c r="A297" s="9" t="str">
        <f t="shared" ref="A297" si="2096">CONCATENATE(B297,"_",C297)</f>
        <v>opsd_bovin_6OYA</v>
      </c>
      <c r="B297" s="9" t="s">
        <v>919</v>
      </c>
      <c r="C297" s="9" t="s">
        <v>1588</v>
      </c>
      <c r="D297" s="9" t="str">
        <f>IFERROR(MID(VLOOKUP($B297,Seqs!$A:$B,2,0),E297,1),"")</f>
        <v>E</v>
      </c>
      <c r="E297" s="9">
        <v>33</v>
      </c>
      <c r="F297" s="9" t="str">
        <f>IFERROR(MID(VLOOKUP($B297,Seqs!$A:$B,2,0),G297,1),"")</f>
        <v>H</v>
      </c>
      <c r="G297" s="9">
        <v>65</v>
      </c>
      <c r="H297" s="9" t="str">
        <f>IFERROR(MID(VLOOKUP($B297,Seqs!$A:$B,2,0),I297,1),"")</f>
        <v>K</v>
      </c>
      <c r="I297" s="109">
        <v>66</v>
      </c>
      <c r="J297" s="9" t="str">
        <f>IFERROR(MID(VLOOKUP($B297,Seqs!$A:$B,2,0),K297,1),"")</f>
        <v>R</v>
      </c>
      <c r="K297" s="109">
        <v>69</v>
      </c>
      <c r="L297" s="9" t="str">
        <f>IFERROR(MID(VLOOKUP($B297,Seqs!$A:$B,2,0),M297,1),"")</f>
        <v>T</v>
      </c>
      <c r="M297" s="9">
        <v>70</v>
      </c>
      <c r="N297" s="9" t="str">
        <f>IFERROR(MID(VLOOKUP($B297,Seqs!$A:$B,2,0),O297,1),"")</f>
        <v>G</v>
      </c>
      <c r="O297" s="9">
        <v>101</v>
      </c>
      <c r="P297" s="9" t="str">
        <f>IFERROR(MID(VLOOKUP($B297,Seqs!$A:$B,2,0),Q297,1),"")</f>
        <v>Y</v>
      </c>
      <c r="Q297" s="9">
        <v>102</v>
      </c>
      <c r="R297" s="9" t="str">
        <f>IFERROR(MID(VLOOKUP($B297,Seqs!$A:$B,2,0),S297,1),"")</f>
        <v>F</v>
      </c>
      <c r="S297" s="9">
        <v>105</v>
      </c>
      <c r="T297" s="9" t="str">
        <f>IFERROR(MID(VLOOKUP($B297,Seqs!$A:$B,2,0),U297,1),"")</f>
        <v>G</v>
      </c>
      <c r="U297" s="9">
        <v>106</v>
      </c>
      <c r="V297" s="9" t="str">
        <f>IFERROR(MID(VLOOKUP($B297,Seqs!$A:$B,2,0),W297,1),"")</f>
        <v>C</v>
      </c>
      <c r="W297" s="9">
        <v>140</v>
      </c>
      <c r="X297" s="9" t="str">
        <f>IFERROR(MID(VLOOKUP($B297,Seqs!$A:$B,2,0),Y297,1),"")</f>
        <v/>
      </c>
      <c r="Y297" s="9" t="s">
        <v>23</v>
      </c>
      <c r="Z297" s="9" t="str">
        <f>IFERROR(MID(VLOOKUP($B297,Seqs!$A:$B,2,0),AA297,1),"")</f>
        <v/>
      </c>
      <c r="AA297" s="9" t="s">
        <v>23</v>
      </c>
      <c r="AB297" s="9" t="str">
        <f>IFERROR(MID(VLOOKUP($B297,Seqs!$A:$B,2,0),AC297,1),"")</f>
        <v>G</v>
      </c>
      <c r="AC297" s="9">
        <v>149</v>
      </c>
      <c r="AD297" s="9" t="str">
        <f>IFERROR(MID(VLOOKUP($B297,Seqs!$A:$B,2,0),AE297,1),"")</f>
        <v>G</v>
      </c>
      <c r="AE297" s="9">
        <v>174</v>
      </c>
      <c r="AF297" s="9" t="str">
        <f>IFERROR(MID(VLOOKUP($B297,Seqs!$A:$B,2,0),AG297,1),"")</f>
        <v>C</v>
      </c>
      <c r="AG297" s="9">
        <v>187</v>
      </c>
      <c r="AH297" s="9" t="str">
        <f>IFERROR(MID(VLOOKUP($B297,Seqs!$A:$B,2,0),AI297,1),"")</f>
        <v>I</v>
      </c>
      <c r="AI297" s="9">
        <v>189</v>
      </c>
      <c r="AJ297" s="9" t="str">
        <f>IFERROR(MID(VLOOKUP($B297,Seqs!$A:$B,2,0),AK297,1),"")</f>
        <v>N</v>
      </c>
      <c r="AK297" s="9">
        <v>199</v>
      </c>
      <c r="AL297" s="9" t="str">
        <f>IFERROR(MID(VLOOKUP($B297,Seqs!$A:$B,2,0),AM297,1),"")</f>
        <v>A</v>
      </c>
      <c r="AM297" s="9">
        <v>235</v>
      </c>
      <c r="AN297" s="9" t="str">
        <f>IFERROR(MID(VLOOKUP($B297,Seqs!$A:$B,2,0),AO297,1),"")</f>
        <v>T</v>
      </c>
      <c r="AO297" s="9">
        <v>243</v>
      </c>
      <c r="AP297" s="9" t="str">
        <f>IFERROR(MID(VLOOKUP($B297,Seqs!$A:$B,2,0),AQ297,1),"")</f>
        <v>H</v>
      </c>
      <c r="AQ297" s="9">
        <v>278</v>
      </c>
      <c r="AR297" s="9" t="str">
        <f>IFERROR(MID(VLOOKUP($B297,Seqs!$A:$B,2,0),AS297,1),"")</f>
        <v>G</v>
      </c>
      <c r="AS297" s="9">
        <v>284</v>
      </c>
      <c r="AT297" s="9" t="str">
        <f>IFERROR(MID(VLOOKUP($B297,Seqs!$A:$B,2,0),AU297,1),"")</f>
        <v>M</v>
      </c>
      <c r="AU297" s="9">
        <v>308</v>
      </c>
      <c r="AV297" s="9" t="str">
        <f>IFERROR(MID(VLOOKUP($B297,Seqs!$A:$B,2,0),AW297,1),"")</f>
        <v>F</v>
      </c>
      <c r="AW297" s="9">
        <v>313</v>
      </c>
      <c r="AX297" s="9" t="str">
        <f>IFERROR(MID(VLOOKUP($B297,Seqs!$A:$B,2,0),AY297,1),"")</f>
        <v>C</v>
      </c>
      <c r="AY297" s="9">
        <v>322</v>
      </c>
      <c r="AZ297" s="110" t="str">
        <f>VLOOKUP(B297,Classification!A:D,2,0)</f>
        <v>A</v>
      </c>
      <c r="BA297" s="98" t="str">
        <f>VLOOKUP(B297,Classification!A:D,4,0)</f>
        <v>Opsins</v>
      </c>
      <c r="BB297" s="36" t="b">
        <f t="shared" ref="BB297" si="2097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" si="2098">_xlfn.AGGREGATE(9,6,CH297:CS297)-_xlfn.AGGREGATE(9,6,BV297:CG297)+12</f>
        <v>246</v>
      </c>
      <c r="BD297" s="40" t="s">
        <v>23</v>
      </c>
      <c r="BE297" s="9" t="s">
        <v>1291</v>
      </c>
      <c r="BF297" s="119">
        <v>3.3</v>
      </c>
      <c r="BG297" s="51" t="s">
        <v>1422</v>
      </c>
      <c r="BH297" s="51" t="s">
        <v>1422</v>
      </c>
      <c r="BJ297" s="111" t="s">
        <v>1287</v>
      </c>
      <c r="BK297" s="112" t="s">
        <v>1287</v>
      </c>
      <c r="BL297" s="112" t="s">
        <v>1287</v>
      </c>
      <c r="BM297" s="112" t="s">
        <v>1287</v>
      </c>
      <c r="BN297" s="112" t="s">
        <v>1287</v>
      </c>
      <c r="BO297" s="112" t="s">
        <v>1287</v>
      </c>
      <c r="BP297" s="112" t="s">
        <v>1287</v>
      </c>
      <c r="BQ297" s="112" t="s">
        <v>1287</v>
      </c>
      <c r="BR297" s="112" t="s">
        <v>1287</v>
      </c>
      <c r="BS297" s="112" t="s">
        <v>1287</v>
      </c>
      <c r="BT297" s="112" t="s">
        <v>1287</v>
      </c>
      <c r="BU297" s="112" t="s">
        <v>1287</v>
      </c>
      <c r="BV297" s="111">
        <f t="shared" ref="BV297" si="2099">E297</f>
        <v>33</v>
      </c>
      <c r="BW297" s="113">
        <f t="shared" ref="BW297" si="2100">I297</f>
        <v>66</v>
      </c>
      <c r="BX297" s="114">
        <f t="shared" ref="BX297" si="2101">M297</f>
        <v>70</v>
      </c>
      <c r="BY297" s="113">
        <f t="shared" ref="BY297" si="2102">Q297</f>
        <v>102</v>
      </c>
      <c r="BZ297" s="114">
        <f t="shared" ref="BZ297" si="2103">U297</f>
        <v>106</v>
      </c>
      <c r="CA297" s="113" t="str">
        <f t="shared" ref="CA297" si="2104">Y297</f>
        <v>-</v>
      </c>
      <c r="CB297" s="114">
        <f t="shared" ref="CB297" si="2105">AC297</f>
        <v>149</v>
      </c>
      <c r="CC297" s="113">
        <f t="shared" ref="CC297" si="2106">AG297</f>
        <v>187</v>
      </c>
      <c r="CD297" s="114">
        <f t="shared" ref="CD297" si="2107">AK297</f>
        <v>199</v>
      </c>
      <c r="CE297" s="113">
        <f t="shared" ref="CE297" si="2108">AO297</f>
        <v>243</v>
      </c>
      <c r="CF297" s="114">
        <f t="shared" ref="CF297" si="2109">AS297</f>
        <v>284</v>
      </c>
      <c r="CG297" s="113">
        <f t="shared" ref="CG297" si="2110">AW297</f>
        <v>313</v>
      </c>
      <c r="CH297" s="111">
        <f t="shared" ref="CH297" si="2111">G297</f>
        <v>65</v>
      </c>
      <c r="CI297" s="113">
        <f t="shared" ref="CI297" si="2112">K297</f>
        <v>69</v>
      </c>
      <c r="CJ297" s="114">
        <f t="shared" ref="CJ297" si="2113">O297</f>
        <v>101</v>
      </c>
      <c r="CK297" s="114">
        <f t="shared" ref="CK297" si="2114">S297</f>
        <v>105</v>
      </c>
      <c r="CL297" s="114">
        <f t="shared" ref="CL297" si="2115">W297</f>
        <v>140</v>
      </c>
      <c r="CM297" s="114" t="str">
        <f t="shared" ref="CM297" si="2116">AA297</f>
        <v>-</v>
      </c>
      <c r="CN297" s="114">
        <f t="shared" ref="CN297" si="2117">AE297</f>
        <v>174</v>
      </c>
      <c r="CO297" s="114">
        <f t="shared" ref="CO297" si="2118">AI297</f>
        <v>189</v>
      </c>
      <c r="CP297" s="114">
        <f t="shared" ref="CP297" si="2119">AM297</f>
        <v>235</v>
      </c>
      <c r="CQ297" s="114">
        <f t="shared" ref="CQ297" si="2120">AQ297</f>
        <v>278</v>
      </c>
      <c r="CR297" s="114">
        <f t="shared" ref="CR297" si="2121">AU297</f>
        <v>308</v>
      </c>
      <c r="CS297" s="114">
        <f t="shared" ref="CS297" si="2122">AY297</f>
        <v>322</v>
      </c>
      <c r="CT297" s="109">
        <f t="shared" ref="CT297" si="2123">M297-K297</f>
        <v>1</v>
      </c>
    </row>
    <row r="298" spans="1:1029" s="12" customFormat="1" x14ac:dyDescent="0.2">
      <c r="A298" s="9" t="str">
        <f t="shared" ref="A298" si="2124">CONCATENATE(B298,"_",C298)</f>
        <v>opsd_bovin_6OFJ</v>
      </c>
      <c r="B298" s="9" t="s">
        <v>919</v>
      </c>
      <c r="C298" s="9" t="s">
        <v>1591</v>
      </c>
      <c r="D298" s="9" t="str">
        <f>IFERROR(MID(VLOOKUP($B298,Seqs!$A:$B,2,0),E298,1),"")</f>
        <v>P</v>
      </c>
      <c r="E298" s="9">
        <v>34</v>
      </c>
      <c r="F298" s="9" t="str">
        <f>IFERROR(MID(VLOOKUP($B298,Seqs!$A:$B,2,0),G298,1),"")</f>
        <v>H</v>
      </c>
      <c r="G298" s="9">
        <v>65</v>
      </c>
      <c r="H298" s="9" t="str">
        <f>IFERROR(MID(VLOOKUP($B298,Seqs!$A:$B,2,0),I298,1),"")</f>
        <v/>
      </c>
      <c r="I298" s="109" t="s">
        <v>23</v>
      </c>
      <c r="J298" s="9" t="str">
        <f>IFERROR(MID(VLOOKUP($B298,Seqs!$A:$B,2,0),K298,1),"")</f>
        <v/>
      </c>
      <c r="K298" s="109" t="s">
        <v>23</v>
      </c>
      <c r="L298" s="9" t="str">
        <f>IFERROR(MID(VLOOKUP($B298,Seqs!$A:$B,2,0),M298,1),"")</f>
        <v>T</v>
      </c>
      <c r="M298" s="9">
        <v>70</v>
      </c>
      <c r="N298" s="9" t="str">
        <f>IFERROR(MID(VLOOKUP($B298,Seqs!$A:$B,2,0),O298,1),"")</f>
        <v>G</v>
      </c>
      <c r="O298" s="9">
        <v>101</v>
      </c>
      <c r="P298" s="9" t="str">
        <f>IFERROR(MID(VLOOKUP($B298,Seqs!$A:$B,2,0),Q298,1),"")</f>
        <v>Y</v>
      </c>
      <c r="Q298" s="9">
        <v>102</v>
      </c>
      <c r="R298" s="9" t="str">
        <f>IFERROR(MID(VLOOKUP($B298,Seqs!$A:$B,2,0),S298,1),"")</f>
        <v>F</v>
      </c>
      <c r="S298" s="9">
        <v>105</v>
      </c>
      <c r="T298" s="9" t="str">
        <f>IFERROR(MID(VLOOKUP($B298,Seqs!$A:$B,2,0),U298,1),"")</f>
        <v>G</v>
      </c>
      <c r="U298" s="9">
        <v>106</v>
      </c>
      <c r="V298" s="9" t="str">
        <f>IFERROR(MID(VLOOKUP($B298,Seqs!$A:$B,2,0),W298,1),"")</f>
        <v>K</v>
      </c>
      <c r="W298" s="9">
        <v>141</v>
      </c>
      <c r="X298" s="9" t="str">
        <f>IFERROR(MID(VLOOKUP($B298,Seqs!$A:$B,2,0),Y298,1),"")</f>
        <v/>
      </c>
      <c r="Y298" s="9" t="s">
        <v>23</v>
      </c>
      <c r="Z298" s="9" t="str">
        <f>IFERROR(MID(VLOOKUP($B298,Seqs!$A:$B,2,0),AA298,1),"")</f>
        <v/>
      </c>
      <c r="AA298" s="9" t="s">
        <v>23</v>
      </c>
      <c r="AB298" s="9" t="str">
        <f>IFERROR(MID(VLOOKUP($B298,Seqs!$A:$B,2,0),AC298,1),"")</f>
        <v>A</v>
      </c>
      <c r="AC298" s="9">
        <v>153</v>
      </c>
      <c r="AD298" s="9" t="str">
        <f>IFERROR(MID(VLOOKUP($B298,Seqs!$A:$B,2,0),AE298,1),"")</f>
        <v>V</v>
      </c>
      <c r="AE298" s="9">
        <v>173</v>
      </c>
      <c r="AF298" s="9" t="str">
        <f>IFERROR(MID(VLOOKUP($B298,Seqs!$A:$B,2,0),AG298,1),"")</f>
        <v>C</v>
      </c>
      <c r="AG298" s="9">
        <v>187</v>
      </c>
      <c r="AH298" s="9" t="str">
        <f>IFERROR(MID(VLOOKUP($B298,Seqs!$A:$B,2,0),AI298,1),"")</f>
        <v>I</v>
      </c>
      <c r="AI298" s="9">
        <v>189</v>
      </c>
      <c r="AJ298" s="9" t="str">
        <f>IFERROR(MID(VLOOKUP($B298,Seqs!$A:$B,2,0),AK298,1),"")</f>
        <v>N</v>
      </c>
      <c r="AK298" s="9">
        <v>200</v>
      </c>
      <c r="AL298" s="9" t="str">
        <f>IFERROR(MID(VLOOKUP($B298,Seqs!$A:$B,2,0),AM298,1),"")</f>
        <v>L</v>
      </c>
      <c r="AM298" s="9">
        <v>226</v>
      </c>
      <c r="AN298" s="9" t="str">
        <f>IFERROR(MID(VLOOKUP($B298,Seqs!$A:$B,2,0),AO298,1),"")</f>
        <v>A</v>
      </c>
      <c r="AO298" s="9">
        <v>241</v>
      </c>
      <c r="AP298" s="9" t="str">
        <f>IFERROR(MID(VLOOKUP($B298,Seqs!$A:$B,2,0),AQ298,1),"")</f>
        <v>H</v>
      </c>
      <c r="AQ298" s="9">
        <v>278</v>
      </c>
      <c r="AR298" s="9" t="str">
        <f>IFERROR(MID(VLOOKUP($B298,Seqs!$A:$B,2,0),AS298,1),"")</f>
        <v>M</v>
      </c>
      <c r="AS298" s="9">
        <v>288</v>
      </c>
      <c r="AT298" s="9" t="str">
        <f>IFERROR(MID(VLOOKUP($B298,Seqs!$A:$B,2,0),AU298,1),"")</f>
        <v>M</v>
      </c>
      <c r="AU298" s="9">
        <v>309</v>
      </c>
      <c r="AV298" s="9" t="str">
        <f>IFERROR(MID(VLOOKUP($B298,Seqs!$A:$B,2,0),AW298,1),"")</f>
        <v>N</v>
      </c>
      <c r="AW298" s="9">
        <v>310</v>
      </c>
      <c r="AX298" s="9" t="str">
        <f>IFERROR(MID(VLOOKUP($B298,Seqs!$A:$B,2,0),AY298,1),"")</f>
        <v>T</v>
      </c>
      <c r="AY298" s="9">
        <v>320</v>
      </c>
      <c r="AZ298" s="110" t="str">
        <f>VLOOKUP(B298,Classification!A:D,2,0)</f>
        <v>A</v>
      </c>
      <c r="BA298" s="98" t="str">
        <f>VLOOKUP(B298,Classification!A:D,4,0)</f>
        <v>Opsins</v>
      </c>
      <c r="BB298" s="36" t="b">
        <f t="shared" ref="BB298" si="2125">AND(E298&lt;G298,OR(G298&lt;I298,I298="-"),OR(I298&lt;K298,I298="-"),OR(K298&lt;M298,K298="-"),M298&lt;O298,OR(O298&lt;Q298,Q298="-"),OR(Q298&lt;S298,Q298="-"),OR(S298&lt;U298,S298="-"),U298&lt;W298,OR(W298&lt;Y298,Y298="-"),OR(Y298&lt;AA298,Y298="-"),OR(AA298&lt;AC298,AA298="-"),AC298&lt;AE298,OR(AE298&lt;AG298,AG298="-"),OR(AG298&lt;AI298,AG298="-"),OR(AI298&lt;AK298,AI298="-"),AK298&lt;AM298,AM298&lt;AO298,AO298&lt;AQ298,AQ298&lt;AS298,AS298&lt;AU298,OR(AU298&lt;AW298,AW298="-"),OR(AW298&lt;AY298,AW298="-"))</f>
        <v>1</v>
      </c>
      <c r="BC298" s="109">
        <f t="shared" ref="BC298" si="2126">_xlfn.AGGREGATE(9,6,CH298:CS298)-_xlfn.AGGREGATE(9,6,BV298:CG298)+12</f>
        <v>228</v>
      </c>
      <c r="BD298" s="40" t="s">
        <v>1429</v>
      </c>
      <c r="BE298" s="9" t="s">
        <v>1428</v>
      </c>
      <c r="BF298" s="119">
        <v>4.5</v>
      </c>
      <c r="BG298" s="51" t="s">
        <v>1</v>
      </c>
      <c r="BH298" s="51" t="s">
        <v>1</v>
      </c>
      <c r="BJ298" s="111" t="s">
        <v>1287</v>
      </c>
      <c r="BK298" s="112" t="s">
        <v>1287</v>
      </c>
      <c r="BL298" s="112" t="s">
        <v>1287</v>
      </c>
      <c r="BM298" s="112" t="s">
        <v>1287</v>
      </c>
      <c r="BN298" s="112" t="s">
        <v>1287</v>
      </c>
      <c r="BO298" s="112" t="s">
        <v>1287</v>
      </c>
      <c r="BP298" s="112" t="s">
        <v>1287</v>
      </c>
      <c r="BQ298" s="112" t="s">
        <v>1287</v>
      </c>
      <c r="BR298" s="112" t="s">
        <v>1287</v>
      </c>
      <c r="BS298" s="112" t="s">
        <v>1287</v>
      </c>
      <c r="BT298" s="112" t="s">
        <v>1287</v>
      </c>
      <c r="BU298" s="112" t="s">
        <v>1287</v>
      </c>
      <c r="BV298" s="111">
        <f t="shared" ref="BV298" si="2127">E298</f>
        <v>34</v>
      </c>
      <c r="BW298" s="113" t="str">
        <f t="shared" ref="BW298" si="2128">I298</f>
        <v>-</v>
      </c>
      <c r="BX298" s="114">
        <f t="shared" ref="BX298" si="2129">M298</f>
        <v>70</v>
      </c>
      <c r="BY298" s="113">
        <f t="shared" ref="BY298" si="2130">Q298</f>
        <v>102</v>
      </c>
      <c r="BZ298" s="114">
        <f t="shared" ref="BZ298" si="2131">U298</f>
        <v>106</v>
      </c>
      <c r="CA298" s="113" t="str">
        <f t="shared" ref="CA298" si="2132">Y298</f>
        <v>-</v>
      </c>
      <c r="CB298" s="114">
        <f t="shared" ref="CB298" si="2133">AC298</f>
        <v>153</v>
      </c>
      <c r="CC298" s="113">
        <f t="shared" ref="CC298" si="2134">AG298</f>
        <v>187</v>
      </c>
      <c r="CD298" s="114">
        <f t="shared" ref="CD298" si="2135">AK298</f>
        <v>200</v>
      </c>
      <c r="CE298" s="113">
        <f t="shared" ref="CE298" si="2136">AO298</f>
        <v>241</v>
      </c>
      <c r="CF298" s="114">
        <f t="shared" ref="CF298" si="2137">AS298</f>
        <v>288</v>
      </c>
      <c r="CG298" s="113">
        <f t="shared" ref="CG298" si="2138">AW298</f>
        <v>310</v>
      </c>
      <c r="CH298" s="111">
        <f t="shared" ref="CH298" si="2139">G298</f>
        <v>65</v>
      </c>
      <c r="CI298" s="113" t="str">
        <f t="shared" ref="CI298" si="2140">K298</f>
        <v>-</v>
      </c>
      <c r="CJ298" s="114">
        <f t="shared" ref="CJ298" si="2141">O298</f>
        <v>101</v>
      </c>
      <c r="CK298" s="114">
        <f t="shared" ref="CK298" si="2142">S298</f>
        <v>105</v>
      </c>
      <c r="CL298" s="114">
        <f t="shared" ref="CL298" si="2143">W298</f>
        <v>141</v>
      </c>
      <c r="CM298" s="114" t="str">
        <f t="shared" ref="CM298" si="2144">AA298</f>
        <v>-</v>
      </c>
      <c r="CN298" s="114">
        <f t="shared" ref="CN298" si="2145">AE298</f>
        <v>173</v>
      </c>
      <c r="CO298" s="114">
        <f t="shared" ref="CO298" si="2146">AI298</f>
        <v>189</v>
      </c>
      <c r="CP298" s="114">
        <f t="shared" ref="CP298" si="2147">AM298</f>
        <v>226</v>
      </c>
      <c r="CQ298" s="114">
        <f t="shared" ref="CQ298" si="2148">AQ298</f>
        <v>278</v>
      </c>
      <c r="CR298" s="114">
        <f t="shared" ref="CR298" si="2149">AU298</f>
        <v>309</v>
      </c>
      <c r="CS298" s="114">
        <f t="shared" ref="CS298" si="2150">AY298</f>
        <v>320</v>
      </c>
      <c r="CT298" s="109" t="e">
        <f t="shared" ref="CT298" si="2151">M298-K298</f>
        <v>#VALUE!</v>
      </c>
    </row>
    <row r="299" spans="1:1029" x14ac:dyDescent="0.2">
      <c r="A299" s="3" t="str">
        <f t="shared" si="1982"/>
        <v>opsd_human__wt</v>
      </c>
      <c r="B299" s="3" t="s">
        <v>339</v>
      </c>
      <c r="C299" s="3" t="s">
        <v>100</v>
      </c>
      <c r="D299" s="3" t="str">
        <f>IFERROR(MID(VLOOKUP($B299,Seqs!$A:$B,2,0),E299,1),"")</f>
        <v>P</v>
      </c>
      <c r="E299" s="3">
        <v>34</v>
      </c>
      <c r="F299" s="3" t="str">
        <f>IFERROR(MID(VLOOKUP($B299,Seqs!$A:$B,2,0),G299,1),"")</f>
        <v>H</v>
      </c>
      <c r="G299" s="3">
        <v>65</v>
      </c>
      <c r="H299" s="3" t="str">
        <f>IFERROR(MID(VLOOKUP($B299,Seqs!$A:$B,2,0),I299,1),"")</f>
        <v>K</v>
      </c>
      <c r="I299" s="23">
        <v>66</v>
      </c>
      <c r="J299" s="3" t="str">
        <f>IFERROR(MID(VLOOKUP($B299,Seqs!$A:$B,2,0),K299,1),"")</f>
        <v>R</v>
      </c>
      <c r="K299" s="23">
        <v>69</v>
      </c>
      <c r="L299" s="3" t="str">
        <f>IFERROR(MID(VLOOKUP($B299,Seqs!$A:$B,2,0),M299,1),"")</f>
        <v>T</v>
      </c>
      <c r="M299" s="3">
        <v>70</v>
      </c>
      <c r="N299" s="3" t="str">
        <f>IFERROR(MID(VLOOKUP($B299,Seqs!$A:$B,2,0),O299,1),"")</f>
        <v>H</v>
      </c>
      <c r="O299" s="3">
        <v>100</v>
      </c>
      <c r="P299" s="3" t="str">
        <f>IFERROR(MID(VLOOKUP($B299,Seqs!$A:$B,2,0),Q299,1),"")</f>
        <v>Y</v>
      </c>
      <c r="Q299" s="3">
        <v>102</v>
      </c>
      <c r="R299" s="3" t="str">
        <f>IFERROR(MID(VLOOKUP($B299,Seqs!$A:$B,2,0),S299,1),"")</f>
        <v>F</v>
      </c>
      <c r="S299" s="3">
        <v>105</v>
      </c>
      <c r="T299" s="3" t="str">
        <f>IFERROR(MID(VLOOKUP($B299,Seqs!$A:$B,2,0),U299,1),"")</f>
        <v>G</v>
      </c>
      <c r="U299" s="3">
        <v>106</v>
      </c>
      <c r="V299" s="3" t="str">
        <f>IFERROR(MID(VLOOKUP($B299,Seqs!$A:$B,2,0),W299,1),"")</f>
        <v>K</v>
      </c>
      <c r="W299" s="3">
        <v>141</v>
      </c>
      <c r="X299" s="3" t="str">
        <f>IFERROR(MID(VLOOKUP($B299,Seqs!$A:$B,2,0),Y299,1),"")</f>
        <v>P</v>
      </c>
      <c r="Y299" s="3">
        <v>142</v>
      </c>
      <c r="Z299" s="3" t="str">
        <f>IFERROR(MID(VLOOKUP($B299,Seqs!$A:$B,2,0),AA299,1),"")</f>
        <v>F</v>
      </c>
      <c r="AA299" s="3">
        <v>148</v>
      </c>
      <c r="AB299" s="3" t="str">
        <f>IFERROR(MID(VLOOKUP($B299,Seqs!$A:$B,2,0),AC299,1),"")</f>
        <v>G</v>
      </c>
      <c r="AC299" s="9">
        <v>149</v>
      </c>
      <c r="AD299" s="3" t="str">
        <f>IFERROR(MID(VLOOKUP($B299,Seqs!$A:$B,2,0),AE299,1),"")</f>
        <v>A</v>
      </c>
      <c r="AE299" s="3">
        <v>173</v>
      </c>
      <c r="AF299" s="3" t="str">
        <f>IFERROR(MID(VLOOKUP($B299,Seqs!$A:$B,2,0),AG299,1),"")</f>
        <v>C</v>
      </c>
      <c r="AG299" s="3">
        <v>187</v>
      </c>
      <c r="AH299" s="3" t="str">
        <f>IFERROR(MID(VLOOKUP($B299,Seqs!$A:$B,2,0),AI299,1),"")</f>
        <v>I</v>
      </c>
      <c r="AI299" s="3">
        <v>189</v>
      </c>
      <c r="AJ299" s="3" t="str">
        <f>IFERROR(MID(VLOOKUP($B299,Seqs!$A:$B,2,0),AK299,1),"")</f>
        <v>N</v>
      </c>
      <c r="AK299" s="3">
        <v>199</v>
      </c>
      <c r="AL299" s="3" t="str">
        <f>IFERROR(MID(VLOOKUP($B299,Seqs!$A:$B,2,0),AM299,1),"")</f>
        <v>Q</v>
      </c>
      <c r="AM299" s="3">
        <v>237</v>
      </c>
      <c r="AN299" s="3" t="str">
        <f>IFERROR(MID(VLOOKUP($B299,Seqs!$A:$B,2,0),AO299,1),"")</f>
        <v>A</v>
      </c>
      <c r="AO299" s="3">
        <v>241</v>
      </c>
      <c r="AP299" s="3" t="str">
        <f>IFERROR(MID(VLOOKUP($B299,Seqs!$A:$B,2,0),AQ299,1),"")</f>
        <v>H</v>
      </c>
      <c r="AQ299" s="3">
        <v>278</v>
      </c>
      <c r="AR299" s="3" t="str">
        <f>IFERROR(MID(VLOOKUP($B299,Seqs!$A:$B,2,0),AS299,1),"")</f>
        <v>G</v>
      </c>
      <c r="AS299" s="3">
        <v>284</v>
      </c>
      <c r="AT299" s="3" t="str">
        <f>IFERROR(MID(VLOOKUP($B299,Seqs!$A:$B,2,0),AU299,1),"")</f>
        <v>M</v>
      </c>
      <c r="AU299" s="3">
        <v>309</v>
      </c>
      <c r="AV299" s="3" t="str">
        <f>IFERROR(MID(VLOOKUP($B299,Seqs!$A:$B,2,0),AW299,1),"")</f>
        <v>N</v>
      </c>
      <c r="AW299" s="3">
        <v>310</v>
      </c>
      <c r="AX299" s="3" t="str">
        <f>IFERROR(MID(VLOOKUP($B299,Seqs!$A:$B,2,0),AY299,1),"")</f>
        <v>C</v>
      </c>
      <c r="AY299" s="3">
        <v>322</v>
      </c>
      <c r="AZ299" s="77" t="str">
        <f>VLOOKUP(B299,Classification!A:D,2,0)</f>
        <v>A</v>
      </c>
      <c r="BA299" s="94" t="str">
        <f>VLOOKUP(B299,Classification!A:D,4,0)</f>
        <v>Opsins</v>
      </c>
      <c r="BB299" s="27" t="b">
        <f t="shared" si="1983"/>
        <v>1</v>
      </c>
      <c r="BC299" s="23">
        <f t="shared" si="1956"/>
        <v>258</v>
      </c>
      <c r="BD299" s="56" t="s">
        <v>23</v>
      </c>
      <c r="BE299" s="3" t="s">
        <v>23</v>
      </c>
      <c r="BF299" s="118" t="s">
        <v>23</v>
      </c>
      <c r="BG299" s="49" t="s">
        <v>1372</v>
      </c>
      <c r="BH299" s="49" t="s">
        <v>1377</v>
      </c>
      <c r="BI299" s="1"/>
      <c r="BJ299" s="70" t="s">
        <v>1287</v>
      </c>
      <c r="BK299" s="57" t="s">
        <v>1287</v>
      </c>
      <c r="BL299" s="57" t="s">
        <v>1287</v>
      </c>
      <c r="BM299" s="57" t="s">
        <v>1287</v>
      </c>
      <c r="BN299" s="57" t="s">
        <v>1287</v>
      </c>
      <c r="BO299" s="57" t="s">
        <v>1287</v>
      </c>
      <c r="BP299" s="57" t="s">
        <v>1287</v>
      </c>
      <c r="BQ299" s="57" t="s">
        <v>1287</v>
      </c>
      <c r="BR299" s="57" t="s">
        <v>1287</v>
      </c>
      <c r="BS299" s="57" t="s">
        <v>1287</v>
      </c>
      <c r="BT299" s="57" t="s">
        <v>1287</v>
      </c>
      <c r="BU299" s="57" t="s">
        <v>1287</v>
      </c>
      <c r="BV299" s="70">
        <f t="shared" si="1957"/>
        <v>34</v>
      </c>
      <c r="BW299" s="71">
        <f t="shared" si="1958"/>
        <v>66</v>
      </c>
      <c r="BX299" s="72">
        <f t="shared" si="1959"/>
        <v>70</v>
      </c>
      <c r="BY299" s="71">
        <f t="shared" si="1960"/>
        <v>102</v>
      </c>
      <c r="BZ299" s="72">
        <f t="shared" si="1961"/>
        <v>106</v>
      </c>
      <c r="CA299" s="71">
        <f t="shared" si="1962"/>
        <v>142</v>
      </c>
      <c r="CB299" s="72">
        <f t="shared" si="1963"/>
        <v>149</v>
      </c>
      <c r="CC299" s="71">
        <f t="shared" si="1964"/>
        <v>187</v>
      </c>
      <c r="CD299" s="72">
        <f t="shared" si="1965"/>
        <v>199</v>
      </c>
      <c r="CE299" s="71">
        <f t="shared" si="1966"/>
        <v>241</v>
      </c>
      <c r="CF299" s="72">
        <f t="shared" si="1967"/>
        <v>284</v>
      </c>
      <c r="CG299" s="71">
        <f t="shared" si="1968"/>
        <v>310</v>
      </c>
      <c r="CH299" s="70">
        <f t="shared" si="1969"/>
        <v>65</v>
      </c>
      <c r="CI299" s="71">
        <f t="shared" si="1970"/>
        <v>69</v>
      </c>
      <c r="CJ299" s="72">
        <f t="shared" si="1971"/>
        <v>100</v>
      </c>
      <c r="CK299" s="72">
        <f t="shared" si="1972"/>
        <v>105</v>
      </c>
      <c r="CL299" s="72">
        <f t="shared" si="1973"/>
        <v>141</v>
      </c>
      <c r="CM299" s="72">
        <f t="shared" si="1974"/>
        <v>148</v>
      </c>
      <c r="CN299" s="72">
        <f t="shared" si="1975"/>
        <v>173</v>
      </c>
      <c r="CO299" s="72">
        <f t="shared" si="1976"/>
        <v>189</v>
      </c>
      <c r="CP299" s="72">
        <f t="shared" si="1977"/>
        <v>237</v>
      </c>
      <c r="CQ299" s="72">
        <f t="shared" si="1978"/>
        <v>278</v>
      </c>
      <c r="CR299" s="72">
        <f t="shared" si="1979"/>
        <v>309</v>
      </c>
      <c r="CS299" s="72">
        <f t="shared" si="1980"/>
        <v>322</v>
      </c>
      <c r="CT299" s="23">
        <f t="shared" si="1981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29" x14ac:dyDescent="0.2">
      <c r="A300" s="3" t="str">
        <f t="shared" si="1982"/>
        <v>opsd_human_4ZWJ</v>
      </c>
      <c r="B300" s="3" t="s">
        <v>339</v>
      </c>
      <c r="C300" s="3" t="s">
        <v>55</v>
      </c>
      <c r="D300" s="3" t="str">
        <f>IFERROR(MID(VLOOKUP($B300,Seqs!$A:$B,2,0),E300,1),"")</f>
        <v>P</v>
      </c>
      <c r="E300" s="3">
        <v>34</v>
      </c>
      <c r="F300" s="3" t="str">
        <f>IFERROR(MID(VLOOKUP($B300,Seqs!$A:$B,2,0),G300,1),"")</f>
        <v>H</v>
      </c>
      <c r="G300" s="3">
        <v>65</v>
      </c>
      <c r="H300" s="3" t="str">
        <f>IFERROR(MID(VLOOKUP($B300,Seqs!$A:$B,2,0),I300,1),"")</f>
        <v>K</v>
      </c>
      <c r="I300" s="23">
        <v>66</v>
      </c>
      <c r="J300" s="3" t="str">
        <f>IFERROR(MID(VLOOKUP($B300,Seqs!$A:$B,2,0),K300,1),"")</f>
        <v>R</v>
      </c>
      <c r="K300" s="23">
        <v>69</v>
      </c>
      <c r="L300" s="3" t="str">
        <f>IFERROR(MID(VLOOKUP($B300,Seqs!$A:$B,2,0),M300,1),"")</f>
        <v>T</v>
      </c>
      <c r="M300" s="3">
        <v>70</v>
      </c>
      <c r="N300" s="3" t="str">
        <f>IFERROR(MID(VLOOKUP($B300,Seqs!$A:$B,2,0),O300,1),"")</f>
        <v>H</v>
      </c>
      <c r="O300" s="3">
        <v>100</v>
      </c>
      <c r="P300" s="3" t="str">
        <f>IFERROR(MID(VLOOKUP($B300,Seqs!$A:$B,2,0),Q300,1),"")</f>
        <v>Y</v>
      </c>
      <c r="Q300" s="3">
        <v>102</v>
      </c>
      <c r="R300" s="3" t="str">
        <f>IFERROR(MID(VLOOKUP($B300,Seqs!$A:$B,2,0),S300,1),"")</f>
        <v>F</v>
      </c>
      <c r="S300" s="3">
        <v>105</v>
      </c>
      <c r="T300" s="3" t="str">
        <f>IFERROR(MID(VLOOKUP($B300,Seqs!$A:$B,2,0),U300,1),"")</f>
        <v>G</v>
      </c>
      <c r="U300" s="3">
        <v>106</v>
      </c>
      <c r="V300" s="3" t="str">
        <f>IFERROR(MID(VLOOKUP($B300,Seqs!$A:$B,2,0),W300,1),"")</f>
        <v>K</v>
      </c>
      <c r="W300" s="3">
        <v>141</v>
      </c>
      <c r="X300" s="3" t="str">
        <f>IFERROR(MID(VLOOKUP($B300,Seqs!$A:$B,2,0),Y300,1),"")</f>
        <v>P</v>
      </c>
      <c r="Y300" s="3">
        <v>142</v>
      </c>
      <c r="Z300" s="3" t="str">
        <f>IFERROR(MID(VLOOKUP($B300,Seqs!$A:$B,2,0),AA300,1),"")</f>
        <v>F</v>
      </c>
      <c r="AA300" s="3">
        <v>148</v>
      </c>
      <c r="AB300" s="3" t="str">
        <f>IFERROR(MID(VLOOKUP($B300,Seqs!$A:$B,2,0),AC300,1),"")</f>
        <v>G</v>
      </c>
      <c r="AC300" s="9">
        <v>149</v>
      </c>
      <c r="AD300" s="3" t="str">
        <f>IFERROR(MID(VLOOKUP($B300,Seqs!$A:$B,2,0),AE300,1),"")</f>
        <v>A</v>
      </c>
      <c r="AE300" s="3">
        <v>173</v>
      </c>
      <c r="AF300" s="3" t="str">
        <f>IFERROR(MID(VLOOKUP($B300,Seqs!$A:$B,2,0),AG300,1),"")</f>
        <v>C</v>
      </c>
      <c r="AG300" s="3">
        <v>187</v>
      </c>
      <c r="AH300" s="3" t="str">
        <f>IFERROR(MID(VLOOKUP($B300,Seqs!$A:$B,2,0),AI300,1),"")</f>
        <v>I</v>
      </c>
      <c r="AI300" s="3">
        <v>189</v>
      </c>
      <c r="AJ300" s="3" t="str">
        <f>IFERROR(MID(VLOOKUP($B300,Seqs!$A:$B,2,0),AK300,1),"")</f>
        <v>N</v>
      </c>
      <c r="AK300" s="3">
        <v>199</v>
      </c>
      <c r="AL300" s="3" t="str">
        <f>IFERROR(MID(VLOOKUP($B300,Seqs!$A:$B,2,0),AM300,1),"")</f>
        <v>Q</v>
      </c>
      <c r="AM300" s="3">
        <v>237</v>
      </c>
      <c r="AN300" s="3" t="str">
        <f>IFERROR(MID(VLOOKUP($B300,Seqs!$A:$B,2,0),AO300,1),"")</f>
        <v>A</v>
      </c>
      <c r="AO300" s="3">
        <v>241</v>
      </c>
      <c r="AP300" s="3" t="str">
        <f>IFERROR(MID(VLOOKUP($B300,Seqs!$A:$B,2,0),AQ300,1),"")</f>
        <v>H</v>
      </c>
      <c r="AQ300" s="3">
        <v>278</v>
      </c>
      <c r="AR300" s="3" t="str">
        <f>IFERROR(MID(VLOOKUP($B300,Seqs!$A:$B,2,0),AS300,1),"")</f>
        <v>G</v>
      </c>
      <c r="AS300" s="3">
        <v>284</v>
      </c>
      <c r="AT300" s="3" t="str">
        <f>IFERROR(MID(VLOOKUP($B300,Seqs!$A:$B,2,0),AU300,1),"")</f>
        <v>M</v>
      </c>
      <c r="AU300" s="3">
        <v>309</v>
      </c>
      <c r="AV300" s="3" t="str">
        <f>IFERROR(MID(VLOOKUP($B300,Seqs!$A:$B,2,0),AW300,1),"")</f>
        <v>N</v>
      </c>
      <c r="AW300" s="3">
        <v>310</v>
      </c>
      <c r="AX300" s="3" t="str">
        <f>IFERROR(MID(VLOOKUP($B300,Seqs!$A:$B,2,0),AY300,1),"")</f>
        <v>C</v>
      </c>
      <c r="AY300" s="3">
        <v>322</v>
      </c>
      <c r="AZ300" s="77" t="str">
        <f>VLOOKUP(B300,Classification!A:D,2,0)</f>
        <v>A</v>
      </c>
      <c r="BA300" s="94" t="str">
        <f>VLOOKUP(B300,Classification!A:D,4,0)</f>
        <v>Opsins</v>
      </c>
      <c r="BB300" s="27" t="b">
        <f t="shared" si="1983"/>
        <v>1</v>
      </c>
      <c r="BC300" s="23">
        <f t="shared" si="1956"/>
        <v>258</v>
      </c>
      <c r="BD300" s="2" t="s">
        <v>1375</v>
      </c>
      <c r="BE300" s="3" t="s">
        <v>1291</v>
      </c>
      <c r="BF300" s="118">
        <v>3.3</v>
      </c>
      <c r="BG300" s="49" t="s">
        <v>1377</v>
      </c>
      <c r="BH300" s="49" t="s">
        <v>1377</v>
      </c>
      <c r="BI300" s="1"/>
      <c r="BJ300" s="70" t="s">
        <v>1287</v>
      </c>
      <c r="BK300" s="57" t="s">
        <v>1287</v>
      </c>
      <c r="BL300" s="57" t="s">
        <v>1287</v>
      </c>
      <c r="BM300" s="57" t="s">
        <v>1287</v>
      </c>
      <c r="BN300" s="57" t="s">
        <v>1287</v>
      </c>
      <c r="BO300" s="57" t="s">
        <v>1287</v>
      </c>
      <c r="BP300" s="57" t="s">
        <v>1287</v>
      </c>
      <c r="BQ300" s="57" t="s">
        <v>1287</v>
      </c>
      <c r="BR300" s="57" t="s">
        <v>1287</v>
      </c>
      <c r="BS300" s="57" t="s">
        <v>1287</v>
      </c>
      <c r="BT300" s="57" t="s">
        <v>1287</v>
      </c>
      <c r="BU300" s="57" t="s">
        <v>1287</v>
      </c>
      <c r="BV300" s="70">
        <f t="shared" si="1957"/>
        <v>34</v>
      </c>
      <c r="BW300" s="71">
        <f t="shared" si="1958"/>
        <v>66</v>
      </c>
      <c r="BX300" s="72">
        <f t="shared" si="1959"/>
        <v>70</v>
      </c>
      <c r="BY300" s="71">
        <f t="shared" si="1960"/>
        <v>102</v>
      </c>
      <c r="BZ300" s="72">
        <f t="shared" si="1961"/>
        <v>106</v>
      </c>
      <c r="CA300" s="71">
        <f t="shared" si="1962"/>
        <v>142</v>
      </c>
      <c r="CB300" s="72">
        <f t="shared" si="1963"/>
        <v>149</v>
      </c>
      <c r="CC300" s="71">
        <f t="shared" si="1964"/>
        <v>187</v>
      </c>
      <c r="CD300" s="72">
        <f t="shared" si="1965"/>
        <v>199</v>
      </c>
      <c r="CE300" s="71">
        <f t="shared" si="1966"/>
        <v>241</v>
      </c>
      <c r="CF300" s="72">
        <f t="shared" si="1967"/>
        <v>284</v>
      </c>
      <c r="CG300" s="71">
        <f t="shared" si="1968"/>
        <v>310</v>
      </c>
      <c r="CH300" s="70">
        <f t="shared" si="1969"/>
        <v>65</v>
      </c>
      <c r="CI300" s="71">
        <f t="shared" si="1970"/>
        <v>69</v>
      </c>
      <c r="CJ300" s="72">
        <f t="shared" si="1971"/>
        <v>100</v>
      </c>
      <c r="CK300" s="72">
        <f t="shared" si="1972"/>
        <v>105</v>
      </c>
      <c r="CL300" s="72">
        <f t="shared" si="1973"/>
        <v>141</v>
      </c>
      <c r="CM300" s="72">
        <f t="shared" si="1974"/>
        <v>148</v>
      </c>
      <c r="CN300" s="72">
        <f t="shared" si="1975"/>
        <v>173</v>
      </c>
      <c r="CO300" s="72">
        <f t="shared" si="1976"/>
        <v>189</v>
      </c>
      <c r="CP300" s="72">
        <f t="shared" si="1977"/>
        <v>237</v>
      </c>
      <c r="CQ300" s="72">
        <f t="shared" si="1978"/>
        <v>278</v>
      </c>
      <c r="CR300" s="72">
        <f t="shared" si="1979"/>
        <v>309</v>
      </c>
      <c r="CS300" s="72">
        <f t="shared" si="1980"/>
        <v>322</v>
      </c>
      <c r="CT300" s="23">
        <f t="shared" si="1981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29" x14ac:dyDescent="0.2">
      <c r="A301" s="3" t="str">
        <f t="shared" si="1982"/>
        <v>opsd_human_5DGY</v>
      </c>
      <c r="B301" s="3" t="s">
        <v>339</v>
      </c>
      <c r="C301" s="3" t="s">
        <v>1434</v>
      </c>
      <c r="D301" s="3" t="str">
        <f>IFERROR(MID(VLOOKUP($B301,Seqs!$A:$B,2,0),E301,1),"")</f>
        <v>P</v>
      </c>
      <c r="E301" s="3">
        <v>34</v>
      </c>
      <c r="F301" s="3" t="str">
        <f>IFERROR(MID(VLOOKUP($B301,Seqs!$A:$B,2,0),G301,1),"")</f>
        <v>H</v>
      </c>
      <c r="G301" s="3">
        <v>65</v>
      </c>
      <c r="H301" s="3" t="str">
        <f>IFERROR(MID(VLOOKUP($B301,Seqs!$A:$B,2,0),I301,1),"")</f>
        <v>K</v>
      </c>
      <c r="I301" s="23">
        <v>66</v>
      </c>
      <c r="J301" s="3" t="str">
        <f>IFERROR(MID(VLOOKUP($B301,Seqs!$A:$B,2,0),K301,1),"")</f>
        <v>R</v>
      </c>
      <c r="K301" s="23">
        <v>69</v>
      </c>
      <c r="L301" s="3" t="str">
        <f>IFERROR(MID(VLOOKUP($B301,Seqs!$A:$B,2,0),M301,1),"")</f>
        <v>T</v>
      </c>
      <c r="M301" s="3">
        <v>70</v>
      </c>
      <c r="N301" s="3" t="str">
        <f>IFERROR(MID(VLOOKUP($B301,Seqs!$A:$B,2,0),O301,1),"")</f>
        <v>H</v>
      </c>
      <c r="O301" s="3">
        <v>100</v>
      </c>
      <c r="P301" s="3" t="str">
        <f>IFERROR(MID(VLOOKUP($B301,Seqs!$A:$B,2,0),Q301,1),"")</f>
        <v>Y</v>
      </c>
      <c r="Q301" s="3">
        <v>102</v>
      </c>
      <c r="R301" s="3" t="str">
        <f>IFERROR(MID(VLOOKUP($B301,Seqs!$A:$B,2,0),S301,1),"")</f>
        <v>F</v>
      </c>
      <c r="S301" s="3">
        <v>105</v>
      </c>
      <c r="T301" s="3" t="str">
        <f>IFERROR(MID(VLOOKUP($B301,Seqs!$A:$B,2,0),U301,1),"")</f>
        <v>G</v>
      </c>
      <c r="U301" s="3">
        <v>106</v>
      </c>
      <c r="V301" s="3" t="str">
        <f>IFERROR(MID(VLOOKUP($B301,Seqs!$A:$B,2,0),W301,1),"")</f>
        <v>K</v>
      </c>
      <c r="W301" s="3">
        <v>141</v>
      </c>
      <c r="X301" s="3" t="str">
        <f>IFERROR(MID(VLOOKUP($B301,Seqs!$A:$B,2,0),Y301,1),"")</f>
        <v>P</v>
      </c>
      <c r="Y301" s="3">
        <v>142</v>
      </c>
      <c r="Z301" s="3" t="str">
        <f>IFERROR(MID(VLOOKUP($B301,Seqs!$A:$B,2,0),AA301,1),"")</f>
        <v>F</v>
      </c>
      <c r="AA301" s="3">
        <v>148</v>
      </c>
      <c r="AB301" s="3" t="str">
        <f>IFERROR(MID(VLOOKUP($B301,Seqs!$A:$B,2,0),AC301,1),"")</f>
        <v>G</v>
      </c>
      <c r="AC301" s="3">
        <v>149</v>
      </c>
      <c r="AD301" s="3" t="str">
        <f>IFERROR(MID(VLOOKUP($B301,Seqs!$A:$B,2,0),AE301,1),"")</f>
        <v>A</v>
      </c>
      <c r="AE301" s="3">
        <v>173</v>
      </c>
      <c r="AF301" s="3" t="str">
        <f>IFERROR(MID(VLOOKUP($B301,Seqs!$A:$B,2,0),AG301,1),"")</f>
        <v>C</v>
      </c>
      <c r="AG301" s="3">
        <v>187</v>
      </c>
      <c r="AH301" s="3" t="str">
        <f>IFERROR(MID(VLOOKUP($B301,Seqs!$A:$B,2,0),AI301,1),"")</f>
        <v>I</v>
      </c>
      <c r="AI301" s="3">
        <v>189</v>
      </c>
      <c r="AJ301" s="3" t="str">
        <f>IFERROR(MID(VLOOKUP($B301,Seqs!$A:$B,2,0),AK301,1),"")</f>
        <v>N</v>
      </c>
      <c r="AK301" s="3">
        <v>199</v>
      </c>
      <c r="AL301" s="3" t="str">
        <f>IFERROR(MID(VLOOKUP($B301,Seqs!$A:$B,2,0),AM301,1),"")</f>
        <v>Q</v>
      </c>
      <c r="AM301" s="3">
        <v>237</v>
      </c>
      <c r="AN301" s="3" t="str">
        <f>IFERROR(MID(VLOOKUP($B301,Seqs!$A:$B,2,0),AO301,1),"")</f>
        <v>A</v>
      </c>
      <c r="AO301" s="3">
        <v>241</v>
      </c>
      <c r="AP301" s="3" t="str">
        <f>IFERROR(MID(VLOOKUP($B301,Seqs!$A:$B,2,0),AQ301,1),"")</f>
        <v>H</v>
      </c>
      <c r="AQ301" s="3">
        <v>278</v>
      </c>
      <c r="AR301" s="3" t="str">
        <f>IFERROR(MID(VLOOKUP($B301,Seqs!$A:$B,2,0),AS301,1),"")</f>
        <v>G</v>
      </c>
      <c r="AS301" s="3">
        <v>284</v>
      </c>
      <c r="AT301" s="3" t="str">
        <f>IFERROR(MID(VLOOKUP($B301,Seqs!$A:$B,2,0),AU301,1),"")</f>
        <v>M</v>
      </c>
      <c r="AU301" s="3">
        <v>309</v>
      </c>
      <c r="AV301" s="3" t="str">
        <f>IFERROR(MID(VLOOKUP($B301,Seqs!$A:$B,2,0),AW301,1),"")</f>
        <v>N</v>
      </c>
      <c r="AW301" s="3">
        <v>310</v>
      </c>
      <c r="AX301" s="3" t="str">
        <f>IFERROR(MID(VLOOKUP($B301,Seqs!$A:$B,2,0),AY301,1),"")</f>
        <v>C</v>
      </c>
      <c r="AY301" s="3">
        <v>322</v>
      </c>
      <c r="AZ301" s="77" t="str">
        <f>VLOOKUP(B301,Classification!A:D,2,0)</f>
        <v>A</v>
      </c>
      <c r="BA301" s="94" t="str">
        <f>VLOOKUP(B301,Classification!A:D,4,0)</f>
        <v>Opsins</v>
      </c>
      <c r="BB301" s="27" t="b">
        <f t="shared" si="1983"/>
        <v>1</v>
      </c>
      <c r="BC301" s="23">
        <f t="shared" si="1956"/>
        <v>258</v>
      </c>
      <c r="BD301" s="2" t="s">
        <v>23</v>
      </c>
      <c r="BE301" s="3" t="s">
        <v>1291</v>
      </c>
      <c r="BF301" s="118">
        <v>7.7</v>
      </c>
      <c r="BG301" s="49" t="s">
        <v>1433</v>
      </c>
      <c r="BH301" s="49" t="s">
        <v>1433</v>
      </c>
      <c r="BI301" s="1"/>
      <c r="BJ301" s="70" t="s">
        <v>1287</v>
      </c>
      <c r="BK301" s="57" t="s">
        <v>1287</v>
      </c>
      <c r="BL301" s="57" t="s">
        <v>1287</v>
      </c>
      <c r="BM301" s="57" t="s">
        <v>1287</v>
      </c>
      <c r="BN301" s="57" t="s">
        <v>1287</v>
      </c>
      <c r="BO301" s="57" t="s">
        <v>1287</v>
      </c>
      <c r="BP301" s="57" t="s">
        <v>1287</v>
      </c>
      <c r="BQ301" s="57" t="s">
        <v>1287</v>
      </c>
      <c r="BR301" s="57" t="s">
        <v>1287</v>
      </c>
      <c r="BS301" s="57" t="s">
        <v>1287</v>
      </c>
      <c r="BT301" s="57" t="s">
        <v>1287</v>
      </c>
      <c r="BU301" s="57" t="s">
        <v>1287</v>
      </c>
      <c r="BV301" s="70">
        <f t="shared" si="1957"/>
        <v>34</v>
      </c>
      <c r="BW301" s="71">
        <f t="shared" si="1958"/>
        <v>66</v>
      </c>
      <c r="BX301" s="72">
        <f t="shared" si="1959"/>
        <v>70</v>
      </c>
      <c r="BY301" s="71">
        <f t="shared" si="1960"/>
        <v>102</v>
      </c>
      <c r="BZ301" s="72">
        <f t="shared" si="1961"/>
        <v>106</v>
      </c>
      <c r="CA301" s="71">
        <f t="shared" si="1962"/>
        <v>142</v>
      </c>
      <c r="CB301" s="72">
        <f t="shared" si="1963"/>
        <v>149</v>
      </c>
      <c r="CC301" s="71">
        <f t="shared" si="1964"/>
        <v>187</v>
      </c>
      <c r="CD301" s="72">
        <f t="shared" si="1965"/>
        <v>199</v>
      </c>
      <c r="CE301" s="71">
        <f t="shared" si="1966"/>
        <v>241</v>
      </c>
      <c r="CF301" s="72">
        <f t="shared" si="1967"/>
        <v>284</v>
      </c>
      <c r="CG301" s="71">
        <f t="shared" si="1968"/>
        <v>310</v>
      </c>
      <c r="CH301" s="70">
        <f t="shared" si="1969"/>
        <v>65</v>
      </c>
      <c r="CI301" s="71">
        <f t="shared" si="1970"/>
        <v>69</v>
      </c>
      <c r="CJ301" s="72">
        <f t="shared" si="1971"/>
        <v>100</v>
      </c>
      <c r="CK301" s="72">
        <f t="shared" si="1972"/>
        <v>105</v>
      </c>
      <c r="CL301" s="72">
        <f t="shared" si="1973"/>
        <v>141</v>
      </c>
      <c r="CM301" s="72">
        <f t="shared" si="1974"/>
        <v>148</v>
      </c>
      <c r="CN301" s="72">
        <f t="shared" si="1975"/>
        <v>173</v>
      </c>
      <c r="CO301" s="72">
        <f t="shared" si="1976"/>
        <v>189</v>
      </c>
      <c r="CP301" s="72">
        <f t="shared" si="1977"/>
        <v>237</v>
      </c>
      <c r="CQ301" s="72">
        <f t="shared" si="1978"/>
        <v>278</v>
      </c>
      <c r="CR301" s="72">
        <f t="shared" si="1979"/>
        <v>309</v>
      </c>
      <c r="CS301" s="72">
        <f t="shared" si="1980"/>
        <v>322</v>
      </c>
      <c r="CT301" s="23">
        <f t="shared" si="1981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29" x14ac:dyDescent="0.2">
      <c r="A302" s="3" t="str">
        <f>CONCATENATE(B302,"_",C302)</f>
        <v>opsd_human_5W0P</v>
      </c>
      <c r="B302" s="3" t="s">
        <v>339</v>
      </c>
      <c r="C302" s="3" t="s">
        <v>1432</v>
      </c>
      <c r="D302" s="3" t="str">
        <f>IFERROR(MID(VLOOKUP($B302,Seqs!$A:$B,2,0),E302,1),"")</f>
        <v>P</v>
      </c>
      <c r="E302" s="3">
        <v>34</v>
      </c>
      <c r="F302" s="3" t="str">
        <f>IFERROR(MID(VLOOKUP($B302,Seqs!$A:$B,2,0),G302,1),"")</f>
        <v>H</v>
      </c>
      <c r="G302" s="3">
        <v>65</v>
      </c>
      <c r="H302" s="3" t="str">
        <f>IFERROR(MID(VLOOKUP($B302,Seqs!$A:$B,2,0),I302,1),"")</f>
        <v>K</v>
      </c>
      <c r="I302" s="23">
        <v>66</v>
      </c>
      <c r="J302" s="3" t="str">
        <f>IFERROR(MID(VLOOKUP($B302,Seqs!$A:$B,2,0),K302,1),"")</f>
        <v>R</v>
      </c>
      <c r="K302" s="23">
        <v>69</v>
      </c>
      <c r="L302" s="3" t="str">
        <f>IFERROR(MID(VLOOKUP($B302,Seqs!$A:$B,2,0),M302,1),"")</f>
        <v>T</v>
      </c>
      <c r="M302" s="3">
        <v>70</v>
      </c>
      <c r="N302" s="3" t="str">
        <f>IFERROR(MID(VLOOKUP($B302,Seqs!$A:$B,2,0),O302,1),"")</f>
        <v>H</v>
      </c>
      <c r="O302" s="3">
        <v>100</v>
      </c>
      <c r="P302" s="3" t="str">
        <f>IFERROR(MID(VLOOKUP($B302,Seqs!$A:$B,2,0),Q302,1),"")</f>
        <v>Y</v>
      </c>
      <c r="Q302" s="3">
        <v>102</v>
      </c>
      <c r="R302" s="3" t="str">
        <f>IFERROR(MID(VLOOKUP($B302,Seqs!$A:$B,2,0),S302,1),"")</f>
        <v>F</v>
      </c>
      <c r="S302" s="3">
        <v>105</v>
      </c>
      <c r="T302" s="3" t="str">
        <f>IFERROR(MID(VLOOKUP($B302,Seqs!$A:$B,2,0),U302,1),"")</f>
        <v>G</v>
      </c>
      <c r="U302" s="3">
        <v>106</v>
      </c>
      <c r="V302" s="3" t="str">
        <f>IFERROR(MID(VLOOKUP($B302,Seqs!$A:$B,2,0),W302,1),"")</f>
        <v>K</v>
      </c>
      <c r="W302" s="3">
        <v>141</v>
      </c>
      <c r="X302" s="3" t="str">
        <f>IFERROR(MID(VLOOKUP($B302,Seqs!$A:$B,2,0),Y302,1),"")</f>
        <v>P</v>
      </c>
      <c r="Y302" s="3">
        <v>142</v>
      </c>
      <c r="Z302" s="3" t="str">
        <f>IFERROR(MID(VLOOKUP($B302,Seqs!$A:$B,2,0),AA302,1),"")</f>
        <v>F</v>
      </c>
      <c r="AA302" s="3">
        <v>148</v>
      </c>
      <c r="AB302" s="3" t="str">
        <f>IFERROR(MID(VLOOKUP($B302,Seqs!$A:$B,2,0),AC302,1),"")</f>
        <v>G</v>
      </c>
      <c r="AC302" s="3">
        <v>149</v>
      </c>
      <c r="AD302" s="3" t="str">
        <f>IFERROR(MID(VLOOKUP($B302,Seqs!$A:$B,2,0),AE302,1),"")</f>
        <v>A</v>
      </c>
      <c r="AE302" s="3">
        <v>173</v>
      </c>
      <c r="AF302" s="3" t="str">
        <f>IFERROR(MID(VLOOKUP($B302,Seqs!$A:$B,2,0),AG302,1),"")</f>
        <v>C</v>
      </c>
      <c r="AG302" s="3">
        <v>187</v>
      </c>
      <c r="AH302" s="3" t="str">
        <f>IFERROR(MID(VLOOKUP($B302,Seqs!$A:$B,2,0),AI302,1),"")</f>
        <v>I</v>
      </c>
      <c r="AI302" s="3">
        <v>189</v>
      </c>
      <c r="AJ302" s="3" t="str">
        <f>IFERROR(MID(VLOOKUP($B302,Seqs!$A:$B,2,0),AK302,1),"")</f>
        <v>N</v>
      </c>
      <c r="AK302" s="3">
        <v>199</v>
      </c>
      <c r="AL302" s="3" t="str">
        <f>IFERROR(MID(VLOOKUP($B302,Seqs!$A:$B,2,0),AM302,1),"")</f>
        <v>Q</v>
      </c>
      <c r="AM302" s="3">
        <v>237</v>
      </c>
      <c r="AN302" s="3" t="str">
        <f>IFERROR(MID(VLOOKUP($B302,Seqs!$A:$B,2,0),AO302,1),"")</f>
        <v>A</v>
      </c>
      <c r="AO302" s="3">
        <v>241</v>
      </c>
      <c r="AP302" s="3" t="str">
        <f>IFERROR(MID(VLOOKUP($B302,Seqs!$A:$B,2,0),AQ302,1),"")</f>
        <v>H</v>
      </c>
      <c r="AQ302" s="3">
        <v>278</v>
      </c>
      <c r="AR302" s="3" t="str">
        <f>IFERROR(MID(VLOOKUP($B302,Seqs!$A:$B,2,0),AS302,1),"")</f>
        <v>G</v>
      </c>
      <c r="AS302" s="3">
        <v>284</v>
      </c>
      <c r="AT302" s="3" t="str">
        <f>IFERROR(MID(VLOOKUP($B302,Seqs!$A:$B,2,0),AU302,1),"")</f>
        <v>M</v>
      </c>
      <c r="AU302" s="3">
        <v>309</v>
      </c>
      <c r="AV302" s="3" t="str">
        <f>IFERROR(MID(VLOOKUP($B302,Seqs!$A:$B,2,0),AW302,1),"")</f>
        <v>N</v>
      </c>
      <c r="AW302" s="3">
        <v>310</v>
      </c>
      <c r="AX302" s="3" t="str">
        <f>IFERROR(MID(VLOOKUP($B302,Seqs!$A:$B,2,0),AY302,1),"")</f>
        <v>C</v>
      </c>
      <c r="AY302" s="3">
        <v>322</v>
      </c>
      <c r="AZ302" s="77" t="str">
        <f>VLOOKUP(B302,Classification!A:D,2,0)</f>
        <v>A</v>
      </c>
      <c r="BA302" s="94" t="str">
        <f>VLOOKUP(B302,Classification!A:D,4,0)</f>
        <v>Opsins</v>
      </c>
      <c r="BB302" s="27" t="b">
        <f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>_xlfn.AGGREGATE(9,6,CH302:CS302)-_xlfn.AGGREGATE(9,6,BV302:CG302)+12</f>
        <v>258</v>
      </c>
      <c r="BD302" s="2" t="s">
        <v>23</v>
      </c>
      <c r="BE302" s="3" t="s">
        <v>1291</v>
      </c>
      <c r="BF302" s="118">
        <v>3.01</v>
      </c>
      <c r="BG302" s="49" t="s">
        <v>1433</v>
      </c>
      <c r="BH302" s="49" t="s">
        <v>1433</v>
      </c>
      <c r="BI302" s="1"/>
      <c r="BJ302" s="70" t="s">
        <v>1287</v>
      </c>
      <c r="BK302" s="57" t="s">
        <v>1287</v>
      </c>
      <c r="BL302" s="57" t="s">
        <v>1287</v>
      </c>
      <c r="BM302" s="57" t="s">
        <v>1287</v>
      </c>
      <c r="BN302" s="57" t="s">
        <v>1287</v>
      </c>
      <c r="BO302" s="57" t="s">
        <v>1287</v>
      </c>
      <c r="BP302" s="57" t="s">
        <v>1287</v>
      </c>
      <c r="BQ302" s="57" t="s">
        <v>1287</v>
      </c>
      <c r="BR302" s="57" t="s">
        <v>1287</v>
      </c>
      <c r="BS302" s="57" t="s">
        <v>1287</v>
      </c>
      <c r="BT302" s="57" t="s">
        <v>1287</v>
      </c>
      <c r="BU302" s="57" t="s">
        <v>1287</v>
      </c>
      <c r="BV302" s="70">
        <f>E302</f>
        <v>34</v>
      </c>
      <c r="BW302" s="71">
        <f>I302</f>
        <v>66</v>
      </c>
      <c r="BX302" s="72">
        <f>M302</f>
        <v>70</v>
      </c>
      <c r="BY302" s="71">
        <f>Q302</f>
        <v>102</v>
      </c>
      <c r="BZ302" s="72">
        <f>U302</f>
        <v>106</v>
      </c>
      <c r="CA302" s="71">
        <f>Y302</f>
        <v>142</v>
      </c>
      <c r="CB302" s="72">
        <f>AC302</f>
        <v>149</v>
      </c>
      <c r="CC302" s="71">
        <f>AG302</f>
        <v>187</v>
      </c>
      <c r="CD302" s="72">
        <f>AK302</f>
        <v>199</v>
      </c>
      <c r="CE302" s="71">
        <f>AO302</f>
        <v>241</v>
      </c>
      <c r="CF302" s="72">
        <f>AS302</f>
        <v>284</v>
      </c>
      <c r="CG302" s="71">
        <f>AW302</f>
        <v>310</v>
      </c>
      <c r="CH302" s="70">
        <f>G302</f>
        <v>65</v>
      </c>
      <c r="CI302" s="71">
        <f>K302</f>
        <v>69</v>
      </c>
      <c r="CJ302" s="72">
        <f>O302</f>
        <v>100</v>
      </c>
      <c r="CK302" s="72">
        <f>S302</f>
        <v>105</v>
      </c>
      <c r="CL302" s="72">
        <f>W302</f>
        <v>141</v>
      </c>
      <c r="CM302" s="72">
        <f>AA302</f>
        <v>148</v>
      </c>
      <c r="CN302" s="72">
        <f>AE302</f>
        <v>173</v>
      </c>
      <c r="CO302" s="72">
        <f>AI302</f>
        <v>189</v>
      </c>
      <c r="CP302" s="72">
        <f>AM302</f>
        <v>237</v>
      </c>
      <c r="CQ302" s="72">
        <f>AQ302</f>
        <v>278</v>
      </c>
      <c r="CR302" s="72">
        <f>AU302</f>
        <v>309</v>
      </c>
      <c r="CS302" s="72">
        <f>AY302</f>
        <v>322</v>
      </c>
      <c r="CT302" s="23">
        <f>M302-K302</f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29" x14ac:dyDescent="0.2">
      <c r="A303" s="3" t="str">
        <f>CONCATENATE(B303,"_",C303)</f>
        <v>opsd_human_6CMO</v>
      </c>
      <c r="B303" s="3" t="s">
        <v>339</v>
      </c>
      <c r="C303" s="3" t="s">
        <v>1502</v>
      </c>
      <c r="D303" s="3" t="str">
        <f>IFERROR(MID(VLOOKUP($B303,Seqs!$A:$B,2,0),E303,1),"")</f>
        <v>E</v>
      </c>
      <c r="E303" s="3">
        <v>33</v>
      </c>
      <c r="F303" s="3" t="str">
        <f>IFERROR(MID(VLOOKUP($B303,Seqs!$A:$B,2,0),G303,1),"")</f>
        <v>H</v>
      </c>
      <c r="G303" s="3">
        <v>65</v>
      </c>
      <c r="H303" s="3" t="str">
        <f>IFERROR(MID(VLOOKUP($B303,Seqs!$A:$B,2,0),I303,1),"")</f>
        <v>K</v>
      </c>
      <c r="I303" s="23">
        <v>66</v>
      </c>
      <c r="J303" s="3" t="str">
        <f>IFERROR(MID(VLOOKUP($B303,Seqs!$A:$B,2,0),K303,1),"")</f>
        <v>R</v>
      </c>
      <c r="K303" s="23">
        <v>69</v>
      </c>
      <c r="L303" s="3" t="str">
        <f>IFERROR(MID(VLOOKUP($B303,Seqs!$A:$B,2,0),M303,1),"")</f>
        <v>T</v>
      </c>
      <c r="M303" s="3">
        <v>70</v>
      </c>
      <c r="N303" s="3" t="str">
        <f>IFERROR(MID(VLOOKUP($B303,Seqs!$A:$B,2,0),O303,1),"")</f>
        <v>G</v>
      </c>
      <c r="O303" s="3">
        <v>101</v>
      </c>
      <c r="P303" s="3" t="str">
        <f>IFERROR(MID(VLOOKUP($B303,Seqs!$A:$B,2,0),Q303,1),"")</f>
        <v>Y</v>
      </c>
      <c r="Q303" s="3">
        <v>102</v>
      </c>
      <c r="R303" s="3" t="str">
        <f>IFERROR(MID(VLOOKUP($B303,Seqs!$A:$B,2,0),S303,1),"")</f>
        <v>F</v>
      </c>
      <c r="S303" s="3">
        <v>105</v>
      </c>
      <c r="T303" s="3" t="str">
        <f>IFERROR(MID(VLOOKUP($B303,Seqs!$A:$B,2,0),U303,1),"")</f>
        <v>G</v>
      </c>
      <c r="U303" s="3">
        <v>106</v>
      </c>
      <c r="V303" s="3" t="str">
        <f>IFERROR(MID(VLOOKUP($B303,Seqs!$A:$B,2,0),W303,1),"")</f>
        <v>K</v>
      </c>
      <c r="W303" s="3">
        <v>141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E</v>
      </c>
      <c r="AC303" s="3">
        <v>150</v>
      </c>
      <c r="AD303" s="3" t="str">
        <f>IFERROR(MID(VLOOKUP($B303,Seqs!$A:$B,2,0),AE303,1),"")</f>
        <v>A</v>
      </c>
      <c r="AE303" s="3">
        <v>173</v>
      </c>
      <c r="AF303" s="3" t="str">
        <f>IFERROR(MID(VLOOKUP($B303,Seqs!$A:$B,2,0),AG303,1),"")</f>
        <v>C</v>
      </c>
      <c r="AG303" s="3">
        <v>187</v>
      </c>
      <c r="AH303" s="3" t="str">
        <f>IFERROR(MID(VLOOKUP($B303,Seqs!$A:$B,2,0),AI303,1),"")</f>
        <v>I</v>
      </c>
      <c r="AI303" s="3">
        <v>189</v>
      </c>
      <c r="AJ303" s="3" t="str">
        <f>IFERROR(MID(VLOOKUP($B303,Seqs!$A:$B,2,0),AK303,1),"")</f>
        <v>N</v>
      </c>
      <c r="AK303" s="3">
        <v>200</v>
      </c>
      <c r="AL303" s="3" t="str">
        <f>IFERROR(MID(VLOOKUP($B303,Seqs!$A:$B,2,0),AM303,1),"")</f>
        <v>Q</v>
      </c>
      <c r="AM303" s="3">
        <v>238</v>
      </c>
      <c r="AN303" s="3" t="str">
        <f>IFERROR(MID(VLOOKUP($B303,Seqs!$A:$B,2,0),AO303,1),"")</f>
        <v>S</v>
      </c>
      <c r="AO303" s="3">
        <v>240</v>
      </c>
      <c r="AP303" s="3" t="str">
        <f>IFERROR(MID(VLOOKUP($B303,Seqs!$A:$B,2,0),AQ303,1),"")</f>
        <v>H</v>
      </c>
      <c r="AQ303" s="3">
        <v>278</v>
      </c>
      <c r="AR303" s="3" t="str">
        <f>IFERROR(MID(VLOOKUP($B303,Seqs!$A:$B,2,0),AS303,1),"")</f>
        <v>I</v>
      </c>
      <c r="AS303" s="3">
        <v>286</v>
      </c>
      <c r="AT303" s="3" t="str">
        <f>IFERROR(MID(VLOOKUP($B303,Seqs!$A:$B,2,0),AU303,1),"")</f>
        <v>M</v>
      </c>
      <c r="AU303" s="3">
        <v>309</v>
      </c>
      <c r="AV303" s="3" t="str">
        <f>IFERROR(MID(VLOOKUP($B303,Seqs!$A:$B,2,0),AW303,1),"")</f>
        <v>N</v>
      </c>
      <c r="AW303" s="3">
        <v>310</v>
      </c>
      <c r="AX303" s="3" t="str">
        <f>IFERROR(MID(VLOOKUP($B303,Seqs!$A:$B,2,0),AY303,1),"")</f>
        <v>C</v>
      </c>
      <c r="AY303" s="3">
        <v>323</v>
      </c>
      <c r="AZ303" s="77" t="str">
        <f>VLOOKUP(B303,Classification!A:D,2,0)</f>
        <v>A</v>
      </c>
      <c r="BA303" s="94" t="str">
        <f>VLOOKUP(B303,Classification!A:D,4,0)</f>
        <v>Opsins</v>
      </c>
      <c r="BB303" s="27" t="b">
        <f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>_xlfn.AGGREGATE(9,6,CH303:CS303)-_xlfn.AGGREGATE(9,6,BV303:CG303)+12</f>
        <v>253</v>
      </c>
      <c r="BD303" s="2" t="s">
        <v>23</v>
      </c>
      <c r="BE303" s="3" t="s">
        <v>1291</v>
      </c>
      <c r="BF303" s="118">
        <v>4.5</v>
      </c>
      <c r="BG303" s="49" t="s">
        <v>1433</v>
      </c>
      <c r="BH303" s="49" t="s">
        <v>1433</v>
      </c>
      <c r="BI303" s="1"/>
      <c r="BJ303" s="70" t="s">
        <v>1287</v>
      </c>
      <c r="BK303" s="57" t="s">
        <v>1287</v>
      </c>
      <c r="BL303" s="57" t="s">
        <v>1287</v>
      </c>
      <c r="BM303" s="57" t="s">
        <v>1287</v>
      </c>
      <c r="BN303" s="57" t="s">
        <v>1287</v>
      </c>
      <c r="BO303" s="57" t="s">
        <v>1287</v>
      </c>
      <c r="BP303" s="57" t="s">
        <v>1287</v>
      </c>
      <c r="BQ303" s="57" t="s">
        <v>1287</v>
      </c>
      <c r="BR303" s="57" t="s">
        <v>1287</v>
      </c>
      <c r="BS303" s="57" t="s">
        <v>1287</v>
      </c>
      <c r="BT303" s="57" t="s">
        <v>1287</v>
      </c>
      <c r="BU303" s="57" t="s">
        <v>1287</v>
      </c>
      <c r="BV303" s="70">
        <f>E303</f>
        <v>33</v>
      </c>
      <c r="BW303" s="71">
        <f>I303</f>
        <v>66</v>
      </c>
      <c r="BX303" s="72">
        <f>M303</f>
        <v>70</v>
      </c>
      <c r="BY303" s="71">
        <f>Q303</f>
        <v>102</v>
      </c>
      <c r="BZ303" s="72">
        <f>U303</f>
        <v>106</v>
      </c>
      <c r="CA303" s="71" t="str">
        <f>Y303</f>
        <v>-</v>
      </c>
      <c r="CB303" s="72">
        <f>AC303</f>
        <v>150</v>
      </c>
      <c r="CC303" s="71">
        <f>AG303</f>
        <v>187</v>
      </c>
      <c r="CD303" s="72">
        <f>AK303</f>
        <v>200</v>
      </c>
      <c r="CE303" s="71">
        <f>AO303</f>
        <v>240</v>
      </c>
      <c r="CF303" s="72">
        <f>AS303</f>
        <v>286</v>
      </c>
      <c r="CG303" s="71">
        <f>AW303</f>
        <v>310</v>
      </c>
      <c r="CH303" s="70">
        <f>G303</f>
        <v>65</v>
      </c>
      <c r="CI303" s="71">
        <f>K303</f>
        <v>69</v>
      </c>
      <c r="CJ303" s="72">
        <f>O303</f>
        <v>101</v>
      </c>
      <c r="CK303" s="72">
        <f>S303</f>
        <v>105</v>
      </c>
      <c r="CL303" s="72">
        <f>W303</f>
        <v>141</v>
      </c>
      <c r="CM303" s="72" t="str">
        <f>AA303</f>
        <v>-</v>
      </c>
      <c r="CN303" s="72">
        <f>AE303</f>
        <v>173</v>
      </c>
      <c r="CO303" s="72">
        <f>AI303</f>
        <v>189</v>
      </c>
      <c r="CP303" s="72">
        <f>AM303</f>
        <v>238</v>
      </c>
      <c r="CQ303" s="72">
        <f>AQ303</f>
        <v>278</v>
      </c>
      <c r="CR303" s="72">
        <f>AU303</f>
        <v>309</v>
      </c>
      <c r="CS303" s="72">
        <f>AY303</f>
        <v>323</v>
      </c>
      <c r="CT303" s="23">
        <f>M303-K303</f>
        <v>1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29" x14ac:dyDescent="0.2">
      <c r="A304" s="3" t="str">
        <f t="shared" si="1982"/>
        <v>opsd_todpa__wt</v>
      </c>
      <c r="B304" s="3" t="s">
        <v>921</v>
      </c>
      <c r="C304" s="3" t="s">
        <v>100</v>
      </c>
      <c r="D304" s="3" t="str">
        <f>IFERROR(MID(VLOOKUP($B304,Seqs!$A:$B,2,0),E304,1),"")</f>
        <v>D</v>
      </c>
      <c r="E304" s="3">
        <v>31</v>
      </c>
      <c r="F304" s="3" t="str">
        <f>IFERROR(MID(VLOOKUP($B304,Seqs!$A:$B,2,0),G304,1),"")</f>
        <v>T</v>
      </c>
      <c r="G304" s="3">
        <v>62</v>
      </c>
      <c r="H304" s="3" t="str">
        <f>IFERROR(MID(VLOOKUP($B304,Seqs!$A:$B,2,0),I304,1),"")</f>
        <v>K</v>
      </c>
      <c r="I304" s="23">
        <v>63</v>
      </c>
      <c r="J304" s="3" t="str">
        <f>IFERROR(MID(VLOOKUP($B304,Seqs!$A:$B,2,0),K304,1),"")</f>
        <v>Q</v>
      </c>
      <c r="K304" s="23">
        <v>66</v>
      </c>
      <c r="L304" s="3" t="str">
        <f>IFERROR(MID(VLOOKUP($B304,Seqs!$A:$B,2,0),M304,1),"")</f>
        <v>T</v>
      </c>
      <c r="M304" s="3">
        <v>67</v>
      </c>
      <c r="N304" s="3" t="str">
        <f>IFERROR(MID(VLOOKUP($B304,Seqs!$A:$B,2,0),O304,1),"")</f>
        <v>K</v>
      </c>
      <c r="O304" s="3">
        <v>99</v>
      </c>
      <c r="P304" s="3" t="str">
        <f>IFERROR(MID(VLOOKUP($B304,Seqs!$A:$B,2,0),Q304,1),"")</f>
        <v>K</v>
      </c>
      <c r="Q304" s="3">
        <v>100</v>
      </c>
      <c r="R304" s="3" t="str">
        <f>IFERROR(MID(VLOOKUP($B304,Seqs!$A:$B,2,0),S304,1),"")</f>
        <v>F</v>
      </c>
      <c r="S304" s="3">
        <v>103</v>
      </c>
      <c r="T304" s="3" t="str">
        <f>IFERROR(MID(VLOOKUP($B304,Seqs!$A:$B,2,0),U304,1),"")</f>
        <v>G</v>
      </c>
      <c r="U304" s="3">
        <v>104</v>
      </c>
      <c r="V304" s="3" t="str">
        <f>IFERROR(MID(VLOOKUP($B304,Seqs!$A:$B,2,0),W304,1),"")</f>
        <v>R</v>
      </c>
      <c r="W304" s="3">
        <v>139</v>
      </c>
      <c r="X304" s="3" t="str">
        <f>IFERROR(MID(VLOOKUP($B304,Seqs!$A:$B,2,0),Y304,1),"")</f>
        <v>P</v>
      </c>
      <c r="Y304" s="3">
        <v>140</v>
      </c>
      <c r="Z304" s="3" t="str">
        <f>IFERROR(MID(VLOOKUP($B304,Seqs!$A:$B,2,0),AA304,1),"")</f>
        <v>M</v>
      </c>
      <c r="AA304" s="3">
        <v>147</v>
      </c>
      <c r="AB304" s="3" t="str">
        <f>IFERROR(MID(VLOOKUP($B304,Seqs!$A:$B,2,0),AC304,1),"")</f>
        <v>S</v>
      </c>
      <c r="AC304" s="9">
        <v>148</v>
      </c>
      <c r="AD304" s="3" t="str">
        <f>IFERROR(MID(VLOOKUP($B304,Seqs!$A:$B,2,0),AE304,1),"")</f>
        <v>F</v>
      </c>
      <c r="AE304" s="3">
        <v>172</v>
      </c>
      <c r="AF304" s="3" t="str">
        <f>IFERROR(MID(VLOOKUP($B304,Seqs!$A:$B,2,0),AG304,1),"")</f>
        <v>C</v>
      </c>
      <c r="AG304" s="3">
        <v>186</v>
      </c>
      <c r="AH304" s="3" t="str">
        <f>IFERROR(MID(VLOOKUP($B304,Seqs!$A:$B,2,0),AI304,1),"")</f>
        <v>F</v>
      </c>
      <c r="AI304" s="3">
        <v>188</v>
      </c>
      <c r="AJ304" s="3" t="str">
        <f>IFERROR(MID(VLOOKUP($B304,Seqs!$A:$B,2,0),AK304,1),"")</f>
        <v>D</v>
      </c>
      <c r="AK304" s="3">
        <v>194</v>
      </c>
      <c r="AL304" s="3" t="str">
        <f>IFERROR(MID(VLOOKUP($B304,Seqs!$A:$B,2,0),AM304,1),"")</f>
        <v>K</v>
      </c>
      <c r="AM304" s="3">
        <v>239</v>
      </c>
      <c r="AN304" s="3" t="str">
        <f>IFERROR(MID(VLOOKUP($B304,Seqs!$A:$B,2,0),AO304,1),"")</f>
        <v>K</v>
      </c>
      <c r="AO304" s="3">
        <v>244</v>
      </c>
      <c r="AP304" s="3" t="str">
        <f>IFERROR(MID(VLOOKUP($B304,Seqs!$A:$B,2,0),AQ304,1),"")</f>
        <v>G</v>
      </c>
      <c r="AQ304" s="3">
        <v>287</v>
      </c>
      <c r="AR304" s="3" t="str">
        <f>IFERROR(MID(VLOOKUP($B304,Seqs!$A:$B,2,0),AS304,1),"")</f>
        <v>T</v>
      </c>
      <c r="AS304" s="3">
        <v>293</v>
      </c>
      <c r="AT304" s="3" t="str">
        <f>IFERROR(MID(VLOOKUP($B304,Seqs!$A:$B,2,0),AU304,1),"")</f>
        <v>S</v>
      </c>
      <c r="AU304" s="3">
        <v>318</v>
      </c>
      <c r="AV304" s="3" t="str">
        <f>IFERROR(MID(VLOOKUP($B304,Seqs!$A:$B,2,0),AW304,1),"")</f>
        <v>H</v>
      </c>
      <c r="AW304" s="3">
        <v>319</v>
      </c>
      <c r="AX304" s="3" t="str">
        <f>IFERROR(MID(VLOOKUP($B304,Seqs!$A:$B,2,0),AY304,1),"")</f>
        <v>F</v>
      </c>
      <c r="AY304" s="3">
        <v>330</v>
      </c>
      <c r="AZ304" s="77" t="str">
        <f>VLOOKUP(B304,Classification!A:D,2,0)</f>
        <v>A</v>
      </c>
      <c r="BA304" s="94" t="str">
        <f>VLOOKUP(B304,Classification!A:D,4,0)</f>
        <v>Opsins</v>
      </c>
      <c r="BB304" s="27" t="b">
        <f t="shared" si="1983"/>
        <v>1</v>
      </c>
      <c r="BC304" s="23">
        <f t="shared" si="1956"/>
        <v>273</v>
      </c>
      <c r="BD304" s="56" t="s">
        <v>23</v>
      </c>
      <c r="BE304" s="3" t="s">
        <v>23</v>
      </c>
      <c r="BF304" s="118" t="s">
        <v>23</v>
      </c>
      <c r="BG304" s="49" t="s">
        <v>1372</v>
      </c>
      <c r="BH304" s="49" t="s">
        <v>1377</v>
      </c>
      <c r="BI304" s="1"/>
      <c r="BJ304" s="70" t="s">
        <v>1287</v>
      </c>
      <c r="BK304" s="57" t="s">
        <v>1287</v>
      </c>
      <c r="BL304" s="57" t="s">
        <v>1287</v>
      </c>
      <c r="BM304" s="57" t="s">
        <v>1287</v>
      </c>
      <c r="BN304" s="57" t="s">
        <v>1287</v>
      </c>
      <c r="BO304" s="57" t="s">
        <v>1287</v>
      </c>
      <c r="BP304" s="57" t="s">
        <v>1287</v>
      </c>
      <c r="BQ304" s="57" t="s">
        <v>1287</v>
      </c>
      <c r="BR304" s="57" t="s">
        <v>1287</v>
      </c>
      <c r="BS304" s="57" t="s">
        <v>1287</v>
      </c>
      <c r="BT304" s="57" t="s">
        <v>1287</v>
      </c>
      <c r="BU304" s="57" t="s">
        <v>1287</v>
      </c>
      <c r="BV304" s="70">
        <f t="shared" si="1957"/>
        <v>31</v>
      </c>
      <c r="BW304" s="71">
        <f t="shared" si="1958"/>
        <v>63</v>
      </c>
      <c r="BX304" s="72">
        <f t="shared" si="1959"/>
        <v>67</v>
      </c>
      <c r="BY304" s="71">
        <f t="shared" si="1960"/>
        <v>100</v>
      </c>
      <c r="BZ304" s="72">
        <f t="shared" si="1961"/>
        <v>104</v>
      </c>
      <c r="CA304" s="71">
        <f t="shared" si="1962"/>
        <v>140</v>
      </c>
      <c r="CB304" s="72">
        <f t="shared" si="1963"/>
        <v>148</v>
      </c>
      <c r="CC304" s="71">
        <f t="shared" si="1964"/>
        <v>186</v>
      </c>
      <c r="CD304" s="72">
        <f t="shared" si="1965"/>
        <v>194</v>
      </c>
      <c r="CE304" s="71">
        <f t="shared" si="1966"/>
        <v>244</v>
      </c>
      <c r="CF304" s="72">
        <f t="shared" si="1967"/>
        <v>293</v>
      </c>
      <c r="CG304" s="71">
        <f t="shared" si="1968"/>
        <v>319</v>
      </c>
      <c r="CH304" s="70">
        <f t="shared" si="1969"/>
        <v>62</v>
      </c>
      <c r="CI304" s="71">
        <f t="shared" si="1970"/>
        <v>66</v>
      </c>
      <c r="CJ304" s="72">
        <f t="shared" si="1971"/>
        <v>99</v>
      </c>
      <c r="CK304" s="72">
        <f t="shared" si="1972"/>
        <v>103</v>
      </c>
      <c r="CL304" s="72">
        <f t="shared" si="1973"/>
        <v>139</v>
      </c>
      <c r="CM304" s="72">
        <f t="shared" si="1974"/>
        <v>147</v>
      </c>
      <c r="CN304" s="72">
        <f t="shared" si="1975"/>
        <v>172</v>
      </c>
      <c r="CO304" s="72">
        <f t="shared" si="1976"/>
        <v>188</v>
      </c>
      <c r="CP304" s="72">
        <f t="shared" si="1977"/>
        <v>239</v>
      </c>
      <c r="CQ304" s="72">
        <f t="shared" si="1978"/>
        <v>287</v>
      </c>
      <c r="CR304" s="72">
        <f t="shared" si="1979"/>
        <v>318</v>
      </c>
      <c r="CS304" s="72">
        <f t="shared" si="1980"/>
        <v>330</v>
      </c>
      <c r="CT304" s="23">
        <f t="shared" si="1981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1982"/>
        <v>opsd_todpa_2Z73</v>
      </c>
      <c r="B305" s="3" t="s">
        <v>921</v>
      </c>
      <c r="C305" s="3" t="s">
        <v>97</v>
      </c>
      <c r="D305" s="3" t="str">
        <f>IFERROR(MID(VLOOKUP($B305,Seqs!$A:$B,2,0),E305,1),"")</f>
        <v>D</v>
      </c>
      <c r="E305" s="3">
        <v>31</v>
      </c>
      <c r="F305" s="3" t="str">
        <f>IFERROR(MID(VLOOKUP($B305,Seqs!$A:$B,2,0),G305,1),"")</f>
        <v>T</v>
      </c>
      <c r="G305" s="3">
        <v>62</v>
      </c>
      <c r="H305" s="3" t="str">
        <f>IFERROR(MID(VLOOKUP($B305,Seqs!$A:$B,2,0),I305,1),"")</f>
        <v>K</v>
      </c>
      <c r="I305" s="23">
        <v>63</v>
      </c>
      <c r="J305" s="3" t="str">
        <f>IFERROR(MID(VLOOKUP($B305,Seqs!$A:$B,2,0),K305,1),"")</f>
        <v>Q</v>
      </c>
      <c r="K305" s="23">
        <v>66</v>
      </c>
      <c r="L305" s="3" t="str">
        <f>IFERROR(MID(VLOOKUP($B305,Seqs!$A:$B,2,0),M305,1),"")</f>
        <v>T</v>
      </c>
      <c r="M305" s="3">
        <v>67</v>
      </c>
      <c r="N305" s="3" t="str">
        <f>IFERROR(MID(VLOOKUP($B305,Seqs!$A:$B,2,0),O305,1),"")</f>
        <v>K</v>
      </c>
      <c r="O305" s="3">
        <v>99</v>
      </c>
      <c r="P305" s="3" t="str">
        <f>IFERROR(MID(VLOOKUP($B305,Seqs!$A:$B,2,0),Q305,1),"")</f>
        <v>K</v>
      </c>
      <c r="Q305" s="3">
        <v>100</v>
      </c>
      <c r="R305" s="3" t="str">
        <f>IFERROR(MID(VLOOKUP($B305,Seqs!$A:$B,2,0),S305,1),"")</f>
        <v>F</v>
      </c>
      <c r="S305" s="3">
        <v>103</v>
      </c>
      <c r="T305" s="3" t="str">
        <f>IFERROR(MID(VLOOKUP($B305,Seqs!$A:$B,2,0),U305,1),"")</f>
        <v>G</v>
      </c>
      <c r="U305" s="3">
        <v>104</v>
      </c>
      <c r="V305" s="3" t="str">
        <f>IFERROR(MID(VLOOKUP($B305,Seqs!$A:$B,2,0),W305,1),"")</f>
        <v>R</v>
      </c>
      <c r="W305" s="3">
        <v>139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S</v>
      </c>
      <c r="AC305" s="9">
        <v>148</v>
      </c>
      <c r="AD305" s="3" t="str">
        <f>IFERROR(MID(VLOOKUP($B305,Seqs!$A:$B,2,0),AE305,1),"")</f>
        <v>F</v>
      </c>
      <c r="AE305" s="3">
        <v>172</v>
      </c>
      <c r="AF305" s="3" t="str">
        <f>IFERROR(MID(VLOOKUP($B305,Seqs!$A:$B,2,0),AG305,1),"")</f>
        <v>C</v>
      </c>
      <c r="AG305" s="3">
        <v>186</v>
      </c>
      <c r="AH305" s="3" t="str">
        <f>IFERROR(MID(VLOOKUP($B305,Seqs!$A:$B,2,0),AI305,1),"")</f>
        <v>F</v>
      </c>
      <c r="AI305" s="3">
        <v>188</v>
      </c>
      <c r="AJ305" s="3" t="str">
        <f>IFERROR(MID(VLOOKUP($B305,Seqs!$A:$B,2,0),AK305,1),"")</f>
        <v>D</v>
      </c>
      <c r="AK305" s="3">
        <v>194</v>
      </c>
      <c r="AL305" s="3" t="str">
        <f>IFERROR(MID(VLOOKUP($B305,Seqs!$A:$B,2,0),AM305,1),"")</f>
        <v>K</v>
      </c>
      <c r="AM305" s="3">
        <v>239</v>
      </c>
      <c r="AN305" s="3" t="str">
        <f>IFERROR(MID(VLOOKUP($B305,Seqs!$A:$B,2,0),AO305,1),"")</f>
        <v>K</v>
      </c>
      <c r="AO305" s="3">
        <v>244</v>
      </c>
      <c r="AP305" s="3" t="str">
        <f>IFERROR(MID(VLOOKUP($B305,Seqs!$A:$B,2,0),AQ305,1),"")</f>
        <v>G</v>
      </c>
      <c r="AQ305" s="3">
        <v>287</v>
      </c>
      <c r="AR305" s="3" t="str">
        <f>IFERROR(MID(VLOOKUP($B305,Seqs!$A:$B,2,0),AS305,1),"")</f>
        <v>T</v>
      </c>
      <c r="AS305" s="3">
        <v>293</v>
      </c>
      <c r="AT305" s="3" t="str">
        <f>IFERROR(MID(VLOOKUP($B305,Seqs!$A:$B,2,0),AU305,1),"")</f>
        <v>S</v>
      </c>
      <c r="AU305" s="3">
        <v>318</v>
      </c>
      <c r="AV305" s="3" t="str">
        <f>IFERROR(MID(VLOOKUP($B305,Seqs!$A:$B,2,0),AW305,1),"")</f>
        <v>H</v>
      </c>
      <c r="AW305" s="3">
        <v>319</v>
      </c>
      <c r="AX305" s="3" t="str">
        <f>IFERROR(MID(VLOOKUP($B305,Seqs!$A:$B,2,0),AY305,1),"")</f>
        <v>F</v>
      </c>
      <c r="AY305" s="3">
        <v>330</v>
      </c>
      <c r="AZ305" s="77" t="str">
        <f>VLOOKUP(B305,Classification!A:D,2,0)</f>
        <v>A</v>
      </c>
      <c r="BA305" s="94" t="str">
        <f>VLOOKUP(B305,Classification!A:D,4,0)</f>
        <v>Opsins</v>
      </c>
      <c r="BB305" s="27" t="b">
        <f t="shared" si="1983"/>
        <v>1</v>
      </c>
      <c r="BC305" s="23">
        <f t="shared" si="1956"/>
        <v>266</v>
      </c>
      <c r="BD305" s="2" t="s">
        <v>23</v>
      </c>
      <c r="BE305" s="3" t="s">
        <v>1374</v>
      </c>
      <c r="BF305" s="118">
        <v>2.5</v>
      </c>
      <c r="BG305" s="49" t="s">
        <v>1377</v>
      </c>
      <c r="BH305" s="49" t="s">
        <v>1377</v>
      </c>
      <c r="BI305" s="1"/>
      <c r="BJ305" s="70" t="s">
        <v>1287</v>
      </c>
      <c r="BK305" s="57" t="s">
        <v>1287</v>
      </c>
      <c r="BL305" s="57" t="s">
        <v>1287</v>
      </c>
      <c r="BM305" s="57" t="s">
        <v>1287</v>
      </c>
      <c r="BN305" s="57" t="s">
        <v>1287</v>
      </c>
      <c r="BO305" s="57" t="s">
        <v>1287</v>
      </c>
      <c r="BP305" s="57" t="s">
        <v>1287</v>
      </c>
      <c r="BQ305" s="57" t="s">
        <v>1287</v>
      </c>
      <c r="BR305" s="57" t="s">
        <v>1287</v>
      </c>
      <c r="BS305" s="57" t="s">
        <v>1287</v>
      </c>
      <c r="BT305" s="57" t="s">
        <v>1287</v>
      </c>
      <c r="BU305" s="57" t="s">
        <v>1287</v>
      </c>
      <c r="BV305" s="70">
        <f t="shared" si="1957"/>
        <v>31</v>
      </c>
      <c r="BW305" s="71">
        <f t="shared" si="1958"/>
        <v>63</v>
      </c>
      <c r="BX305" s="72">
        <f t="shared" si="1959"/>
        <v>67</v>
      </c>
      <c r="BY305" s="71">
        <f t="shared" si="1960"/>
        <v>100</v>
      </c>
      <c r="BZ305" s="72">
        <f t="shared" si="1961"/>
        <v>104</v>
      </c>
      <c r="CA305" s="71" t="str">
        <f t="shared" si="1962"/>
        <v>-</v>
      </c>
      <c r="CB305" s="72">
        <f t="shared" si="1963"/>
        <v>148</v>
      </c>
      <c r="CC305" s="71">
        <f t="shared" si="1964"/>
        <v>186</v>
      </c>
      <c r="CD305" s="72">
        <f t="shared" si="1965"/>
        <v>194</v>
      </c>
      <c r="CE305" s="71">
        <f t="shared" si="1966"/>
        <v>244</v>
      </c>
      <c r="CF305" s="72">
        <f t="shared" si="1967"/>
        <v>293</v>
      </c>
      <c r="CG305" s="71">
        <f t="shared" si="1968"/>
        <v>319</v>
      </c>
      <c r="CH305" s="70">
        <f t="shared" si="1969"/>
        <v>62</v>
      </c>
      <c r="CI305" s="71">
        <f t="shared" si="1970"/>
        <v>66</v>
      </c>
      <c r="CJ305" s="72">
        <f t="shared" si="1971"/>
        <v>99</v>
      </c>
      <c r="CK305" s="72">
        <f t="shared" si="1972"/>
        <v>103</v>
      </c>
      <c r="CL305" s="72">
        <f t="shared" si="1973"/>
        <v>139</v>
      </c>
      <c r="CM305" s="72" t="str">
        <f t="shared" si="1974"/>
        <v>-</v>
      </c>
      <c r="CN305" s="72">
        <f t="shared" si="1975"/>
        <v>172</v>
      </c>
      <c r="CO305" s="72">
        <f t="shared" si="1976"/>
        <v>188</v>
      </c>
      <c r="CP305" s="72">
        <f t="shared" si="1977"/>
        <v>239</v>
      </c>
      <c r="CQ305" s="72">
        <f t="shared" si="1978"/>
        <v>287</v>
      </c>
      <c r="CR305" s="72">
        <f t="shared" si="1979"/>
        <v>318</v>
      </c>
      <c r="CS305" s="72">
        <f t="shared" si="1980"/>
        <v>330</v>
      </c>
      <c r="CT305" s="23">
        <f t="shared" si="1981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2"/>
    </row>
    <row r="306" spans="1:1030" x14ac:dyDescent="0.2">
      <c r="A306" s="3" t="str">
        <f t="shared" si="1982"/>
        <v>ox1r_human__wt</v>
      </c>
      <c r="B306" s="3" t="s">
        <v>1174</v>
      </c>
      <c r="C306" s="3" t="s">
        <v>100</v>
      </c>
      <c r="D306" s="3" t="str">
        <f>IFERROR(MID(VLOOKUP($B306,Seqs!$A:$B,2,0),E306,1),"")</f>
        <v>E</v>
      </c>
      <c r="E306" s="3">
        <v>46</v>
      </c>
      <c r="F306" s="3" t="str">
        <f>IFERROR(MID(VLOOKUP($B306,Seqs!$A:$B,2,0),G306,1),"")</f>
        <v>N</v>
      </c>
      <c r="G306" s="3">
        <v>74</v>
      </c>
      <c r="H306" s="3" t="str">
        <f>IFERROR(MID(VLOOKUP($B306,Seqs!$A:$B,2,0),I306,1),"")</f>
        <v>H</v>
      </c>
      <c r="I306" s="23">
        <v>75</v>
      </c>
      <c r="J306" s="3" t="str">
        <f>IFERROR(MID(VLOOKUP($B306,Seqs!$A:$B,2,0),K306,1),"")</f>
        <v>R</v>
      </c>
      <c r="K306" s="23">
        <v>78</v>
      </c>
      <c r="L306" s="3" t="str">
        <f>IFERROR(MID(VLOOKUP($B306,Seqs!$A:$B,2,0),M306,1),"")</f>
        <v>T</v>
      </c>
      <c r="M306" s="3">
        <v>79</v>
      </c>
      <c r="N306" s="3" t="str">
        <f>IFERROR(MID(VLOOKUP($B306,Seqs!$A:$B,2,0),O306,1),"")</f>
        <v>E</v>
      </c>
      <c r="O306" s="105">
        <v>110</v>
      </c>
      <c r="P306" s="3" t="str">
        <f>IFERROR(MID(VLOOKUP($B306,Seqs!$A:$B,2,0),Q306,1),"")</f>
        <v>S</v>
      </c>
      <c r="Q306" s="3">
        <v>111</v>
      </c>
      <c r="R306" s="3" t="str">
        <f>IFERROR(MID(VLOOKUP($B306,Seqs!$A:$B,2,0),S306,1),"")</f>
        <v>F</v>
      </c>
      <c r="S306" s="3">
        <v>114</v>
      </c>
      <c r="T306" s="3" t="str">
        <f>IFERROR(MID(VLOOKUP($B306,Seqs!$A:$B,2,0),U306,1),"")</f>
        <v>G</v>
      </c>
      <c r="U306" s="3">
        <v>115</v>
      </c>
      <c r="V306" s="3" t="str">
        <f>IFERROR(MID(VLOOKUP($B306,Seqs!$A:$B,2,0),W306,1),"")</f>
        <v>H</v>
      </c>
      <c r="W306" s="3">
        <v>150</v>
      </c>
      <c r="X306" s="3" t="str">
        <f>IFERROR(MID(VLOOKUP($B306,Seqs!$A:$B,2,0),Y306,1),"")</f>
        <v>P</v>
      </c>
      <c r="Y306" s="3">
        <v>151</v>
      </c>
      <c r="Z306" s="3" t="str">
        <f>IFERROR(MID(VLOOKUP($B306,Seqs!$A:$B,2,0),AA306,1),"")</f>
        <v>F</v>
      </c>
      <c r="AA306" s="73">
        <v>154</v>
      </c>
      <c r="AB306" s="3" t="str">
        <f>IFERROR(MID(VLOOKUP($B306,Seqs!$A:$B,2,0),AC306,1),"")</f>
        <v>T</v>
      </c>
      <c r="AC306" s="9">
        <v>157</v>
      </c>
      <c r="AD306" s="3" t="str">
        <f>IFERROR(MID(VLOOKUP($B306,Seqs!$A:$B,2,0),AE306,1),"")</f>
        <v>M</v>
      </c>
      <c r="AE306" s="3">
        <v>183</v>
      </c>
      <c r="AF306" s="3" t="str">
        <f>IFERROR(MID(VLOOKUP($B306,Seqs!$A:$B,2,0),AG306,1),"")</f>
        <v>C</v>
      </c>
      <c r="AG306" s="3">
        <v>202</v>
      </c>
      <c r="AH306" s="3" t="str">
        <f>IFERROR(MID(VLOOKUP($B306,Seqs!$A:$B,2,0),AI306,1),"")</f>
        <v>E</v>
      </c>
      <c r="AI306" s="3">
        <v>204</v>
      </c>
      <c r="AJ306" s="3" t="str">
        <f>IFERROR(MID(VLOOKUP($B306,Seqs!$A:$B,2,0),AK306,1),"")</f>
        <v>L</v>
      </c>
      <c r="AK306" s="105">
        <v>210</v>
      </c>
      <c r="AL306" s="3" t="str">
        <f>IFERROR(MID(VLOOKUP($B306,Seqs!$A:$B,2,0),AM306,1),"")</f>
        <v>P</v>
      </c>
      <c r="AM306" s="3">
        <v>248</v>
      </c>
      <c r="AN306" s="3" t="str">
        <f>IFERROR(MID(VLOOKUP($B306,Seqs!$A:$B,2,0),AO306,1),"")</f>
        <v>F</v>
      </c>
      <c r="AO306" s="3">
        <v>283</v>
      </c>
      <c r="AP306" s="3" t="str">
        <f>IFERROR(MID(VLOOKUP($B306,Seqs!$A:$B,2,0),AQ306,1),"")</f>
        <v>F</v>
      </c>
      <c r="AQ306" s="3">
        <v>324</v>
      </c>
      <c r="AR306" s="3" t="str">
        <f>IFERROR(MID(VLOOKUP($B306,Seqs!$A:$B,2,0),AS306,1),"")</f>
        <v>D</v>
      </c>
      <c r="AS306" s="105">
        <v>332</v>
      </c>
      <c r="AT306" s="3" t="str">
        <f>IFERROR(MID(VLOOKUP($B306,Seqs!$A:$B,2,0),AU306,1),"")</f>
        <v>L</v>
      </c>
      <c r="AU306" s="3">
        <v>361</v>
      </c>
      <c r="AV306" s="3" t="str">
        <f>IFERROR(MID(VLOOKUP($B306,Seqs!$A:$B,2,0),AW306,1),"")</f>
        <v>S</v>
      </c>
      <c r="AW306" s="3">
        <v>362</v>
      </c>
      <c r="AX306" s="3" t="str">
        <f>IFERROR(MID(VLOOKUP($B306,Seqs!$A:$B,2,0),AY306,1),"")</f>
        <v>P</v>
      </c>
      <c r="AY306" s="3">
        <v>378</v>
      </c>
      <c r="AZ306" s="77" t="str">
        <f>VLOOKUP(B306,Classification!A:D,2,0)</f>
        <v>A</v>
      </c>
      <c r="BA306" s="94" t="str">
        <f>VLOOKUP(B306,Classification!A:D,4,0)</f>
        <v>Orexin</v>
      </c>
      <c r="BB306" s="27" t="b">
        <f t="shared" si="1983"/>
        <v>1</v>
      </c>
      <c r="BC306" s="23">
        <f t="shared" si="1956"/>
        <v>267</v>
      </c>
      <c r="BD306" s="56" t="s">
        <v>23</v>
      </c>
      <c r="BE306" s="3" t="s">
        <v>23</v>
      </c>
      <c r="BF306" s="118" t="s">
        <v>23</v>
      </c>
      <c r="BG306" s="49" t="s">
        <v>1372</v>
      </c>
      <c r="BH306" s="49" t="s">
        <v>1377</v>
      </c>
      <c r="BI306" s="1"/>
      <c r="BJ306" s="70" t="s">
        <v>1287</v>
      </c>
      <c r="BK306" s="57" t="s">
        <v>1287</v>
      </c>
      <c r="BL306" s="57" t="s">
        <v>1287</v>
      </c>
      <c r="BM306" s="57" t="s">
        <v>1287</v>
      </c>
      <c r="BN306" s="57" t="s">
        <v>1287</v>
      </c>
      <c r="BO306" s="57" t="s">
        <v>1287</v>
      </c>
      <c r="BP306" s="57" t="s">
        <v>1287</v>
      </c>
      <c r="BQ306" s="57" t="s">
        <v>1287</v>
      </c>
      <c r="BR306" s="57" t="s">
        <v>1287</v>
      </c>
      <c r="BS306" s="57" t="s">
        <v>1287</v>
      </c>
      <c r="BT306" s="57" t="s">
        <v>1287</v>
      </c>
      <c r="BU306" s="57" t="s">
        <v>1287</v>
      </c>
      <c r="BV306" s="70">
        <f t="shared" si="1957"/>
        <v>46</v>
      </c>
      <c r="BW306" s="71">
        <f t="shared" si="1958"/>
        <v>75</v>
      </c>
      <c r="BX306" s="72">
        <f t="shared" si="1959"/>
        <v>79</v>
      </c>
      <c r="BY306" s="71">
        <f t="shared" si="1960"/>
        <v>111</v>
      </c>
      <c r="BZ306" s="72">
        <f t="shared" si="1961"/>
        <v>115</v>
      </c>
      <c r="CA306" s="71">
        <f t="shared" si="1962"/>
        <v>151</v>
      </c>
      <c r="CB306" s="72">
        <f t="shared" si="1963"/>
        <v>157</v>
      </c>
      <c r="CC306" s="71">
        <f t="shared" si="1964"/>
        <v>202</v>
      </c>
      <c r="CD306" s="72">
        <f t="shared" si="1965"/>
        <v>210</v>
      </c>
      <c r="CE306" s="71">
        <f t="shared" si="1966"/>
        <v>283</v>
      </c>
      <c r="CF306" s="72">
        <f t="shared" si="1967"/>
        <v>332</v>
      </c>
      <c r="CG306" s="71">
        <f t="shared" si="1968"/>
        <v>362</v>
      </c>
      <c r="CH306" s="70">
        <f t="shared" si="1969"/>
        <v>74</v>
      </c>
      <c r="CI306" s="71">
        <f t="shared" si="1970"/>
        <v>78</v>
      </c>
      <c r="CJ306" s="72">
        <f t="shared" si="1971"/>
        <v>110</v>
      </c>
      <c r="CK306" s="72">
        <f t="shared" si="1972"/>
        <v>114</v>
      </c>
      <c r="CL306" s="72">
        <f t="shared" si="1973"/>
        <v>150</v>
      </c>
      <c r="CM306" s="72">
        <f t="shared" si="1974"/>
        <v>154</v>
      </c>
      <c r="CN306" s="72">
        <f t="shared" si="1975"/>
        <v>183</v>
      </c>
      <c r="CO306" s="72">
        <f t="shared" si="1976"/>
        <v>204</v>
      </c>
      <c r="CP306" s="72">
        <f t="shared" si="1977"/>
        <v>248</v>
      </c>
      <c r="CQ306" s="72">
        <f t="shared" si="1978"/>
        <v>324</v>
      </c>
      <c r="CR306" s="72">
        <f t="shared" si="1979"/>
        <v>361</v>
      </c>
      <c r="CS306" s="72">
        <f t="shared" si="1980"/>
        <v>378</v>
      </c>
      <c r="CT306" s="23">
        <f t="shared" si="1981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1982"/>
        <v>ox1r_human_4ZJ8</v>
      </c>
      <c r="B307" s="3" t="s">
        <v>1174</v>
      </c>
      <c r="C307" s="3" t="s">
        <v>90</v>
      </c>
      <c r="D307" s="3" t="str">
        <f>IFERROR(MID(VLOOKUP($B307,Seqs!$A:$B,2,0),E307,1),"")</f>
        <v>E</v>
      </c>
      <c r="E307" s="3">
        <v>46</v>
      </c>
      <c r="F307" s="3" t="str">
        <f>IFERROR(MID(VLOOKUP($B307,Seqs!$A:$B,2,0),G307,1),"")</f>
        <v>N</v>
      </c>
      <c r="G307" s="3">
        <v>74</v>
      </c>
      <c r="H307" s="3" t="str">
        <f>IFERROR(MID(VLOOKUP($B307,Seqs!$A:$B,2,0),I307,1),"")</f>
        <v>H</v>
      </c>
      <c r="I307" s="23">
        <v>75</v>
      </c>
      <c r="J307" s="3" t="str">
        <f>IFERROR(MID(VLOOKUP($B307,Seqs!$A:$B,2,0),K307,1),"")</f>
        <v>R</v>
      </c>
      <c r="K307" s="23">
        <v>78</v>
      </c>
      <c r="L307" s="3" t="str">
        <f>IFERROR(MID(VLOOKUP($B307,Seqs!$A:$B,2,0),M307,1),"")</f>
        <v>T</v>
      </c>
      <c r="M307" s="3">
        <v>79</v>
      </c>
      <c r="N307" s="3" t="str">
        <f>IFERROR(MID(VLOOKUP($B307,Seqs!$A:$B,2,0),O307,1),"")</f>
        <v>E</v>
      </c>
      <c r="O307" s="3">
        <v>110</v>
      </c>
      <c r="P307" s="3" t="str">
        <f>IFERROR(MID(VLOOKUP($B307,Seqs!$A:$B,2,0),Q307,1),"")</f>
        <v>S</v>
      </c>
      <c r="Q307" s="3">
        <v>111</v>
      </c>
      <c r="R307" s="3" t="str">
        <f>IFERROR(MID(VLOOKUP($B307,Seqs!$A:$B,2,0),S307,1),"")</f>
        <v>F</v>
      </c>
      <c r="S307" s="3">
        <v>114</v>
      </c>
      <c r="T307" s="3" t="str">
        <f>IFERROR(MID(VLOOKUP($B307,Seqs!$A:$B,2,0),U307,1),"")</f>
        <v>G</v>
      </c>
      <c r="U307" s="3">
        <v>115</v>
      </c>
      <c r="V307" s="3" t="str">
        <f>IFERROR(MID(VLOOKUP($B307,Seqs!$A:$B,2,0),W307,1),"")</f>
        <v>H</v>
      </c>
      <c r="W307" s="3">
        <v>150</v>
      </c>
      <c r="X307" s="3" t="str">
        <f>IFERROR(MID(VLOOKUP($B307,Seqs!$A:$B,2,0),Y307,1),"")</f>
        <v>P</v>
      </c>
      <c r="Y307" s="3">
        <v>151</v>
      </c>
      <c r="Z307" s="3" t="str">
        <f>IFERROR(MID(VLOOKUP($B307,Seqs!$A:$B,2,0),AA307,1),"")</f>
        <v>F</v>
      </c>
      <c r="AA307" s="3">
        <v>154</v>
      </c>
      <c r="AB307" s="3" t="str">
        <f>IFERROR(MID(VLOOKUP($B307,Seqs!$A:$B,2,0),AC307,1),"")</f>
        <v>T</v>
      </c>
      <c r="AC307" s="9">
        <v>157</v>
      </c>
      <c r="AD307" s="3" t="str">
        <f>IFERROR(MID(VLOOKUP($B307,Seqs!$A:$B,2,0),AE307,1),"")</f>
        <v>M</v>
      </c>
      <c r="AE307" s="3">
        <v>183</v>
      </c>
      <c r="AF307" s="3" t="str">
        <f>IFERROR(MID(VLOOKUP($B307,Seqs!$A:$B,2,0),AG307,1),"")</f>
        <v>C</v>
      </c>
      <c r="AG307" s="3">
        <v>202</v>
      </c>
      <c r="AH307" s="3" t="str">
        <f>IFERROR(MID(VLOOKUP($B307,Seqs!$A:$B,2,0),AI307,1),"")</f>
        <v>E</v>
      </c>
      <c r="AI307" s="3">
        <v>204</v>
      </c>
      <c r="AJ307" s="3" t="str">
        <f>IFERROR(MID(VLOOKUP($B307,Seqs!$A:$B,2,0),AK307,1),"")</f>
        <v>L</v>
      </c>
      <c r="AK307" s="3">
        <v>210</v>
      </c>
      <c r="AL307" s="3" t="str">
        <f>IFERROR(MID(VLOOKUP($B307,Seqs!$A:$B,2,0),AM307,1),"")</f>
        <v>L</v>
      </c>
      <c r="AM307" s="3">
        <v>242</v>
      </c>
      <c r="AN307" s="3" t="str">
        <f>IFERROR(MID(VLOOKUP($B307,Seqs!$A:$B,2,0),AO307,1),"")</f>
        <v>K</v>
      </c>
      <c r="AO307" s="3">
        <v>288</v>
      </c>
      <c r="AP307" s="3" t="str">
        <f>IFERROR(MID(VLOOKUP($B307,Seqs!$A:$B,2,0),AQ307,1),"")</f>
        <v>F</v>
      </c>
      <c r="AQ307" s="3">
        <v>324</v>
      </c>
      <c r="AR307" s="3" t="str">
        <f>IFERROR(MID(VLOOKUP($B307,Seqs!$A:$B,2,0),AS307,1),"")</f>
        <v>R</v>
      </c>
      <c r="AS307" s="3">
        <v>333</v>
      </c>
      <c r="AT307" s="3" t="str">
        <f>IFERROR(MID(VLOOKUP($B307,Seqs!$A:$B,2,0),AU307,1),"")</f>
        <v>L</v>
      </c>
      <c r="AU307" s="3">
        <v>361</v>
      </c>
      <c r="AV307" s="3" t="str">
        <f>IFERROR(MID(VLOOKUP($B307,Seqs!$A:$B,2,0),AW307,1),"")</f>
        <v>S</v>
      </c>
      <c r="AW307" s="3">
        <v>362</v>
      </c>
      <c r="AX307" s="3" t="str">
        <f>IFERROR(MID(VLOOKUP($B307,Seqs!$A:$B,2,0),AY307,1),"")</f>
        <v>F</v>
      </c>
      <c r="AY307" s="3">
        <v>373</v>
      </c>
      <c r="AZ307" s="77" t="str">
        <f>VLOOKUP(B307,Classification!A:D,2,0)</f>
        <v>A</v>
      </c>
      <c r="BA307" s="94" t="str">
        <f>VLOOKUP(B307,Classification!A:D,4,0)</f>
        <v>Orexin</v>
      </c>
      <c r="BB307" s="27" t="b">
        <f t="shared" si="1983"/>
        <v>1</v>
      </c>
      <c r="BC307" s="23">
        <f t="shared" si="1956"/>
        <v>250</v>
      </c>
      <c r="BD307" s="4" t="s">
        <v>23</v>
      </c>
      <c r="BE307" s="3" t="s">
        <v>1374</v>
      </c>
      <c r="BF307" s="118">
        <v>2.75</v>
      </c>
      <c r="BG307" s="49" t="s">
        <v>1377</v>
      </c>
      <c r="BH307" s="49" t="s">
        <v>1377</v>
      </c>
      <c r="BI307" s="1"/>
      <c r="BJ307" s="70" t="s">
        <v>1287</v>
      </c>
      <c r="BK307" s="57" t="s">
        <v>1287</v>
      </c>
      <c r="BL307" s="57" t="s">
        <v>1287</v>
      </c>
      <c r="BM307" s="57" t="s">
        <v>1287</v>
      </c>
      <c r="BN307" s="57" t="s">
        <v>1287</v>
      </c>
      <c r="BO307" s="57" t="s">
        <v>1287</v>
      </c>
      <c r="BP307" s="57" t="s">
        <v>1287</v>
      </c>
      <c r="BQ307" s="57" t="s">
        <v>1287</v>
      </c>
      <c r="BR307" s="57" t="s">
        <v>1287</v>
      </c>
      <c r="BS307" s="57" t="s">
        <v>1287</v>
      </c>
      <c r="BT307" s="57" t="s">
        <v>1287</v>
      </c>
      <c r="BU307" s="57" t="s">
        <v>1287</v>
      </c>
      <c r="BV307" s="70">
        <f t="shared" si="1957"/>
        <v>46</v>
      </c>
      <c r="BW307" s="71">
        <f t="shared" si="1958"/>
        <v>75</v>
      </c>
      <c r="BX307" s="72">
        <f t="shared" si="1959"/>
        <v>79</v>
      </c>
      <c r="BY307" s="71">
        <f t="shared" si="1960"/>
        <v>111</v>
      </c>
      <c r="BZ307" s="72">
        <f t="shared" si="1961"/>
        <v>115</v>
      </c>
      <c r="CA307" s="71">
        <f t="shared" si="1962"/>
        <v>151</v>
      </c>
      <c r="CB307" s="72">
        <f t="shared" si="1963"/>
        <v>157</v>
      </c>
      <c r="CC307" s="71">
        <f t="shared" si="1964"/>
        <v>202</v>
      </c>
      <c r="CD307" s="72">
        <f t="shared" si="1965"/>
        <v>210</v>
      </c>
      <c r="CE307" s="71">
        <f t="shared" si="1966"/>
        <v>288</v>
      </c>
      <c r="CF307" s="72">
        <f t="shared" si="1967"/>
        <v>333</v>
      </c>
      <c r="CG307" s="71">
        <f t="shared" si="1968"/>
        <v>362</v>
      </c>
      <c r="CH307" s="70">
        <f t="shared" si="1969"/>
        <v>74</v>
      </c>
      <c r="CI307" s="71">
        <f t="shared" si="1970"/>
        <v>78</v>
      </c>
      <c r="CJ307" s="72">
        <f t="shared" si="1971"/>
        <v>110</v>
      </c>
      <c r="CK307" s="72">
        <f t="shared" si="1972"/>
        <v>114</v>
      </c>
      <c r="CL307" s="72">
        <f t="shared" si="1973"/>
        <v>150</v>
      </c>
      <c r="CM307" s="72">
        <f t="shared" si="1974"/>
        <v>154</v>
      </c>
      <c r="CN307" s="72">
        <f t="shared" si="1975"/>
        <v>183</v>
      </c>
      <c r="CO307" s="72">
        <f t="shared" si="1976"/>
        <v>204</v>
      </c>
      <c r="CP307" s="72">
        <f t="shared" si="1977"/>
        <v>242</v>
      </c>
      <c r="CQ307" s="72">
        <f t="shared" si="1978"/>
        <v>324</v>
      </c>
      <c r="CR307" s="72">
        <f t="shared" si="1979"/>
        <v>361</v>
      </c>
      <c r="CS307" s="72">
        <f t="shared" si="1980"/>
        <v>373</v>
      </c>
      <c r="CT307" s="23">
        <f t="shared" si="1981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2"/>
    </row>
    <row r="308" spans="1:1030" x14ac:dyDescent="0.2">
      <c r="A308" s="3" t="str">
        <f t="shared" si="1982"/>
        <v>ox1r_human_4ZJC</v>
      </c>
      <c r="B308" s="3" t="s">
        <v>1174</v>
      </c>
      <c r="C308" s="3" t="s">
        <v>91</v>
      </c>
      <c r="D308" s="3" t="str">
        <f>IFERROR(MID(VLOOKUP($B308,Seqs!$A:$B,2,0),E308,1),"")</f>
        <v>E</v>
      </c>
      <c r="E308" s="3">
        <v>46</v>
      </c>
      <c r="F308" s="3" t="str">
        <f>IFERROR(MID(VLOOKUP($B308,Seqs!$A:$B,2,0),G308,1),"")</f>
        <v>N</v>
      </c>
      <c r="G308" s="3">
        <v>74</v>
      </c>
      <c r="H308" s="3" t="str">
        <f>IFERROR(MID(VLOOKUP($B308,Seqs!$A:$B,2,0),I308,1),"")</f>
        <v>H</v>
      </c>
      <c r="I308" s="23">
        <v>75</v>
      </c>
      <c r="J308" s="3" t="str">
        <f>IFERROR(MID(VLOOKUP($B308,Seqs!$A:$B,2,0),K308,1),"")</f>
        <v>R</v>
      </c>
      <c r="K308" s="23">
        <v>78</v>
      </c>
      <c r="L308" s="3" t="str">
        <f>IFERROR(MID(VLOOKUP($B308,Seqs!$A:$B,2,0),M308,1),"")</f>
        <v>T</v>
      </c>
      <c r="M308" s="3">
        <v>79</v>
      </c>
      <c r="N308" s="3" t="str">
        <f>IFERROR(MID(VLOOKUP($B308,Seqs!$A:$B,2,0),O308,1),"")</f>
        <v>E</v>
      </c>
      <c r="O308" s="3">
        <v>110</v>
      </c>
      <c r="P308" s="3" t="str">
        <f>IFERROR(MID(VLOOKUP($B308,Seqs!$A:$B,2,0),Q308,1),"")</f>
        <v>S</v>
      </c>
      <c r="Q308" s="3">
        <v>111</v>
      </c>
      <c r="R308" s="3" t="str">
        <f>IFERROR(MID(VLOOKUP($B308,Seqs!$A:$B,2,0),S308,1),"")</f>
        <v>F</v>
      </c>
      <c r="S308" s="3">
        <v>114</v>
      </c>
      <c r="T308" s="3" t="str">
        <f>IFERROR(MID(VLOOKUP($B308,Seqs!$A:$B,2,0),U308,1),"")</f>
        <v>G</v>
      </c>
      <c r="U308" s="3">
        <v>115</v>
      </c>
      <c r="V308" s="3" t="str">
        <f>IFERROR(MID(VLOOKUP($B308,Seqs!$A:$B,2,0),W308,1),"")</f>
        <v>H</v>
      </c>
      <c r="W308" s="3">
        <v>150</v>
      </c>
      <c r="X308" s="3" t="str">
        <f>IFERROR(MID(VLOOKUP($B308,Seqs!$A:$B,2,0),Y308,1),"")</f>
        <v>P</v>
      </c>
      <c r="Y308" s="3">
        <v>151</v>
      </c>
      <c r="Z308" s="3" t="str">
        <f>IFERROR(MID(VLOOKUP($B308,Seqs!$A:$B,2,0),AA308,1),"")</f>
        <v>F</v>
      </c>
      <c r="AA308" s="3">
        <v>154</v>
      </c>
      <c r="AB308" s="3" t="str">
        <f>IFERROR(MID(VLOOKUP($B308,Seqs!$A:$B,2,0),AC308,1),"")</f>
        <v>T</v>
      </c>
      <c r="AC308" s="9">
        <v>157</v>
      </c>
      <c r="AD308" s="3" t="str">
        <f>IFERROR(MID(VLOOKUP($B308,Seqs!$A:$B,2,0),AE308,1),"")</f>
        <v>M</v>
      </c>
      <c r="AE308" s="3">
        <v>183</v>
      </c>
      <c r="AF308" s="3" t="str">
        <f>IFERROR(MID(VLOOKUP($B308,Seqs!$A:$B,2,0),AG308,1),"")</f>
        <v>C</v>
      </c>
      <c r="AG308" s="3">
        <v>202</v>
      </c>
      <c r="AH308" s="3" t="str">
        <f>IFERROR(MID(VLOOKUP($B308,Seqs!$A:$B,2,0),AI308,1),"")</f>
        <v>E</v>
      </c>
      <c r="AI308" s="3">
        <v>204</v>
      </c>
      <c r="AJ308" s="3" t="str">
        <f>IFERROR(MID(VLOOKUP($B308,Seqs!$A:$B,2,0),AK308,1),"")</f>
        <v>L</v>
      </c>
      <c r="AK308" s="3">
        <v>210</v>
      </c>
      <c r="AL308" s="3" t="str">
        <f>IFERROR(MID(VLOOKUP($B308,Seqs!$A:$B,2,0),AM308,1),"")</f>
        <v>L</v>
      </c>
      <c r="AM308" s="3">
        <v>242</v>
      </c>
      <c r="AN308" s="3" t="str">
        <f>IFERROR(MID(VLOOKUP($B308,Seqs!$A:$B,2,0),AO308,1),"")</f>
        <v>K</v>
      </c>
      <c r="AO308" s="3">
        <v>288</v>
      </c>
      <c r="AP308" s="3" t="str">
        <f>IFERROR(MID(VLOOKUP($B308,Seqs!$A:$B,2,0),AQ308,1),"")</f>
        <v>F</v>
      </c>
      <c r="AQ308" s="3">
        <v>324</v>
      </c>
      <c r="AR308" s="3" t="str">
        <f>IFERROR(MID(VLOOKUP($B308,Seqs!$A:$B,2,0),AS308,1),"")</f>
        <v>R</v>
      </c>
      <c r="AS308" s="3">
        <v>333</v>
      </c>
      <c r="AT308" s="3" t="str">
        <f>IFERROR(MID(VLOOKUP($B308,Seqs!$A:$B,2,0),AU308,1),"")</f>
        <v>L</v>
      </c>
      <c r="AU308" s="3">
        <v>361</v>
      </c>
      <c r="AV308" s="3" t="str">
        <f>IFERROR(MID(VLOOKUP($B308,Seqs!$A:$B,2,0),AW308,1),"")</f>
        <v>S</v>
      </c>
      <c r="AW308" s="3">
        <v>362</v>
      </c>
      <c r="AX308" s="3" t="str">
        <f>IFERROR(MID(VLOOKUP($B308,Seqs!$A:$B,2,0),AY308,1),"")</f>
        <v>F</v>
      </c>
      <c r="AY308" s="3">
        <v>373</v>
      </c>
      <c r="AZ308" s="77" t="str">
        <f>VLOOKUP(B308,Classification!A:D,2,0)</f>
        <v>A</v>
      </c>
      <c r="BA308" s="94" t="str">
        <f>VLOOKUP(B308,Classification!A:D,4,0)</f>
        <v>Orexin</v>
      </c>
      <c r="BB308" s="27" t="b">
        <f t="shared" si="1983"/>
        <v>1</v>
      </c>
      <c r="BC308" s="23">
        <f t="shared" si="1956"/>
        <v>250</v>
      </c>
      <c r="BD308" s="2" t="s">
        <v>23</v>
      </c>
      <c r="BE308" s="3" t="s">
        <v>1374</v>
      </c>
      <c r="BF308" s="118">
        <v>2.83</v>
      </c>
      <c r="BG308" s="49" t="s">
        <v>1377</v>
      </c>
      <c r="BH308" s="49" t="s">
        <v>1377</v>
      </c>
      <c r="BI308" s="1"/>
      <c r="BJ308" s="70" t="s">
        <v>1287</v>
      </c>
      <c r="BK308" s="57" t="s">
        <v>1287</v>
      </c>
      <c r="BL308" s="57" t="s">
        <v>1287</v>
      </c>
      <c r="BM308" s="57" t="s">
        <v>1287</v>
      </c>
      <c r="BN308" s="57" t="s">
        <v>1287</v>
      </c>
      <c r="BO308" s="57" t="s">
        <v>1287</v>
      </c>
      <c r="BP308" s="57" t="s">
        <v>1287</v>
      </c>
      <c r="BQ308" s="57" t="s">
        <v>1287</v>
      </c>
      <c r="BR308" s="57" t="s">
        <v>1287</v>
      </c>
      <c r="BS308" s="57" t="s">
        <v>1287</v>
      </c>
      <c r="BT308" s="57" t="s">
        <v>1287</v>
      </c>
      <c r="BU308" s="57" t="s">
        <v>1287</v>
      </c>
      <c r="BV308" s="70">
        <f t="shared" si="1957"/>
        <v>46</v>
      </c>
      <c r="BW308" s="71">
        <f t="shared" si="1958"/>
        <v>75</v>
      </c>
      <c r="BX308" s="72">
        <f t="shared" si="1959"/>
        <v>79</v>
      </c>
      <c r="BY308" s="71">
        <f t="shared" si="1960"/>
        <v>111</v>
      </c>
      <c r="BZ308" s="72">
        <f t="shared" si="1961"/>
        <v>115</v>
      </c>
      <c r="CA308" s="71">
        <f t="shared" si="1962"/>
        <v>151</v>
      </c>
      <c r="CB308" s="72">
        <f t="shared" si="1963"/>
        <v>157</v>
      </c>
      <c r="CC308" s="71">
        <f t="shared" si="1964"/>
        <v>202</v>
      </c>
      <c r="CD308" s="72">
        <f t="shared" si="1965"/>
        <v>210</v>
      </c>
      <c r="CE308" s="71">
        <f t="shared" si="1966"/>
        <v>288</v>
      </c>
      <c r="CF308" s="72">
        <f t="shared" si="1967"/>
        <v>333</v>
      </c>
      <c r="CG308" s="71">
        <f t="shared" si="1968"/>
        <v>362</v>
      </c>
      <c r="CH308" s="70">
        <f t="shared" si="1969"/>
        <v>74</v>
      </c>
      <c r="CI308" s="71">
        <f t="shared" si="1970"/>
        <v>78</v>
      </c>
      <c r="CJ308" s="72">
        <f t="shared" si="1971"/>
        <v>110</v>
      </c>
      <c r="CK308" s="72">
        <f t="shared" si="1972"/>
        <v>114</v>
      </c>
      <c r="CL308" s="72">
        <f t="shared" si="1973"/>
        <v>150</v>
      </c>
      <c r="CM308" s="72">
        <f t="shared" si="1974"/>
        <v>154</v>
      </c>
      <c r="CN308" s="72">
        <f t="shared" si="1975"/>
        <v>183</v>
      </c>
      <c r="CO308" s="72">
        <f t="shared" si="1976"/>
        <v>204</v>
      </c>
      <c r="CP308" s="72">
        <f t="shared" si="1977"/>
        <v>242</v>
      </c>
      <c r="CQ308" s="72">
        <f t="shared" si="1978"/>
        <v>324</v>
      </c>
      <c r="CR308" s="72">
        <f t="shared" si="1979"/>
        <v>361</v>
      </c>
      <c r="CS308" s="72">
        <f t="shared" si="1980"/>
        <v>373</v>
      </c>
      <c r="CT308" s="23">
        <f t="shared" si="1981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2"/>
    </row>
    <row r="309" spans="1:1030" s="12" customFormat="1" x14ac:dyDescent="0.2">
      <c r="A309" s="9" t="str">
        <f t="shared" ref="A309" si="2152">CONCATENATE(B309,"_",C309)</f>
        <v>ox1r_human_6TO7</v>
      </c>
      <c r="B309" s="9" t="s">
        <v>1174</v>
      </c>
      <c r="C309" s="9" t="s">
        <v>1625</v>
      </c>
      <c r="D309" s="9" t="str">
        <f>IFERROR(MID(VLOOKUP($B309,Seqs!$A:$B,2,0),E309,1),"")</f>
        <v>Y</v>
      </c>
      <c r="E309" s="9">
        <v>45</v>
      </c>
      <c r="F309" s="9" t="str">
        <f>IFERROR(MID(VLOOKUP($B309,Seqs!$A:$B,2,0),G309,1),"")</f>
        <v>N</v>
      </c>
      <c r="G309" s="9">
        <v>74</v>
      </c>
      <c r="H309" s="9" t="str">
        <f>IFERROR(MID(VLOOKUP($B309,Seqs!$A:$B,2,0),I309,1),"")</f>
        <v>H</v>
      </c>
      <c r="I309" s="109">
        <v>75</v>
      </c>
      <c r="J309" s="9" t="str">
        <f>IFERROR(MID(VLOOKUP($B309,Seqs!$A:$B,2,0),K309,1),"")</f>
        <v>R</v>
      </c>
      <c r="K309" s="109">
        <v>78</v>
      </c>
      <c r="L309" s="9" t="str">
        <f>IFERROR(MID(VLOOKUP($B309,Seqs!$A:$B,2,0),M309,1),"")</f>
        <v>T</v>
      </c>
      <c r="M309" s="9">
        <v>79</v>
      </c>
      <c r="N309" s="9" t="str">
        <f>IFERROR(MID(VLOOKUP($B309,Seqs!$A:$B,2,0),O309,1),"")</f>
        <v>E</v>
      </c>
      <c r="O309" s="9">
        <v>110</v>
      </c>
      <c r="P309" s="9" t="str">
        <f>IFERROR(MID(VLOOKUP($B309,Seqs!$A:$B,2,0),Q309,1),"")</f>
        <v>S</v>
      </c>
      <c r="Q309" s="9">
        <v>111</v>
      </c>
      <c r="R309" s="9" t="str">
        <f>IFERROR(MID(VLOOKUP($B309,Seqs!$A:$B,2,0),S309,1),"")</f>
        <v>F</v>
      </c>
      <c r="S309" s="9">
        <v>114</v>
      </c>
      <c r="T309" s="9" t="str">
        <f>IFERROR(MID(VLOOKUP($B309,Seqs!$A:$B,2,0),U309,1),"")</f>
        <v>G</v>
      </c>
      <c r="U309" s="9">
        <v>115</v>
      </c>
      <c r="V309" s="9" t="str">
        <f>IFERROR(MID(VLOOKUP($B309,Seqs!$A:$B,2,0),W309,1),"")</f>
        <v>H</v>
      </c>
      <c r="W309" s="9">
        <v>150</v>
      </c>
      <c r="X309" s="9" t="str">
        <f>IFERROR(MID(VLOOKUP($B309,Seqs!$A:$B,2,0),Y309,1),"")</f>
        <v/>
      </c>
      <c r="Y309" s="9" t="s">
        <v>23</v>
      </c>
      <c r="Z309" s="9" t="str">
        <f>IFERROR(MID(VLOOKUP($B309,Seqs!$A:$B,2,0),AA309,1),"")</f>
        <v/>
      </c>
      <c r="AA309" s="9" t="s">
        <v>23</v>
      </c>
      <c r="AB309" s="9" t="str">
        <f>IFERROR(MID(VLOOKUP($B309,Seqs!$A:$B,2,0),AC309,1),"")</f>
        <v>T</v>
      </c>
      <c r="AC309" s="9">
        <v>157</v>
      </c>
      <c r="AD309" s="9" t="str">
        <f>IFERROR(MID(VLOOKUP($B309,Seqs!$A:$B,2,0),AE309,1),"")</f>
        <v>M</v>
      </c>
      <c r="AE309" s="9">
        <v>183</v>
      </c>
      <c r="AF309" s="9" t="str">
        <f>IFERROR(MID(VLOOKUP($B309,Seqs!$A:$B,2,0),AG309,1),"")</f>
        <v>C</v>
      </c>
      <c r="AG309" s="9">
        <v>202</v>
      </c>
      <c r="AH309" s="9" t="str">
        <f>IFERROR(MID(VLOOKUP($B309,Seqs!$A:$B,2,0),AI309,1),"")</f>
        <v>E</v>
      </c>
      <c r="AI309" s="9">
        <v>204</v>
      </c>
      <c r="AJ309" s="9" t="str">
        <f>IFERROR(MID(VLOOKUP($B309,Seqs!$A:$B,2,0),AK309,1),"")</f>
        <v>L</v>
      </c>
      <c r="AK309" s="9">
        <v>210</v>
      </c>
      <c r="AL309" s="9" t="str">
        <f>IFERROR(MID(VLOOKUP($B309,Seqs!$A:$B,2,0),AM309,1),"")</f>
        <v>G</v>
      </c>
      <c r="AM309" s="9">
        <v>244</v>
      </c>
      <c r="AN309" s="9" t="str">
        <f>IFERROR(MID(VLOOKUP($B309,Seqs!$A:$B,2,0),AO309,1),"")</f>
        <v>E</v>
      </c>
      <c r="AO309" s="9">
        <v>286</v>
      </c>
      <c r="AP309" s="9" t="str">
        <f>IFERROR(MID(VLOOKUP($B309,Seqs!$A:$B,2,0),AQ309,1),"")</f>
        <v>F</v>
      </c>
      <c r="AQ309" s="9">
        <v>324</v>
      </c>
      <c r="AR309" s="9" t="str">
        <f>IFERROR(MID(VLOOKUP($B309,Seqs!$A:$B,2,0),AS309,1),"")</f>
        <v>D</v>
      </c>
      <c r="AS309" s="9">
        <v>332</v>
      </c>
      <c r="AT309" s="9" t="str">
        <f>IFERROR(MID(VLOOKUP($B309,Seqs!$A:$B,2,0),AU309,1),"")</f>
        <v>L</v>
      </c>
      <c r="AU309" s="9">
        <v>361</v>
      </c>
      <c r="AV309" s="9" t="str">
        <f>IFERROR(MID(VLOOKUP($B309,Seqs!$A:$B,2,0),AW309,1),"")</f>
        <v>S</v>
      </c>
      <c r="AW309" s="9">
        <v>362</v>
      </c>
      <c r="AX309" s="9" t="str">
        <f>IFERROR(MID(VLOOKUP($B309,Seqs!$A:$B,2,0),AY309,1),"")</f>
        <v>L</v>
      </c>
      <c r="AY309" s="9">
        <v>377</v>
      </c>
      <c r="AZ309" s="110" t="str">
        <f>VLOOKUP(B309,Classification!A:D,2,0)</f>
        <v>A</v>
      </c>
      <c r="BA309" s="98" t="str">
        <f>VLOOKUP(B309,Classification!A:D,4,0)</f>
        <v>Orexin</v>
      </c>
      <c r="BB309" s="36" t="b">
        <f t="shared" ref="BB309" si="2153">AND(E309&lt;G309,OR(G309&lt;I309,I309="-"),OR(I309&lt;K309,I309="-"),OR(K309&lt;M309,K309="-"),M309&lt;O309,OR(O309&lt;Q309,Q309="-"),OR(Q309&lt;S309,Q309="-"),OR(S309&lt;U309,S309="-"),U309&lt;W309,OR(W309&lt;Y309,Y309="-"),OR(Y309&lt;AA309,Y309="-"),OR(AA309&lt;AC309,AA309="-"),AC309&lt;AE309,OR(AE309&lt;AG309,AG309="-"),OR(AG309&lt;AI309,AG309="-"),OR(AI309&lt;AK309,AI309="-"),AK309&lt;AM309,AM309&lt;AO309,AO309&lt;AQ309,AQ309&lt;AS309,AS309&lt;AU309,OR(AU309&lt;AW309,AW309="-"),OR(AW309&lt;AY309,AW309="-"))</f>
        <v>1</v>
      </c>
      <c r="BC309" s="109">
        <f t="shared" ref="BC309" si="2154">_xlfn.AGGREGATE(9,6,CH309:CS309)-_xlfn.AGGREGATE(9,6,BV309:CG309)+12</f>
        <v>257</v>
      </c>
      <c r="BD309" s="40" t="s">
        <v>1376</v>
      </c>
      <c r="BE309" s="9" t="s">
        <v>1374</v>
      </c>
      <c r="BF309" s="119">
        <v>2.2599999999999998</v>
      </c>
      <c r="BG309" s="51" t="s">
        <v>1</v>
      </c>
      <c r="BH309" s="51" t="s">
        <v>1</v>
      </c>
      <c r="BJ309" s="111" t="s">
        <v>1287</v>
      </c>
      <c r="BK309" s="112" t="s">
        <v>1287</v>
      </c>
      <c r="BL309" s="112" t="s">
        <v>1287</v>
      </c>
      <c r="BM309" s="112" t="s">
        <v>1287</v>
      </c>
      <c r="BN309" s="112" t="s">
        <v>1287</v>
      </c>
      <c r="BO309" s="112" t="s">
        <v>1287</v>
      </c>
      <c r="BP309" s="112" t="s">
        <v>1287</v>
      </c>
      <c r="BQ309" s="112" t="s">
        <v>1287</v>
      </c>
      <c r="BR309" s="112" t="s">
        <v>1287</v>
      </c>
      <c r="BS309" s="112" t="s">
        <v>1287</v>
      </c>
      <c r="BT309" s="112" t="s">
        <v>1287</v>
      </c>
      <c r="BU309" s="112" t="s">
        <v>1287</v>
      </c>
      <c r="BV309" s="111">
        <f t="shared" ref="BV309" si="2155">E309</f>
        <v>45</v>
      </c>
      <c r="BW309" s="113">
        <f t="shared" ref="BW309" si="2156">I309</f>
        <v>75</v>
      </c>
      <c r="BX309" s="114">
        <f t="shared" ref="BX309" si="2157">M309</f>
        <v>79</v>
      </c>
      <c r="BY309" s="113">
        <f t="shared" ref="BY309" si="2158">Q309</f>
        <v>111</v>
      </c>
      <c r="BZ309" s="114">
        <f t="shared" ref="BZ309" si="2159">U309</f>
        <v>115</v>
      </c>
      <c r="CA309" s="113" t="str">
        <f t="shared" ref="CA309" si="2160">Y309</f>
        <v>-</v>
      </c>
      <c r="CB309" s="114">
        <f t="shared" ref="CB309" si="2161">AC309</f>
        <v>157</v>
      </c>
      <c r="CC309" s="113">
        <f t="shared" ref="CC309" si="2162">AG309</f>
        <v>202</v>
      </c>
      <c r="CD309" s="114">
        <f t="shared" ref="CD309" si="2163">AK309</f>
        <v>210</v>
      </c>
      <c r="CE309" s="113">
        <f t="shared" ref="CE309" si="2164">AO309</f>
        <v>286</v>
      </c>
      <c r="CF309" s="114">
        <f t="shared" ref="CF309" si="2165">AS309</f>
        <v>332</v>
      </c>
      <c r="CG309" s="113">
        <f t="shared" ref="CG309" si="2166">AW309</f>
        <v>362</v>
      </c>
      <c r="CH309" s="111">
        <f t="shared" ref="CH309" si="2167">G309</f>
        <v>74</v>
      </c>
      <c r="CI309" s="113">
        <f t="shared" ref="CI309" si="2168">K309</f>
        <v>78</v>
      </c>
      <c r="CJ309" s="114">
        <f t="shared" ref="CJ309" si="2169">O309</f>
        <v>110</v>
      </c>
      <c r="CK309" s="114">
        <f t="shared" ref="CK309" si="2170">S309</f>
        <v>114</v>
      </c>
      <c r="CL309" s="114">
        <f t="shared" ref="CL309" si="2171">W309</f>
        <v>150</v>
      </c>
      <c r="CM309" s="114" t="str">
        <f t="shared" ref="CM309" si="2172">AA309</f>
        <v>-</v>
      </c>
      <c r="CN309" s="114">
        <f t="shared" ref="CN309" si="2173">AE309</f>
        <v>183</v>
      </c>
      <c r="CO309" s="114">
        <f t="shared" ref="CO309" si="2174">AI309</f>
        <v>204</v>
      </c>
      <c r="CP309" s="114">
        <f t="shared" ref="CP309" si="2175">AM309</f>
        <v>244</v>
      </c>
      <c r="CQ309" s="114">
        <f t="shared" ref="CQ309" si="2176">AQ309</f>
        <v>324</v>
      </c>
      <c r="CR309" s="114">
        <f t="shared" ref="CR309" si="2177">AU309</f>
        <v>361</v>
      </c>
      <c r="CS309" s="114">
        <f t="shared" ref="CS309" si="2178">AY309</f>
        <v>377</v>
      </c>
      <c r="CT309" s="109">
        <f t="shared" ref="CT309" si="2179">M309-K309</f>
        <v>1</v>
      </c>
      <c r="AMP309" s="40"/>
    </row>
    <row r="310" spans="1:1030" s="12" customFormat="1" x14ac:dyDescent="0.2">
      <c r="A310" s="9" t="str">
        <f t="shared" ref="A310" si="2180">CONCATENATE(B310,"_",C310)</f>
        <v>ox1r_human_6TOD</v>
      </c>
      <c r="B310" s="9" t="s">
        <v>1174</v>
      </c>
      <c r="C310" s="9" t="s">
        <v>1626</v>
      </c>
      <c r="D310" s="9" t="str">
        <f>IFERROR(MID(VLOOKUP($B310,Seqs!$A:$B,2,0),E310,1),"")</f>
        <v>Y</v>
      </c>
      <c r="E310" s="9">
        <v>45</v>
      </c>
      <c r="F310" s="9" t="str">
        <f>IFERROR(MID(VLOOKUP($B310,Seqs!$A:$B,2,0),G310,1),"")</f>
        <v>N</v>
      </c>
      <c r="G310" s="9">
        <v>74</v>
      </c>
      <c r="H310" s="9" t="str">
        <f>IFERROR(MID(VLOOKUP($B310,Seqs!$A:$B,2,0),I310,1),"")</f>
        <v>H</v>
      </c>
      <c r="I310" s="109">
        <v>75</v>
      </c>
      <c r="J310" s="9" t="str">
        <f>IFERROR(MID(VLOOKUP($B310,Seqs!$A:$B,2,0),K310,1),"")</f>
        <v>R</v>
      </c>
      <c r="K310" s="109">
        <v>78</v>
      </c>
      <c r="L310" s="9" t="str">
        <f>IFERROR(MID(VLOOKUP($B310,Seqs!$A:$B,2,0),M310,1),"")</f>
        <v>T</v>
      </c>
      <c r="M310" s="9">
        <v>79</v>
      </c>
      <c r="N310" s="9" t="str">
        <f>IFERROR(MID(VLOOKUP($B310,Seqs!$A:$B,2,0),O310,1),"")</f>
        <v>E</v>
      </c>
      <c r="O310" s="9">
        <v>110</v>
      </c>
      <c r="P310" s="9" t="str">
        <f>IFERROR(MID(VLOOKUP($B310,Seqs!$A:$B,2,0),Q310,1),"")</f>
        <v>S</v>
      </c>
      <c r="Q310" s="9">
        <v>111</v>
      </c>
      <c r="R310" s="9" t="str">
        <f>IFERROR(MID(VLOOKUP($B310,Seqs!$A:$B,2,0),S310,1),"")</f>
        <v>F</v>
      </c>
      <c r="S310" s="9">
        <v>114</v>
      </c>
      <c r="T310" s="9" t="str">
        <f>IFERROR(MID(VLOOKUP($B310,Seqs!$A:$B,2,0),U310,1),"")</f>
        <v>G</v>
      </c>
      <c r="U310" s="9">
        <v>115</v>
      </c>
      <c r="V310" s="9" t="str">
        <f>IFERROR(MID(VLOOKUP($B310,Seqs!$A:$B,2,0),W310,1),"")</f>
        <v>H</v>
      </c>
      <c r="W310" s="9">
        <v>150</v>
      </c>
      <c r="X310" s="9" t="str">
        <f>IFERROR(MID(VLOOKUP($B310,Seqs!$A:$B,2,0),Y310,1),"")</f>
        <v/>
      </c>
      <c r="Y310" s="9" t="s">
        <v>23</v>
      </c>
      <c r="Z310" s="9" t="str">
        <f>IFERROR(MID(VLOOKUP($B310,Seqs!$A:$B,2,0),AA310,1),"")</f>
        <v/>
      </c>
      <c r="AA310" s="9" t="s">
        <v>23</v>
      </c>
      <c r="AB310" s="9" t="str">
        <f>IFERROR(MID(VLOOKUP($B310,Seqs!$A:$B,2,0),AC310,1),"")</f>
        <v>T</v>
      </c>
      <c r="AC310" s="9">
        <v>157</v>
      </c>
      <c r="AD310" s="9" t="str">
        <f>IFERROR(MID(VLOOKUP($B310,Seqs!$A:$B,2,0),AE310,1),"")</f>
        <v>M</v>
      </c>
      <c r="AE310" s="9">
        <v>183</v>
      </c>
      <c r="AF310" s="9" t="str">
        <f>IFERROR(MID(VLOOKUP($B310,Seqs!$A:$B,2,0),AG310,1),"")</f>
        <v>C</v>
      </c>
      <c r="AG310" s="9">
        <v>202</v>
      </c>
      <c r="AH310" s="9" t="str">
        <f>IFERROR(MID(VLOOKUP($B310,Seqs!$A:$B,2,0),AI310,1),"")</f>
        <v>E</v>
      </c>
      <c r="AI310" s="9">
        <v>204</v>
      </c>
      <c r="AJ310" s="9" t="str">
        <f>IFERROR(MID(VLOOKUP($B310,Seqs!$A:$B,2,0),AK310,1),"")</f>
        <v>L</v>
      </c>
      <c r="AK310" s="9">
        <v>210</v>
      </c>
      <c r="AL310" s="9" t="str">
        <f>IFERROR(MID(VLOOKUP($B310,Seqs!$A:$B,2,0),AM310,1),"")</f>
        <v>G</v>
      </c>
      <c r="AM310" s="9">
        <v>244</v>
      </c>
      <c r="AN310" s="9" t="str">
        <f>IFERROR(MID(VLOOKUP($B310,Seqs!$A:$B,2,0),AO310,1),"")</f>
        <v>E</v>
      </c>
      <c r="AO310" s="9">
        <v>286</v>
      </c>
      <c r="AP310" s="9" t="str">
        <f>IFERROR(MID(VLOOKUP($B310,Seqs!$A:$B,2,0),AQ310,1),"")</f>
        <v>F</v>
      </c>
      <c r="AQ310" s="9">
        <v>324</v>
      </c>
      <c r="AR310" s="9" t="str">
        <f>IFERROR(MID(VLOOKUP($B310,Seqs!$A:$B,2,0),AS310,1),"")</f>
        <v>D</v>
      </c>
      <c r="AS310" s="9">
        <v>332</v>
      </c>
      <c r="AT310" s="9" t="str">
        <f>IFERROR(MID(VLOOKUP($B310,Seqs!$A:$B,2,0),AU310,1),"")</f>
        <v>L</v>
      </c>
      <c r="AU310" s="9">
        <v>361</v>
      </c>
      <c r="AV310" s="9" t="str">
        <f>IFERROR(MID(VLOOKUP($B310,Seqs!$A:$B,2,0),AW310,1),"")</f>
        <v>S</v>
      </c>
      <c r="AW310" s="9">
        <v>362</v>
      </c>
      <c r="AX310" s="9" t="str">
        <f>IFERROR(MID(VLOOKUP($B310,Seqs!$A:$B,2,0),AY310,1),"")</f>
        <v>C</v>
      </c>
      <c r="AY310" s="9">
        <v>375</v>
      </c>
      <c r="AZ310" s="110" t="str">
        <f>VLOOKUP(B310,Classification!A:D,2,0)</f>
        <v>A</v>
      </c>
      <c r="BA310" s="98" t="str">
        <f>VLOOKUP(B310,Classification!A:D,4,0)</f>
        <v>Orexin</v>
      </c>
      <c r="BB310" s="36" t="b">
        <f t="shared" ref="BB310" si="2181">AND(E310&lt;G310,OR(G310&lt;I310,I310="-"),OR(I310&lt;K310,I310="-"),OR(K310&lt;M310,K310="-"),M310&lt;O310,OR(O310&lt;Q310,Q310="-"),OR(Q310&lt;S310,Q310="-"),OR(S310&lt;U310,S310="-"),U310&lt;W310,OR(W310&lt;Y310,Y310="-"),OR(Y310&lt;AA310,Y310="-"),OR(AA310&lt;AC310,AA310="-"),AC310&lt;AE310,OR(AE310&lt;AG310,AG310="-"),OR(AG310&lt;AI310,AG310="-"),OR(AI310&lt;AK310,AI310="-"),AK310&lt;AM310,AM310&lt;AO310,AO310&lt;AQ310,AQ310&lt;AS310,AS310&lt;AU310,OR(AU310&lt;AW310,AW310="-"),OR(AW310&lt;AY310,AW310="-"))</f>
        <v>1</v>
      </c>
      <c r="BC310" s="109">
        <f t="shared" ref="BC310" si="2182">_xlfn.AGGREGATE(9,6,CH310:CS310)-_xlfn.AGGREGATE(9,6,BV310:CG310)+12</f>
        <v>255</v>
      </c>
      <c r="BD310" s="40" t="s">
        <v>23</v>
      </c>
      <c r="BE310" s="9" t="s">
        <v>1374</v>
      </c>
      <c r="BF310" s="119">
        <v>2.11</v>
      </c>
      <c r="BG310" s="51" t="s">
        <v>1</v>
      </c>
      <c r="BH310" s="51" t="s">
        <v>1</v>
      </c>
      <c r="BJ310" s="111" t="s">
        <v>1287</v>
      </c>
      <c r="BK310" s="112" t="s">
        <v>1287</v>
      </c>
      <c r="BL310" s="112" t="s">
        <v>1287</v>
      </c>
      <c r="BM310" s="112" t="s">
        <v>1287</v>
      </c>
      <c r="BN310" s="112" t="s">
        <v>1287</v>
      </c>
      <c r="BO310" s="112" t="s">
        <v>1287</v>
      </c>
      <c r="BP310" s="112" t="s">
        <v>1287</v>
      </c>
      <c r="BQ310" s="112" t="s">
        <v>1287</v>
      </c>
      <c r="BR310" s="112" t="s">
        <v>1287</v>
      </c>
      <c r="BS310" s="112" t="s">
        <v>1287</v>
      </c>
      <c r="BT310" s="112" t="s">
        <v>1287</v>
      </c>
      <c r="BU310" s="112" t="s">
        <v>1287</v>
      </c>
      <c r="BV310" s="111">
        <f t="shared" ref="BV310" si="2183">E310</f>
        <v>45</v>
      </c>
      <c r="BW310" s="113">
        <f t="shared" ref="BW310" si="2184">I310</f>
        <v>75</v>
      </c>
      <c r="BX310" s="114">
        <f t="shared" ref="BX310" si="2185">M310</f>
        <v>79</v>
      </c>
      <c r="BY310" s="113">
        <f t="shared" ref="BY310" si="2186">Q310</f>
        <v>111</v>
      </c>
      <c r="BZ310" s="114">
        <f t="shared" ref="BZ310" si="2187">U310</f>
        <v>115</v>
      </c>
      <c r="CA310" s="113" t="str">
        <f t="shared" ref="CA310" si="2188">Y310</f>
        <v>-</v>
      </c>
      <c r="CB310" s="114">
        <f t="shared" ref="CB310" si="2189">AC310</f>
        <v>157</v>
      </c>
      <c r="CC310" s="113">
        <f t="shared" ref="CC310" si="2190">AG310</f>
        <v>202</v>
      </c>
      <c r="CD310" s="114">
        <f t="shared" ref="CD310" si="2191">AK310</f>
        <v>210</v>
      </c>
      <c r="CE310" s="113">
        <f t="shared" ref="CE310" si="2192">AO310</f>
        <v>286</v>
      </c>
      <c r="CF310" s="114">
        <f t="shared" ref="CF310" si="2193">AS310</f>
        <v>332</v>
      </c>
      <c r="CG310" s="113">
        <f t="shared" ref="CG310" si="2194">AW310</f>
        <v>362</v>
      </c>
      <c r="CH310" s="111">
        <f t="shared" ref="CH310" si="2195">G310</f>
        <v>74</v>
      </c>
      <c r="CI310" s="113">
        <f t="shared" ref="CI310" si="2196">K310</f>
        <v>78</v>
      </c>
      <c r="CJ310" s="114">
        <f t="shared" ref="CJ310" si="2197">O310</f>
        <v>110</v>
      </c>
      <c r="CK310" s="114">
        <f t="shared" ref="CK310" si="2198">S310</f>
        <v>114</v>
      </c>
      <c r="CL310" s="114">
        <f t="shared" ref="CL310" si="2199">W310</f>
        <v>150</v>
      </c>
      <c r="CM310" s="114" t="str">
        <f t="shared" ref="CM310" si="2200">AA310</f>
        <v>-</v>
      </c>
      <c r="CN310" s="114">
        <f t="shared" ref="CN310" si="2201">AE310</f>
        <v>183</v>
      </c>
      <c r="CO310" s="114">
        <f t="shared" ref="CO310" si="2202">AI310</f>
        <v>204</v>
      </c>
      <c r="CP310" s="114">
        <f t="shared" ref="CP310" si="2203">AM310</f>
        <v>244</v>
      </c>
      <c r="CQ310" s="114">
        <f t="shared" ref="CQ310" si="2204">AQ310</f>
        <v>324</v>
      </c>
      <c r="CR310" s="114">
        <f t="shared" ref="CR310" si="2205">AU310</f>
        <v>361</v>
      </c>
      <c r="CS310" s="114">
        <f t="shared" ref="CS310" si="2206">AY310</f>
        <v>375</v>
      </c>
      <c r="CT310" s="109">
        <f t="shared" ref="CT310" si="2207">M310-K310</f>
        <v>1</v>
      </c>
      <c r="AMP310" s="40"/>
    </row>
    <row r="311" spans="1:1030" s="12" customFormat="1" x14ac:dyDescent="0.2">
      <c r="A311" s="9" t="str">
        <f t="shared" ref="A311" si="2208">CONCATENATE(B311,"_",C311)</f>
        <v>ox1r_human_6TP3</v>
      </c>
      <c r="B311" s="9" t="s">
        <v>1174</v>
      </c>
      <c r="C311" s="9" t="s">
        <v>1627</v>
      </c>
      <c r="D311" s="9" t="str">
        <f>IFERROR(MID(VLOOKUP($B311,Seqs!$A:$B,2,0),E311,1),"")</f>
        <v>Y</v>
      </c>
      <c r="E311" s="9">
        <v>45</v>
      </c>
      <c r="F311" s="9" t="str">
        <f>IFERROR(MID(VLOOKUP($B311,Seqs!$A:$B,2,0),G311,1),"")</f>
        <v>N</v>
      </c>
      <c r="G311" s="9">
        <v>74</v>
      </c>
      <c r="H311" s="9" t="str">
        <f>IFERROR(MID(VLOOKUP($B311,Seqs!$A:$B,2,0),I311,1),"")</f>
        <v>H</v>
      </c>
      <c r="I311" s="109">
        <v>75</v>
      </c>
      <c r="J311" s="9" t="str">
        <f>IFERROR(MID(VLOOKUP($B311,Seqs!$A:$B,2,0),K311,1),"")</f>
        <v>R</v>
      </c>
      <c r="K311" s="109">
        <v>78</v>
      </c>
      <c r="L311" s="9" t="str">
        <f>IFERROR(MID(VLOOKUP($B311,Seqs!$A:$B,2,0),M311,1),"")</f>
        <v>T</v>
      </c>
      <c r="M311" s="9">
        <v>79</v>
      </c>
      <c r="N311" s="9" t="str">
        <f>IFERROR(MID(VLOOKUP($B311,Seqs!$A:$B,2,0),O311,1),"")</f>
        <v>E</v>
      </c>
      <c r="O311" s="9">
        <v>110</v>
      </c>
      <c r="P311" s="9" t="str">
        <f>IFERROR(MID(VLOOKUP($B311,Seqs!$A:$B,2,0),Q311,1),"")</f>
        <v>S</v>
      </c>
      <c r="Q311" s="9">
        <v>111</v>
      </c>
      <c r="R311" s="9" t="str">
        <f>IFERROR(MID(VLOOKUP($B311,Seqs!$A:$B,2,0),S311,1),"")</f>
        <v>F</v>
      </c>
      <c r="S311" s="9">
        <v>114</v>
      </c>
      <c r="T311" s="9" t="str">
        <f>IFERROR(MID(VLOOKUP($B311,Seqs!$A:$B,2,0),U311,1),"")</f>
        <v>G</v>
      </c>
      <c r="U311" s="9">
        <v>115</v>
      </c>
      <c r="V311" s="9" t="str">
        <f>IFERROR(MID(VLOOKUP($B311,Seqs!$A:$B,2,0),W311,1),"")</f>
        <v>H</v>
      </c>
      <c r="W311" s="9">
        <v>150</v>
      </c>
      <c r="X311" s="9" t="str">
        <f>IFERROR(MID(VLOOKUP($B311,Seqs!$A:$B,2,0),Y311,1),"")</f>
        <v/>
      </c>
      <c r="Y311" s="9" t="s">
        <v>23</v>
      </c>
      <c r="Z311" s="9" t="str">
        <f>IFERROR(MID(VLOOKUP($B311,Seqs!$A:$B,2,0),AA311,1),"")</f>
        <v/>
      </c>
      <c r="AA311" s="9" t="s">
        <v>23</v>
      </c>
      <c r="AB311" s="9" t="str">
        <f>IFERROR(MID(VLOOKUP($B311,Seqs!$A:$B,2,0),AC311,1),"")</f>
        <v>T</v>
      </c>
      <c r="AC311" s="9">
        <v>157</v>
      </c>
      <c r="AD311" s="9" t="str">
        <f>IFERROR(MID(VLOOKUP($B311,Seqs!$A:$B,2,0),AE311,1),"")</f>
        <v>M</v>
      </c>
      <c r="AE311" s="9">
        <v>183</v>
      </c>
      <c r="AF311" s="9" t="str">
        <f>IFERROR(MID(VLOOKUP($B311,Seqs!$A:$B,2,0),AG311,1),"")</f>
        <v>C</v>
      </c>
      <c r="AG311" s="9">
        <v>202</v>
      </c>
      <c r="AH311" s="9" t="str">
        <f>IFERROR(MID(VLOOKUP($B311,Seqs!$A:$B,2,0),AI311,1),"")</f>
        <v>E</v>
      </c>
      <c r="AI311" s="9">
        <v>204</v>
      </c>
      <c r="AJ311" s="9" t="str">
        <f>IFERROR(MID(VLOOKUP($B311,Seqs!$A:$B,2,0),AK311,1),"")</f>
        <v>L</v>
      </c>
      <c r="AK311" s="9">
        <v>210</v>
      </c>
      <c r="AL311" s="9" t="str">
        <f>IFERROR(MID(VLOOKUP($B311,Seqs!$A:$B,2,0),AM311,1),"")</f>
        <v>W</v>
      </c>
      <c r="AM311" s="9">
        <v>243</v>
      </c>
      <c r="AN311" s="9" t="str">
        <f>IFERROR(MID(VLOOKUP($B311,Seqs!$A:$B,2,0),AO311,1),"")</f>
        <v>E</v>
      </c>
      <c r="AO311" s="9">
        <v>286</v>
      </c>
      <c r="AP311" s="9" t="str">
        <f>IFERROR(MID(VLOOKUP($B311,Seqs!$A:$B,2,0),AQ311,1),"")</f>
        <v>F</v>
      </c>
      <c r="AQ311" s="9">
        <v>324</v>
      </c>
      <c r="AR311" s="9" t="str">
        <f>IFERROR(MID(VLOOKUP($B311,Seqs!$A:$B,2,0),AS311,1),"")</f>
        <v>D</v>
      </c>
      <c r="AS311" s="9">
        <v>332</v>
      </c>
      <c r="AT311" s="9" t="str">
        <f>IFERROR(MID(VLOOKUP($B311,Seqs!$A:$B,2,0),AU311,1),"")</f>
        <v>L</v>
      </c>
      <c r="AU311" s="9">
        <v>361</v>
      </c>
      <c r="AV311" s="9" t="str">
        <f>IFERROR(MID(VLOOKUP($B311,Seqs!$A:$B,2,0),AW311,1),"")</f>
        <v>S</v>
      </c>
      <c r="AW311" s="9">
        <v>362</v>
      </c>
      <c r="AX311" s="9" t="str">
        <f>IFERROR(MID(VLOOKUP($B311,Seqs!$A:$B,2,0),AY311,1),"")</f>
        <v>L</v>
      </c>
      <c r="AY311" s="9">
        <v>377</v>
      </c>
      <c r="AZ311" s="110" t="str">
        <f>VLOOKUP(B311,Classification!A:D,2,0)</f>
        <v>A</v>
      </c>
      <c r="BA311" s="98" t="str">
        <f>VLOOKUP(B311,Classification!A:D,4,0)</f>
        <v>Orexin</v>
      </c>
      <c r="BB311" s="36" t="b">
        <f t="shared" ref="BB311" si="2209">AND(E311&lt;G311,OR(G311&lt;I311,I311="-"),OR(I311&lt;K311,I311="-"),OR(K311&lt;M311,K311="-"),M311&lt;O311,OR(O311&lt;Q311,Q311="-"),OR(Q311&lt;S311,Q311="-"),OR(S311&lt;U311,S311="-"),U311&lt;W311,OR(W311&lt;Y311,Y311="-"),OR(Y311&lt;AA311,Y311="-"),OR(AA311&lt;AC311,AA311="-"),AC311&lt;AE311,OR(AE311&lt;AG311,AG311="-"),OR(AG311&lt;AI311,AG311="-"),OR(AI311&lt;AK311,AI311="-"),AK311&lt;AM311,AM311&lt;AO311,AO311&lt;AQ311,AQ311&lt;AS311,AS311&lt;AU311,OR(AU311&lt;AW311,AW311="-"),OR(AW311&lt;AY311,AW311="-"))</f>
        <v>1</v>
      </c>
      <c r="BC311" s="109">
        <f t="shared" ref="BC311" si="2210">_xlfn.AGGREGATE(9,6,CH311:CS311)-_xlfn.AGGREGATE(9,6,BV311:CG311)+12</f>
        <v>256</v>
      </c>
      <c r="BD311" s="40" t="s">
        <v>23</v>
      </c>
      <c r="BE311" s="9" t="s">
        <v>1374</v>
      </c>
      <c r="BF311" s="119">
        <v>3.04</v>
      </c>
      <c r="BG311" s="51" t="s">
        <v>1</v>
      </c>
      <c r="BH311" s="51" t="s">
        <v>1</v>
      </c>
      <c r="BJ311" s="111" t="s">
        <v>1287</v>
      </c>
      <c r="BK311" s="112" t="s">
        <v>1287</v>
      </c>
      <c r="BL311" s="112" t="s">
        <v>1287</v>
      </c>
      <c r="BM311" s="112" t="s">
        <v>1287</v>
      </c>
      <c r="BN311" s="112" t="s">
        <v>1287</v>
      </c>
      <c r="BO311" s="112" t="s">
        <v>1287</v>
      </c>
      <c r="BP311" s="112" t="s">
        <v>1287</v>
      </c>
      <c r="BQ311" s="112" t="s">
        <v>1287</v>
      </c>
      <c r="BR311" s="112" t="s">
        <v>1287</v>
      </c>
      <c r="BS311" s="112" t="s">
        <v>1287</v>
      </c>
      <c r="BT311" s="112" t="s">
        <v>1287</v>
      </c>
      <c r="BU311" s="112" t="s">
        <v>1287</v>
      </c>
      <c r="BV311" s="111">
        <f t="shared" ref="BV311" si="2211">E311</f>
        <v>45</v>
      </c>
      <c r="BW311" s="113">
        <f t="shared" ref="BW311" si="2212">I311</f>
        <v>75</v>
      </c>
      <c r="BX311" s="114">
        <f t="shared" ref="BX311" si="2213">M311</f>
        <v>79</v>
      </c>
      <c r="BY311" s="113">
        <f t="shared" ref="BY311" si="2214">Q311</f>
        <v>111</v>
      </c>
      <c r="BZ311" s="114">
        <f t="shared" ref="BZ311" si="2215">U311</f>
        <v>115</v>
      </c>
      <c r="CA311" s="113" t="str">
        <f t="shared" ref="CA311" si="2216">Y311</f>
        <v>-</v>
      </c>
      <c r="CB311" s="114">
        <f t="shared" ref="CB311" si="2217">AC311</f>
        <v>157</v>
      </c>
      <c r="CC311" s="113">
        <f t="shared" ref="CC311" si="2218">AG311</f>
        <v>202</v>
      </c>
      <c r="CD311" s="114">
        <f t="shared" ref="CD311" si="2219">AK311</f>
        <v>210</v>
      </c>
      <c r="CE311" s="113">
        <f t="shared" ref="CE311" si="2220">AO311</f>
        <v>286</v>
      </c>
      <c r="CF311" s="114">
        <f t="shared" ref="CF311" si="2221">AS311</f>
        <v>332</v>
      </c>
      <c r="CG311" s="113">
        <f t="shared" ref="CG311" si="2222">AW311</f>
        <v>362</v>
      </c>
      <c r="CH311" s="111">
        <f t="shared" ref="CH311" si="2223">G311</f>
        <v>74</v>
      </c>
      <c r="CI311" s="113">
        <f t="shared" ref="CI311" si="2224">K311</f>
        <v>78</v>
      </c>
      <c r="CJ311" s="114">
        <f t="shared" ref="CJ311" si="2225">O311</f>
        <v>110</v>
      </c>
      <c r="CK311" s="114">
        <f t="shared" ref="CK311" si="2226">S311</f>
        <v>114</v>
      </c>
      <c r="CL311" s="114">
        <f t="shared" ref="CL311" si="2227">W311</f>
        <v>150</v>
      </c>
      <c r="CM311" s="114" t="str">
        <f t="shared" ref="CM311" si="2228">AA311</f>
        <v>-</v>
      </c>
      <c r="CN311" s="114">
        <f t="shared" ref="CN311" si="2229">AE311</f>
        <v>183</v>
      </c>
      <c r="CO311" s="114">
        <f t="shared" ref="CO311" si="2230">AI311</f>
        <v>204</v>
      </c>
      <c r="CP311" s="114">
        <f t="shared" ref="CP311" si="2231">AM311</f>
        <v>243</v>
      </c>
      <c r="CQ311" s="114">
        <f t="shared" ref="CQ311" si="2232">AQ311</f>
        <v>324</v>
      </c>
      <c r="CR311" s="114">
        <f t="shared" ref="CR311" si="2233">AU311</f>
        <v>361</v>
      </c>
      <c r="CS311" s="114">
        <f t="shared" ref="CS311" si="2234">AY311</f>
        <v>377</v>
      </c>
      <c r="CT311" s="109">
        <f t="shared" ref="CT311" si="2235">M311-K311</f>
        <v>1</v>
      </c>
      <c r="AMP311" s="40"/>
    </row>
    <row r="312" spans="1:1030" s="12" customFormat="1" x14ac:dyDescent="0.2">
      <c r="A312" s="9" t="str">
        <f t="shared" ref="A312" si="2236">CONCATENATE(B312,"_",C312)</f>
        <v>ox1r_human_6TP4</v>
      </c>
      <c r="B312" s="9" t="s">
        <v>1174</v>
      </c>
      <c r="C312" s="9" t="s">
        <v>1628</v>
      </c>
      <c r="D312" s="9" t="str">
        <f>IFERROR(MID(VLOOKUP($B312,Seqs!$A:$B,2,0),E312,1),"")</f>
        <v>E</v>
      </c>
      <c r="E312" s="9">
        <v>46</v>
      </c>
      <c r="F312" s="9" t="str">
        <f>IFERROR(MID(VLOOKUP($B312,Seqs!$A:$B,2,0),G312,1),"")</f>
        <v>N</v>
      </c>
      <c r="G312" s="9">
        <v>74</v>
      </c>
      <c r="H312" s="9" t="str">
        <f>IFERROR(MID(VLOOKUP($B312,Seqs!$A:$B,2,0),I312,1),"")</f>
        <v>H</v>
      </c>
      <c r="I312" s="109">
        <v>75</v>
      </c>
      <c r="J312" s="9" t="str">
        <f>IFERROR(MID(VLOOKUP($B312,Seqs!$A:$B,2,0),K312,1),"")</f>
        <v>R</v>
      </c>
      <c r="K312" s="109">
        <v>78</v>
      </c>
      <c r="L312" s="9" t="str">
        <f>IFERROR(MID(VLOOKUP($B312,Seqs!$A:$B,2,0),M312,1),"")</f>
        <v>T</v>
      </c>
      <c r="M312" s="9">
        <v>79</v>
      </c>
      <c r="N312" s="9" t="str">
        <f>IFERROR(MID(VLOOKUP($B312,Seqs!$A:$B,2,0),O312,1),"")</f>
        <v>E</v>
      </c>
      <c r="O312" s="9">
        <v>110</v>
      </c>
      <c r="P312" s="9" t="str">
        <f>IFERROR(MID(VLOOKUP($B312,Seqs!$A:$B,2,0),Q312,1),"")</f>
        <v>S</v>
      </c>
      <c r="Q312" s="9">
        <v>111</v>
      </c>
      <c r="R312" s="9" t="str">
        <f>IFERROR(MID(VLOOKUP($B312,Seqs!$A:$B,2,0),S312,1),"")</f>
        <v>F</v>
      </c>
      <c r="S312" s="9">
        <v>114</v>
      </c>
      <c r="T312" s="9" t="str">
        <f>IFERROR(MID(VLOOKUP($B312,Seqs!$A:$B,2,0),U312,1),"")</f>
        <v>G</v>
      </c>
      <c r="U312" s="9">
        <v>115</v>
      </c>
      <c r="V312" s="9" t="str">
        <f>IFERROR(MID(VLOOKUP($B312,Seqs!$A:$B,2,0),W312,1),"")</f>
        <v>H</v>
      </c>
      <c r="W312" s="9">
        <v>150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T</v>
      </c>
      <c r="AC312" s="9">
        <v>157</v>
      </c>
      <c r="AD312" s="9" t="str">
        <f>IFERROR(MID(VLOOKUP($B312,Seqs!$A:$B,2,0),AE312,1),"")</f>
        <v>M</v>
      </c>
      <c r="AE312" s="9">
        <v>183</v>
      </c>
      <c r="AF312" s="9" t="str">
        <f>IFERROR(MID(VLOOKUP($B312,Seqs!$A:$B,2,0),AG312,1),"")</f>
        <v>C</v>
      </c>
      <c r="AG312" s="9">
        <v>202</v>
      </c>
      <c r="AH312" s="9" t="str">
        <f>IFERROR(MID(VLOOKUP($B312,Seqs!$A:$B,2,0),AI312,1),"")</f>
        <v>E</v>
      </c>
      <c r="AI312" s="9">
        <v>204</v>
      </c>
      <c r="AJ312" s="9" t="str">
        <f>IFERROR(MID(VLOOKUP($B312,Seqs!$A:$B,2,0),AK312,1),"")</f>
        <v>L</v>
      </c>
      <c r="AK312" s="9">
        <v>210</v>
      </c>
      <c r="AL312" s="9" t="str">
        <f>IFERROR(MID(VLOOKUP($B312,Seqs!$A:$B,2,0),AM312,1),"")</f>
        <v>W</v>
      </c>
      <c r="AM312" s="9">
        <v>243</v>
      </c>
      <c r="AN312" s="9" t="str">
        <f>IFERROR(MID(VLOOKUP($B312,Seqs!$A:$B,2,0),AO312,1),"")</f>
        <v>E</v>
      </c>
      <c r="AO312" s="9">
        <v>286</v>
      </c>
      <c r="AP312" s="9" t="str">
        <f>IFERROR(MID(VLOOKUP($B312,Seqs!$A:$B,2,0),AQ312,1),"")</f>
        <v>F</v>
      </c>
      <c r="AQ312" s="9">
        <v>324</v>
      </c>
      <c r="AR312" s="9" t="str">
        <f>IFERROR(MID(VLOOKUP($B312,Seqs!$A:$B,2,0),AS312,1),"")</f>
        <v>D</v>
      </c>
      <c r="AS312" s="9">
        <v>332</v>
      </c>
      <c r="AT312" s="9" t="str">
        <f>IFERROR(MID(VLOOKUP($B312,Seqs!$A:$B,2,0),AU312,1),"")</f>
        <v>L</v>
      </c>
      <c r="AU312" s="9">
        <v>361</v>
      </c>
      <c r="AV312" s="9" t="str">
        <f>IFERROR(MID(VLOOKUP($B312,Seqs!$A:$B,2,0),AW312,1),"")</f>
        <v>S</v>
      </c>
      <c r="AW312" s="9">
        <v>362</v>
      </c>
      <c r="AX312" s="9" t="str">
        <f>IFERROR(MID(VLOOKUP($B312,Seqs!$A:$B,2,0),AY312,1),"")</f>
        <v>L</v>
      </c>
      <c r="AY312" s="9">
        <v>377</v>
      </c>
      <c r="AZ312" s="110" t="str">
        <f>VLOOKUP(B312,Classification!A:D,2,0)</f>
        <v>A</v>
      </c>
      <c r="BA312" s="98" t="str">
        <f>VLOOKUP(B312,Classification!A:D,4,0)</f>
        <v>Orexin</v>
      </c>
      <c r="BB312" s="36" t="b">
        <f t="shared" ref="BB312" si="2237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 t="shared" ref="BC312" si="2238">_xlfn.AGGREGATE(9,6,CH312:CS312)-_xlfn.AGGREGATE(9,6,BV312:CG312)+12</f>
        <v>255</v>
      </c>
      <c r="BD312" s="40" t="s">
        <v>23</v>
      </c>
      <c r="BE312" s="9" t="s">
        <v>1374</v>
      </c>
      <c r="BF312" s="119">
        <v>3.01</v>
      </c>
      <c r="BG312" s="51" t="s">
        <v>1281</v>
      </c>
      <c r="BH312" s="51" t="s">
        <v>1281</v>
      </c>
      <c r="BJ312" s="111" t="s">
        <v>1287</v>
      </c>
      <c r="BK312" s="112" t="s">
        <v>1287</v>
      </c>
      <c r="BL312" s="112" t="s">
        <v>1287</v>
      </c>
      <c r="BM312" s="112" t="s">
        <v>1287</v>
      </c>
      <c r="BN312" s="112" t="s">
        <v>1287</v>
      </c>
      <c r="BO312" s="112" t="s">
        <v>1287</v>
      </c>
      <c r="BP312" s="112" t="s">
        <v>1287</v>
      </c>
      <c r="BQ312" s="112" t="s">
        <v>1287</v>
      </c>
      <c r="BR312" s="112" t="s">
        <v>1287</v>
      </c>
      <c r="BS312" s="112" t="s">
        <v>1287</v>
      </c>
      <c r="BT312" s="112" t="s">
        <v>1287</v>
      </c>
      <c r="BU312" s="112" t="s">
        <v>1287</v>
      </c>
      <c r="BV312" s="111">
        <f t="shared" ref="BV312" si="2239">E312</f>
        <v>46</v>
      </c>
      <c r="BW312" s="113">
        <f t="shared" ref="BW312" si="2240">I312</f>
        <v>75</v>
      </c>
      <c r="BX312" s="114">
        <f t="shared" ref="BX312" si="2241">M312</f>
        <v>79</v>
      </c>
      <c r="BY312" s="113">
        <f t="shared" ref="BY312" si="2242">Q312</f>
        <v>111</v>
      </c>
      <c r="BZ312" s="114">
        <f t="shared" ref="BZ312" si="2243">U312</f>
        <v>115</v>
      </c>
      <c r="CA312" s="113" t="str">
        <f t="shared" ref="CA312" si="2244">Y312</f>
        <v>-</v>
      </c>
      <c r="CB312" s="114">
        <f t="shared" ref="CB312" si="2245">AC312</f>
        <v>157</v>
      </c>
      <c r="CC312" s="113">
        <f t="shared" ref="CC312" si="2246">AG312</f>
        <v>202</v>
      </c>
      <c r="CD312" s="114">
        <f t="shared" ref="CD312" si="2247">AK312</f>
        <v>210</v>
      </c>
      <c r="CE312" s="113">
        <f t="shared" ref="CE312" si="2248">AO312</f>
        <v>286</v>
      </c>
      <c r="CF312" s="114">
        <f t="shared" ref="CF312" si="2249">AS312</f>
        <v>332</v>
      </c>
      <c r="CG312" s="113">
        <f t="shared" ref="CG312" si="2250">AW312</f>
        <v>362</v>
      </c>
      <c r="CH312" s="111">
        <f t="shared" ref="CH312" si="2251">G312</f>
        <v>74</v>
      </c>
      <c r="CI312" s="113">
        <f t="shared" ref="CI312" si="2252">K312</f>
        <v>78</v>
      </c>
      <c r="CJ312" s="114">
        <f t="shared" ref="CJ312" si="2253">O312</f>
        <v>110</v>
      </c>
      <c r="CK312" s="114">
        <f t="shared" ref="CK312" si="2254">S312</f>
        <v>114</v>
      </c>
      <c r="CL312" s="114">
        <f t="shared" ref="CL312" si="2255">W312</f>
        <v>150</v>
      </c>
      <c r="CM312" s="114" t="str">
        <f t="shared" ref="CM312" si="2256">AA312</f>
        <v>-</v>
      </c>
      <c r="CN312" s="114">
        <f t="shared" ref="CN312" si="2257">AE312</f>
        <v>183</v>
      </c>
      <c r="CO312" s="114">
        <f t="shared" ref="CO312" si="2258">AI312</f>
        <v>204</v>
      </c>
      <c r="CP312" s="114">
        <f t="shared" ref="CP312" si="2259">AM312</f>
        <v>243</v>
      </c>
      <c r="CQ312" s="114">
        <f t="shared" ref="CQ312" si="2260">AQ312</f>
        <v>324</v>
      </c>
      <c r="CR312" s="114">
        <f t="shared" ref="CR312" si="2261">AU312</f>
        <v>361</v>
      </c>
      <c r="CS312" s="114">
        <f t="shared" ref="CS312" si="2262">AY312</f>
        <v>377</v>
      </c>
      <c r="CT312" s="109">
        <f t="shared" ref="CT312" si="2263">M312-K312</f>
        <v>1</v>
      </c>
      <c r="AMP312" s="40"/>
    </row>
    <row r="313" spans="1:1030" s="12" customFormat="1" x14ac:dyDescent="0.2">
      <c r="A313" s="9" t="str">
        <f t="shared" ref="A313" si="2264">CONCATENATE(B313,"_",C313)</f>
        <v>ox1r_human_6TP6</v>
      </c>
      <c r="B313" s="9" t="s">
        <v>1174</v>
      </c>
      <c r="C313" s="9" t="s">
        <v>1629</v>
      </c>
      <c r="D313" s="9" t="str">
        <f>IFERROR(MID(VLOOKUP($B313,Seqs!$A:$B,2,0),E313,1),"")</f>
        <v>Y</v>
      </c>
      <c r="E313" s="9">
        <v>45</v>
      </c>
      <c r="F313" s="9" t="str">
        <f>IFERROR(MID(VLOOKUP($B313,Seqs!$A:$B,2,0),G313,1),"")</f>
        <v>N</v>
      </c>
      <c r="G313" s="9">
        <v>74</v>
      </c>
      <c r="H313" s="9" t="str">
        <f>IFERROR(MID(VLOOKUP($B313,Seqs!$A:$B,2,0),I313,1),"")</f>
        <v>H</v>
      </c>
      <c r="I313" s="109">
        <v>75</v>
      </c>
      <c r="J313" s="9" t="str">
        <f>IFERROR(MID(VLOOKUP($B313,Seqs!$A:$B,2,0),K313,1),"")</f>
        <v>R</v>
      </c>
      <c r="K313" s="109">
        <v>78</v>
      </c>
      <c r="L313" s="9" t="str">
        <f>IFERROR(MID(VLOOKUP($B313,Seqs!$A:$B,2,0),M313,1),"")</f>
        <v>T</v>
      </c>
      <c r="M313" s="9">
        <v>79</v>
      </c>
      <c r="N313" s="9" t="str">
        <f>IFERROR(MID(VLOOKUP($B313,Seqs!$A:$B,2,0),O313,1),"")</f>
        <v>E</v>
      </c>
      <c r="O313" s="9">
        <v>110</v>
      </c>
      <c r="P313" s="9" t="str">
        <f>IFERROR(MID(VLOOKUP($B313,Seqs!$A:$B,2,0),Q313,1),"")</f>
        <v>S</v>
      </c>
      <c r="Q313" s="9">
        <v>111</v>
      </c>
      <c r="R313" s="9" t="str">
        <f>IFERROR(MID(VLOOKUP($B313,Seqs!$A:$B,2,0),S313,1),"")</f>
        <v>F</v>
      </c>
      <c r="S313" s="9">
        <v>114</v>
      </c>
      <c r="T313" s="9" t="str">
        <f>IFERROR(MID(VLOOKUP($B313,Seqs!$A:$B,2,0),U313,1),"")</f>
        <v>G</v>
      </c>
      <c r="U313" s="9">
        <v>115</v>
      </c>
      <c r="V313" s="9" t="str">
        <f>IFERROR(MID(VLOOKUP($B313,Seqs!$A:$B,2,0),W313,1),"")</f>
        <v>H</v>
      </c>
      <c r="W313" s="9">
        <v>150</v>
      </c>
      <c r="X313" s="9" t="str">
        <f>IFERROR(MID(VLOOKUP($B313,Seqs!$A:$B,2,0),Y313,1),"")</f>
        <v/>
      </c>
      <c r="Y313" s="9" t="s">
        <v>23</v>
      </c>
      <c r="Z313" s="9" t="str">
        <f>IFERROR(MID(VLOOKUP($B313,Seqs!$A:$B,2,0),AA313,1),"")</f>
        <v/>
      </c>
      <c r="AA313" s="9" t="s">
        <v>23</v>
      </c>
      <c r="AB313" s="9" t="str">
        <f>IFERROR(MID(VLOOKUP($B313,Seqs!$A:$B,2,0),AC313,1),"")</f>
        <v>T</v>
      </c>
      <c r="AC313" s="9">
        <v>157</v>
      </c>
      <c r="AD313" s="9" t="str">
        <f>IFERROR(MID(VLOOKUP($B313,Seqs!$A:$B,2,0),AE313,1),"")</f>
        <v>M</v>
      </c>
      <c r="AE313" s="9">
        <v>183</v>
      </c>
      <c r="AF313" s="9" t="str">
        <f>IFERROR(MID(VLOOKUP($B313,Seqs!$A:$B,2,0),AG313,1),"")</f>
        <v>C</v>
      </c>
      <c r="AG313" s="9">
        <v>202</v>
      </c>
      <c r="AH313" s="9" t="str">
        <f>IFERROR(MID(VLOOKUP($B313,Seqs!$A:$B,2,0),AI313,1),"")</f>
        <v>E</v>
      </c>
      <c r="AI313" s="9">
        <v>204</v>
      </c>
      <c r="AJ313" s="9" t="str">
        <f>IFERROR(MID(VLOOKUP($B313,Seqs!$A:$B,2,0),AK313,1),"")</f>
        <v>L</v>
      </c>
      <c r="AK313" s="9">
        <v>210</v>
      </c>
      <c r="AL313" s="9" t="str">
        <f>IFERROR(MID(VLOOKUP($B313,Seqs!$A:$B,2,0),AM313,1),"")</f>
        <v>W</v>
      </c>
      <c r="AM313" s="9">
        <v>243</v>
      </c>
      <c r="AN313" s="9" t="str">
        <f>IFERROR(MID(VLOOKUP($B313,Seqs!$A:$B,2,0),AO313,1),"")</f>
        <v>E</v>
      </c>
      <c r="AO313" s="9">
        <v>286</v>
      </c>
      <c r="AP313" s="9" t="str">
        <f>IFERROR(MID(VLOOKUP($B313,Seqs!$A:$B,2,0),AQ313,1),"")</f>
        <v>F</v>
      </c>
      <c r="AQ313" s="9">
        <v>324</v>
      </c>
      <c r="AR313" s="9" t="str">
        <f>IFERROR(MID(VLOOKUP($B313,Seqs!$A:$B,2,0),AS313,1),"")</f>
        <v>D</v>
      </c>
      <c r="AS313" s="9">
        <v>332</v>
      </c>
      <c r="AT313" s="9" t="str">
        <f>IFERROR(MID(VLOOKUP($B313,Seqs!$A:$B,2,0),AU313,1),"")</f>
        <v>L</v>
      </c>
      <c r="AU313" s="9">
        <v>361</v>
      </c>
      <c r="AV313" s="9" t="str">
        <f>IFERROR(MID(VLOOKUP($B313,Seqs!$A:$B,2,0),AW313,1),"")</f>
        <v>S</v>
      </c>
      <c r="AW313" s="9">
        <v>362</v>
      </c>
      <c r="AX313" s="9" t="str">
        <f>IFERROR(MID(VLOOKUP($B313,Seqs!$A:$B,2,0),AY313,1),"")</f>
        <v>L</v>
      </c>
      <c r="AY313" s="9">
        <v>377</v>
      </c>
      <c r="AZ313" s="110" t="str">
        <f>VLOOKUP(B313,Classification!A:D,2,0)</f>
        <v>A</v>
      </c>
      <c r="BA313" s="98" t="str">
        <f>VLOOKUP(B313,Classification!A:D,4,0)</f>
        <v>Orexin</v>
      </c>
      <c r="BB313" s="36" t="b">
        <f t="shared" ref="BB313" si="2265"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109">
        <f t="shared" ref="BC313" si="2266">_xlfn.AGGREGATE(9,6,CH313:CS313)-_xlfn.AGGREGATE(9,6,BV313:CG313)+12</f>
        <v>256</v>
      </c>
      <c r="BD313" s="40" t="s">
        <v>23</v>
      </c>
      <c r="BE313" s="9" t="s">
        <v>1374</v>
      </c>
      <c r="BF313" s="119">
        <v>2.34</v>
      </c>
      <c r="BG313" s="51" t="s">
        <v>1281</v>
      </c>
      <c r="BH313" s="51" t="s">
        <v>1281</v>
      </c>
      <c r="BJ313" s="111" t="s">
        <v>1287</v>
      </c>
      <c r="BK313" s="112" t="s">
        <v>1287</v>
      </c>
      <c r="BL313" s="112" t="s">
        <v>1287</v>
      </c>
      <c r="BM313" s="112" t="s">
        <v>1287</v>
      </c>
      <c r="BN313" s="112" t="s">
        <v>1287</v>
      </c>
      <c r="BO313" s="112" t="s">
        <v>1287</v>
      </c>
      <c r="BP313" s="112" t="s">
        <v>1287</v>
      </c>
      <c r="BQ313" s="112" t="s">
        <v>1287</v>
      </c>
      <c r="BR313" s="112" t="s">
        <v>1287</v>
      </c>
      <c r="BS313" s="112" t="s">
        <v>1287</v>
      </c>
      <c r="BT313" s="112" t="s">
        <v>1287</v>
      </c>
      <c r="BU313" s="112" t="s">
        <v>1287</v>
      </c>
      <c r="BV313" s="111">
        <f t="shared" ref="BV313" si="2267">E313</f>
        <v>45</v>
      </c>
      <c r="BW313" s="113">
        <f t="shared" ref="BW313" si="2268">I313</f>
        <v>75</v>
      </c>
      <c r="BX313" s="114">
        <f t="shared" ref="BX313" si="2269">M313</f>
        <v>79</v>
      </c>
      <c r="BY313" s="113">
        <f t="shared" ref="BY313" si="2270">Q313</f>
        <v>111</v>
      </c>
      <c r="BZ313" s="114">
        <f t="shared" ref="BZ313" si="2271">U313</f>
        <v>115</v>
      </c>
      <c r="CA313" s="113" t="str">
        <f t="shared" ref="CA313" si="2272">Y313</f>
        <v>-</v>
      </c>
      <c r="CB313" s="114">
        <f t="shared" ref="CB313" si="2273">AC313</f>
        <v>157</v>
      </c>
      <c r="CC313" s="113">
        <f t="shared" ref="CC313" si="2274">AG313</f>
        <v>202</v>
      </c>
      <c r="CD313" s="114">
        <f t="shared" ref="CD313" si="2275">AK313</f>
        <v>210</v>
      </c>
      <c r="CE313" s="113">
        <f t="shared" ref="CE313" si="2276">AO313</f>
        <v>286</v>
      </c>
      <c r="CF313" s="114">
        <f t="shared" ref="CF313" si="2277">AS313</f>
        <v>332</v>
      </c>
      <c r="CG313" s="113">
        <f t="shared" ref="CG313" si="2278">AW313</f>
        <v>362</v>
      </c>
      <c r="CH313" s="111">
        <f t="shared" ref="CH313" si="2279">G313</f>
        <v>74</v>
      </c>
      <c r="CI313" s="113">
        <f t="shared" ref="CI313" si="2280">K313</f>
        <v>78</v>
      </c>
      <c r="CJ313" s="114">
        <f t="shared" ref="CJ313" si="2281">O313</f>
        <v>110</v>
      </c>
      <c r="CK313" s="114">
        <f t="shared" ref="CK313" si="2282">S313</f>
        <v>114</v>
      </c>
      <c r="CL313" s="114">
        <f t="shared" ref="CL313" si="2283">W313</f>
        <v>150</v>
      </c>
      <c r="CM313" s="114" t="str">
        <f t="shared" ref="CM313" si="2284">AA313</f>
        <v>-</v>
      </c>
      <c r="CN313" s="114">
        <f t="shared" ref="CN313" si="2285">AE313</f>
        <v>183</v>
      </c>
      <c r="CO313" s="114">
        <f t="shared" ref="CO313" si="2286">AI313</f>
        <v>204</v>
      </c>
      <c r="CP313" s="114">
        <f t="shared" ref="CP313" si="2287">AM313</f>
        <v>243</v>
      </c>
      <c r="CQ313" s="114">
        <f t="shared" ref="CQ313" si="2288">AQ313</f>
        <v>324</v>
      </c>
      <c r="CR313" s="114">
        <f t="shared" ref="CR313" si="2289">AU313</f>
        <v>361</v>
      </c>
      <c r="CS313" s="114">
        <f t="shared" ref="CS313" si="2290">AY313</f>
        <v>377</v>
      </c>
      <c r="CT313" s="109">
        <f t="shared" ref="CT313" si="2291">M313-K313</f>
        <v>1</v>
      </c>
      <c r="AMP313" s="40"/>
    </row>
    <row r="314" spans="1:1030" s="12" customFormat="1" x14ac:dyDescent="0.2">
      <c r="A314" s="9" t="str">
        <f t="shared" ref="A314" si="2292">CONCATENATE(B314,"_",C314)</f>
        <v>ox1r_human_6TQ4</v>
      </c>
      <c r="B314" s="9" t="s">
        <v>1174</v>
      </c>
      <c r="C314" s="9" t="s">
        <v>1630</v>
      </c>
      <c r="D314" s="9" t="str">
        <f>IFERROR(MID(VLOOKUP($B314,Seqs!$A:$B,2,0),E314,1),"")</f>
        <v>Y</v>
      </c>
      <c r="E314" s="9">
        <v>45</v>
      </c>
      <c r="F314" s="9" t="str">
        <f>IFERROR(MID(VLOOKUP($B314,Seqs!$A:$B,2,0),G314,1),"")</f>
        <v>N</v>
      </c>
      <c r="G314" s="9">
        <v>74</v>
      </c>
      <c r="H314" s="9" t="str">
        <f>IFERROR(MID(VLOOKUP($B314,Seqs!$A:$B,2,0),I314,1),"")</f>
        <v>H</v>
      </c>
      <c r="I314" s="109">
        <v>75</v>
      </c>
      <c r="J314" s="9" t="str">
        <f>IFERROR(MID(VLOOKUP($B314,Seqs!$A:$B,2,0),K314,1),"")</f>
        <v>R</v>
      </c>
      <c r="K314" s="109">
        <v>78</v>
      </c>
      <c r="L314" s="9" t="str">
        <f>IFERROR(MID(VLOOKUP($B314,Seqs!$A:$B,2,0),M314,1),"")</f>
        <v>T</v>
      </c>
      <c r="M314" s="9">
        <v>79</v>
      </c>
      <c r="N314" s="9" t="str">
        <f>IFERROR(MID(VLOOKUP($B314,Seqs!$A:$B,2,0),O314,1),"")</f>
        <v>E</v>
      </c>
      <c r="O314" s="9">
        <v>110</v>
      </c>
      <c r="P314" s="9" t="str">
        <f>IFERROR(MID(VLOOKUP($B314,Seqs!$A:$B,2,0),Q314,1),"")</f>
        <v>S</v>
      </c>
      <c r="Q314" s="9">
        <v>111</v>
      </c>
      <c r="R314" s="9" t="str">
        <f>IFERROR(MID(VLOOKUP($B314,Seqs!$A:$B,2,0),S314,1),"")</f>
        <v>F</v>
      </c>
      <c r="S314" s="9">
        <v>114</v>
      </c>
      <c r="T314" s="9" t="str">
        <f>IFERROR(MID(VLOOKUP($B314,Seqs!$A:$B,2,0),U314,1),"")</f>
        <v>G</v>
      </c>
      <c r="U314" s="9">
        <v>115</v>
      </c>
      <c r="V314" s="9" t="str">
        <f>IFERROR(MID(VLOOKUP($B314,Seqs!$A:$B,2,0),W314,1),"")</f>
        <v>H</v>
      </c>
      <c r="W314" s="9">
        <v>150</v>
      </c>
      <c r="X314" s="9" t="str">
        <f>IFERROR(MID(VLOOKUP($B314,Seqs!$A:$B,2,0),Y314,1),"")</f>
        <v/>
      </c>
      <c r="Y314" s="9" t="s">
        <v>23</v>
      </c>
      <c r="Z314" s="9" t="str">
        <f>IFERROR(MID(VLOOKUP($B314,Seqs!$A:$B,2,0),AA314,1),"")</f>
        <v/>
      </c>
      <c r="AA314" s="9" t="s">
        <v>23</v>
      </c>
      <c r="AB314" s="9" t="str">
        <f>IFERROR(MID(VLOOKUP($B314,Seqs!$A:$B,2,0),AC314,1),"")</f>
        <v>T</v>
      </c>
      <c r="AC314" s="9">
        <v>157</v>
      </c>
      <c r="AD314" s="9" t="str">
        <f>IFERROR(MID(VLOOKUP($B314,Seqs!$A:$B,2,0),AE314,1),"")</f>
        <v>M</v>
      </c>
      <c r="AE314" s="9">
        <v>183</v>
      </c>
      <c r="AF314" s="9" t="str">
        <f>IFERROR(MID(VLOOKUP($B314,Seqs!$A:$B,2,0),AG314,1),"")</f>
        <v>C</v>
      </c>
      <c r="AG314" s="9">
        <v>202</v>
      </c>
      <c r="AH314" s="9" t="str">
        <f>IFERROR(MID(VLOOKUP($B314,Seqs!$A:$B,2,0),AI314,1),"")</f>
        <v>E</v>
      </c>
      <c r="AI314" s="9">
        <v>204</v>
      </c>
      <c r="AJ314" s="9" t="str">
        <f>IFERROR(MID(VLOOKUP($B314,Seqs!$A:$B,2,0),AK314,1),"")</f>
        <v>L</v>
      </c>
      <c r="AK314" s="9">
        <v>210</v>
      </c>
      <c r="AL314" s="9" t="str">
        <f>IFERROR(MID(VLOOKUP($B314,Seqs!$A:$B,2,0),AM314,1),"")</f>
        <v>W</v>
      </c>
      <c r="AM314" s="9">
        <v>243</v>
      </c>
      <c r="AN314" s="9" t="str">
        <f>IFERROR(MID(VLOOKUP($B314,Seqs!$A:$B,2,0),AO314,1),"")</f>
        <v>E</v>
      </c>
      <c r="AO314" s="9">
        <v>286</v>
      </c>
      <c r="AP314" s="9" t="str">
        <f>IFERROR(MID(VLOOKUP($B314,Seqs!$A:$B,2,0),AQ314,1),"")</f>
        <v>F</v>
      </c>
      <c r="AQ314" s="9">
        <v>324</v>
      </c>
      <c r="AR314" s="9" t="str">
        <f>IFERROR(MID(VLOOKUP($B314,Seqs!$A:$B,2,0),AS314,1),"")</f>
        <v>D</v>
      </c>
      <c r="AS314" s="9">
        <v>332</v>
      </c>
      <c r="AT314" s="9" t="str">
        <f>IFERROR(MID(VLOOKUP($B314,Seqs!$A:$B,2,0),AU314,1),"")</f>
        <v>L</v>
      </c>
      <c r="AU314" s="9">
        <v>361</v>
      </c>
      <c r="AV314" s="9" t="str">
        <f>IFERROR(MID(VLOOKUP($B314,Seqs!$A:$B,2,0),AW314,1),"")</f>
        <v>S</v>
      </c>
      <c r="AW314" s="9">
        <v>362</v>
      </c>
      <c r="AX314" s="9" t="str">
        <f>IFERROR(MID(VLOOKUP($B314,Seqs!$A:$B,2,0),AY314,1),"")</f>
        <v>C</v>
      </c>
      <c r="AY314" s="9">
        <v>376</v>
      </c>
      <c r="AZ314" s="110" t="str">
        <f>VLOOKUP(B314,Classification!A:D,2,0)</f>
        <v>A</v>
      </c>
      <c r="BA314" s="98" t="str">
        <f>VLOOKUP(B314,Classification!A:D,4,0)</f>
        <v>Orexin</v>
      </c>
      <c r="BB314" s="36" t="b">
        <f t="shared" ref="BB314" si="2293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109">
        <f t="shared" ref="BC314" si="2294">_xlfn.AGGREGATE(9,6,CH314:CS314)-_xlfn.AGGREGATE(9,6,BV314:CG314)+12</f>
        <v>255</v>
      </c>
      <c r="BD314" s="40" t="s">
        <v>23</v>
      </c>
      <c r="BE314" s="9" t="s">
        <v>1374</v>
      </c>
      <c r="BF314" s="119">
        <v>2.2999999999999998</v>
      </c>
      <c r="BG314" s="51" t="s">
        <v>1281</v>
      </c>
      <c r="BH314" s="51" t="s">
        <v>1281</v>
      </c>
      <c r="BJ314" s="111" t="s">
        <v>1287</v>
      </c>
      <c r="BK314" s="112" t="s">
        <v>1287</v>
      </c>
      <c r="BL314" s="112" t="s">
        <v>1287</v>
      </c>
      <c r="BM314" s="112" t="s">
        <v>1287</v>
      </c>
      <c r="BN314" s="112" t="s">
        <v>1287</v>
      </c>
      <c r="BO314" s="112" t="s">
        <v>1287</v>
      </c>
      <c r="BP314" s="112" t="s">
        <v>1287</v>
      </c>
      <c r="BQ314" s="112" t="s">
        <v>1287</v>
      </c>
      <c r="BR314" s="112" t="s">
        <v>1287</v>
      </c>
      <c r="BS314" s="112" t="s">
        <v>1287</v>
      </c>
      <c r="BT314" s="112" t="s">
        <v>1287</v>
      </c>
      <c r="BU314" s="112" t="s">
        <v>1287</v>
      </c>
      <c r="BV314" s="111">
        <f t="shared" ref="BV314" si="2295">E314</f>
        <v>45</v>
      </c>
      <c r="BW314" s="113">
        <f t="shared" ref="BW314" si="2296">I314</f>
        <v>75</v>
      </c>
      <c r="BX314" s="114">
        <f t="shared" ref="BX314" si="2297">M314</f>
        <v>79</v>
      </c>
      <c r="BY314" s="113">
        <f t="shared" ref="BY314" si="2298">Q314</f>
        <v>111</v>
      </c>
      <c r="BZ314" s="114">
        <f t="shared" ref="BZ314" si="2299">U314</f>
        <v>115</v>
      </c>
      <c r="CA314" s="113" t="str">
        <f t="shared" ref="CA314" si="2300">Y314</f>
        <v>-</v>
      </c>
      <c r="CB314" s="114">
        <f t="shared" ref="CB314" si="2301">AC314</f>
        <v>157</v>
      </c>
      <c r="CC314" s="113">
        <f t="shared" ref="CC314" si="2302">AG314</f>
        <v>202</v>
      </c>
      <c r="CD314" s="114">
        <f t="shared" ref="CD314" si="2303">AK314</f>
        <v>210</v>
      </c>
      <c r="CE314" s="113">
        <f t="shared" ref="CE314" si="2304">AO314</f>
        <v>286</v>
      </c>
      <c r="CF314" s="114">
        <f t="shared" ref="CF314" si="2305">AS314</f>
        <v>332</v>
      </c>
      <c r="CG314" s="113">
        <f t="shared" ref="CG314" si="2306">AW314</f>
        <v>362</v>
      </c>
      <c r="CH314" s="111">
        <f t="shared" ref="CH314" si="2307">G314</f>
        <v>74</v>
      </c>
      <c r="CI314" s="113">
        <f t="shared" ref="CI314" si="2308">K314</f>
        <v>78</v>
      </c>
      <c r="CJ314" s="114">
        <f t="shared" ref="CJ314" si="2309">O314</f>
        <v>110</v>
      </c>
      <c r="CK314" s="114">
        <f t="shared" ref="CK314" si="2310">S314</f>
        <v>114</v>
      </c>
      <c r="CL314" s="114">
        <f t="shared" ref="CL314" si="2311">W314</f>
        <v>150</v>
      </c>
      <c r="CM314" s="114" t="str">
        <f t="shared" ref="CM314" si="2312">AA314</f>
        <v>-</v>
      </c>
      <c r="CN314" s="114">
        <f t="shared" ref="CN314" si="2313">AE314</f>
        <v>183</v>
      </c>
      <c r="CO314" s="114">
        <f t="shared" ref="CO314" si="2314">AI314</f>
        <v>204</v>
      </c>
      <c r="CP314" s="114">
        <f t="shared" ref="CP314" si="2315">AM314</f>
        <v>243</v>
      </c>
      <c r="CQ314" s="114">
        <f t="shared" ref="CQ314" si="2316">AQ314</f>
        <v>324</v>
      </c>
      <c r="CR314" s="114">
        <f t="shared" ref="CR314" si="2317">AU314</f>
        <v>361</v>
      </c>
      <c r="CS314" s="114">
        <f t="shared" ref="CS314" si="2318">AY314</f>
        <v>376</v>
      </c>
      <c r="CT314" s="109">
        <f t="shared" ref="CT314" si="2319">M314-K314</f>
        <v>1</v>
      </c>
      <c r="AMP314" s="40"/>
    </row>
    <row r="315" spans="1:1030" s="12" customFormat="1" x14ac:dyDescent="0.2">
      <c r="A315" s="9" t="str">
        <f t="shared" ref="A315" si="2320">CONCATENATE(B315,"_",C315)</f>
        <v>ox1r_human_6TQ6</v>
      </c>
      <c r="B315" s="9" t="s">
        <v>1174</v>
      </c>
      <c r="C315" s="9" t="s">
        <v>1631</v>
      </c>
      <c r="D315" s="9" t="str">
        <f>IFERROR(MID(VLOOKUP($B315,Seqs!$A:$B,2,0),E315,1),"")</f>
        <v>Y</v>
      </c>
      <c r="E315" s="9">
        <v>45</v>
      </c>
      <c r="F315" s="9" t="str">
        <f>IFERROR(MID(VLOOKUP($B315,Seqs!$A:$B,2,0),G315,1),"")</f>
        <v>N</v>
      </c>
      <c r="G315" s="9">
        <v>74</v>
      </c>
      <c r="H315" s="9" t="str">
        <f>IFERROR(MID(VLOOKUP($B315,Seqs!$A:$B,2,0),I315,1),"")</f>
        <v>H</v>
      </c>
      <c r="I315" s="109">
        <v>75</v>
      </c>
      <c r="J315" s="9" t="str">
        <f>IFERROR(MID(VLOOKUP($B315,Seqs!$A:$B,2,0),K315,1),"")</f>
        <v>R</v>
      </c>
      <c r="K315" s="109">
        <v>78</v>
      </c>
      <c r="L315" s="9" t="str">
        <f>IFERROR(MID(VLOOKUP($B315,Seqs!$A:$B,2,0),M315,1),"")</f>
        <v>T</v>
      </c>
      <c r="M315" s="9">
        <v>79</v>
      </c>
      <c r="N315" s="9" t="str">
        <f>IFERROR(MID(VLOOKUP($B315,Seqs!$A:$B,2,0),O315,1),"")</f>
        <v>E</v>
      </c>
      <c r="O315" s="9">
        <v>110</v>
      </c>
      <c r="P315" s="9" t="str">
        <f>IFERROR(MID(VLOOKUP($B315,Seqs!$A:$B,2,0),Q315,1),"")</f>
        <v>S</v>
      </c>
      <c r="Q315" s="9">
        <v>111</v>
      </c>
      <c r="R315" s="9" t="str">
        <f>IFERROR(MID(VLOOKUP($B315,Seqs!$A:$B,2,0),S315,1),"")</f>
        <v>F</v>
      </c>
      <c r="S315" s="9">
        <v>114</v>
      </c>
      <c r="T315" s="9" t="str">
        <f>IFERROR(MID(VLOOKUP($B315,Seqs!$A:$B,2,0),U315,1),"")</f>
        <v>G</v>
      </c>
      <c r="U315" s="9">
        <v>115</v>
      </c>
      <c r="V315" s="9" t="str">
        <f>IFERROR(MID(VLOOKUP($B315,Seqs!$A:$B,2,0),W315,1),"")</f>
        <v>H</v>
      </c>
      <c r="W315" s="9">
        <v>150</v>
      </c>
      <c r="X315" s="9" t="str">
        <f>IFERROR(MID(VLOOKUP($B315,Seqs!$A:$B,2,0),Y315,1),"")</f>
        <v/>
      </c>
      <c r="Y315" s="9" t="s">
        <v>23</v>
      </c>
      <c r="Z315" s="9" t="str">
        <f>IFERROR(MID(VLOOKUP($B315,Seqs!$A:$B,2,0),AA315,1),"")</f>
        <v/>
      </c>
      <c r="AA315" s="9" t="s">
        <v>23</v>
      </c>
      <c r="AB315" s="9" t="str">
        <f>IFERROR(MID(VLOOKUP($B315,Seqs!$A:$B,2,0),AC315,1),"")</f>
        <v>T</v>
      </c>
      <c r="AC315" s="9">
        <v>157</v>
      </c>
      <c r="AD315" s="9" t="str">
        <f>IFERROR(MID(VLOOKUP($B315,Seqs!$A:$B,2,0),AE315,1),"")</f>
        <v>M</v>
      </c>
      <c r="AE315" s="9">
        <v>183</v>
      </c>
      <c r="AF315" s="9" t="str">
        <f>IFERROR(MID(VLOOKUP($B315,Seqs!$A:$B,2,0),AG315,1),"")</f>
        <v>C</v>
      </c>
      <c r="AG315" s="9">
        <v>202</v>
      </c>
      <c r="AH315" s="9" t="str">
        <f>IFERROR(MID(VLOOKUP($B315,Seqs!$A:$B,2,0),AI315,1),"")</f>
        <v>E</v>
      </c>
      <c r="AI315" s="9">
        <v>204</v>
      </c>
      <c r="AJ315" s="9" t="str">
        <f>IFERROR(MID(VLOOKUP($B315,Seqs!$A:$B,2,0),AK315,1),"")</f>
        <v>L</v>
      </c>
      <c r="AK315" s="9">
        <v>210</v>
      </c>
      <c r="AL315" s="9" t="str">
        <f>IFERROR(MID(VLOOKUP($B315,Seqs!$A:$B,2,0),AM315,1),"")</f>
        <v>W</v>
      </c>
      <c r="AM315" s="9">
        <v>243</v>
      </c>
      <c r="AN315" s="9" t="str">
        <f>IFERROR(MID(VLOOKUP($B315,Seqs!$A:$B,2,0),AO315,1),"")</f>
        <v>E</v>
      </c>
      <c r="AO315" s="9">
        <v>286</v>
      </c>
      <c r="AP315" s="9" t="str">
        <f>IFERROR(MID(VLOOKUP($B315,Seqs!$A:$B,2,0),AQ315,1),"")</f>
        <v>F</v>
      </c>
      <c r="AQ315" s="9">
        <v>324</v>
      </c>
      <c r="AR315" s="9" t="str">
        <f>IFERROR(MID(VLOOKUP($B315,Seqs!$A:$B,2,0),AS315,1),"")</f>
        <v>D</v>
      </c>
      <c r="AS315" s="9">
        <v>332</v>
      </c>
      <c r="AT315" s="9" t="str">
        <f>IFERROR(MID(VLOOKUP($B315,Seqs!$A:$B,2,0),AU315,1),"")</f>
        <v>L</v>
      </c>
      <c r="AU315" s="9">
        <v>361</v>
      </c>
      <c r="AV315" s="9" t="str">
        <f>IFERROR(MID(VLOOKUP($B315,Seqs!$A:$B,2,0),AW315,1),"")</f>
        <v>S</v>
      </c>
      <c r="AW315" s="9">
        <v>362</v>
      </c>
      <c r="AX315" s="9" t="str">
        <f>IFERROR(MID(VLOOKUP($B315,Seqs!$A:$B,2,0),AY315,1),"")</f>
        <v>L</v>
      </c>
      <c r="AY315" s="9">
        <v>377</v>
      </c>
      <c r="AZ315" s="110" t="str">
        <f>VLOOKUP(B315,Classification!A:D,2,0)</f>
        <v>A</v>
      </c>
      <c r="BA315" s="98" t="str">
        <f>VLOOKUP(B315,Classification!A:D,4,0)</f>
        <v>Orexin</v>
      </c>
      <c r="BB315" s="36" t="b">
        <f t="shared" ref="BB315" si="2321">AND(E315&lt;G315,OR(G315&lt;I315,I315="-"),OR(I315&lt;K315,I315="-"),OR(K315&lt;M315,K315="-"),M315&lt;O315,OR(O315&lt;Q315,Q315="-"),OR(Q315&lt;S315,Q315="-"),OR(S315&lt;U315,S315="-"),U315&lt;W315,OR(W315&lt;Y315,Y315="-"),OR(Y315&lt;AA315,Y315="-"),OR(AA315&lt;AC315,AA315="-"),AC315&lt;AE315,OR(AE315&lt;AG315,AG315="-"),OR(AG315&lt;AI315,AG315="-"),OR(AI315&lt;AK315,AI315="-"),AK315&lt;AM315,AM315&lt;AO315,AO315&lt;AQ315,AQ315&lt;AS315,AS315&lt;AU315,OR(AU315&lt;AW315,AW315="-"),OR(AW315&lt;AY315,AW315="-"))</f>
        <v>1</v>
      </c>
      <c r="BC315" s="109">
        <f t="shared" ref="BC315" si="2322">_xlfn.AGGREGATE(9,6,CH315:CS315)-_xlfn.AGGREGATE(9,6,BV315:CG315)+12</f>
        <v>256</v>
      </c>
      <c r="BD315" s="40" t="s">
        <v>23</v>
      </c>
      <c r="BE315" s="9" t="s">
        <v>1374</v>
      </c>
      <c r="BF315" s="119">
        <v>2.5499999999999998</v>
      </c>
      <c r="BG315" s="51" t="s">
        <v>1281</v>
      </c>
      <c r="BH315" s="51" t="s">
        <v>1281</v>
      </c>
      <c r="BJ315" s="111" t="s">
        <v>1287</v>
      </c>
      <c r="BK315" s="112" t="s">
        <v>1287</v>
      </c>
      <c r="BL315" s="112" t="s">
        <v>1287</v>
      </c>
      <c r="BM315" s="112" t="s">
        <v>1287</v>
      </c>
      <c r="BN315" s="112" t="s">
        <v>1287</v>
      </c>
      <c r="BO315" s="112" t="s">
        <v>1287</v>
      </c>
      <c r="BP315" s="112" t="s">
        <v>1287</v>
      </c>
      <c r="BQ315" s="112" t="s">
        <v>1287</v>
      </c>
      <c r="BR315" s="112" t="s">
        <v>1287</v>
      </c>
      <c r="BS315" s="112" t="s">
        <v>1287</v>
      </c>
      <c r="BT315" s="112" t="s">
        <v>1287</v>
      </c>
      <c r="BU315" s="112" t="s">
        <v>1287</v>
      </c>
      <c r="BV315" s="111">
        <f t="shared" ref="BV315" si="2323">E315</f>
        <v>45</v>
      </c>
      <c r="BW315" s="113">
        <f t="shared" ref="BW315" si="2324">I315</f>
        <v>75</v>
      </c>
      <c r="BX315" s="114">
        <f t="shared" ref="BX315" si="2325">M315</f>
        <v>79</v>
      </c>
      <c r="BY315" s="113">
        <f t="shared" ref="BY315" si="2326">Q315</f>
        <v>111</v>
      </c>
      <c r="BZ315" s="114">
        <f t="shared" ref="BZ315" si="2327">U315</f>
        <v>115</v>
      </c>
      <c r="CA315" s="113" t="str">
        <f t="shared" ref="CA315" si="2328">Y315</f>
        <v>-</v>
      </c>
      <c r="CB315" s="114">
        <f t="shared" ref="CB315" si="2329">AC315</f>
        <v>157</v>
      </c>
      <c r="CC315" s="113">
        <f t="shared" ref="CC315" si="2330">AG315</f>
        <v>202</v>
      </c>
      <c r="CD315" s="114">
        <f t="shared" ref="CD315" si="2331">AK315</f>
        <v>210</v>
      </c>
      <c r="CE315" s="113">
        <f t="shared" ref="CE315" si="2332">AO315</f>
        <v>286</v>
      </c>
      <c r="CF315" s="114">
        <f t="shared" ref="CF315" si="2333">AS315</f>
        <v>332</v>
      </c>
      <c r="CG315" s="113">
        <f t="shared" ref="CG315" si="2334">AW315</f>
        <v>362</v>
      </c>
      <c r="CH315" s="111">
        <f t="shared" ref="CH315" si="2335">G315</f>
        <v>74</v>
      </c>
      <c r="CI315" s="113">
        <f t="shared" ref="CI315" si="2336">K315</f>
        <v>78</v>
      </c>
      <c r="CJ315" s="114">
        <f t="shared" ref="CJ315" si="2337">O315</f>
        <v>110</v>
      </c>
      <c r="CK315" s="114">
        <f t="shared" ref="CK315" si="2338">S315</f>
        <v>114</v>
      </c>
      <c r="CL315" s="114">
        <f t="shared" ref="CL315" si="2339">W315</f>
        <v>150</v>
      </c>
      <c r="CM315" s="114" t="str">
        <f t="shared" ref="CM315" si="2340">AA315</f>
        <v>-</v>
      </c>
      <c r="CN315" s="114">
        <f t="shared" ref="CN315" si="2341">AE315</f>
        <v>183</v>
      </c>
      <c r="CO315" s="114">
        <f t="shared" ref="CO315" si="2342">AI315</f>
        <v>204</v>
      </c>
      <c r="CP315" s="114">
        <f t="shared" ref="CP315" si="2343">AM315</f>
        <v>243</v>
      </c>
      <c r="CQ315" s="114">
        <f t="shared" ref="CQ315" si="2344">AQ315</f>
        <v>324</v>
      </c>
      <c r="CR315" s="114">
        <f t="shared" ref="CR315" si="2345">AU315</f>
        <v>361</v>
      </c>
      <c r="CS315" s="114">
        <f t="shared" ref="CS315" si="2346">AY315</f>
        <v>377</v>
      </c>
      <c r="CT315" s="109">
        <f t="shared" ref="CT315" si="2347">M315-K315</f>
        <v>1</v>
      </c>
      <c r="AMP315" s="40"/>
    </row>
    <row r="316" spans="1:1030" s="12" customFormat="1" x14ac:dyDescent="0.2">
      <c r="A316" s="9" t="str">
        <f t="shared" ref="A316" si="2348">CONCATENATE(B316,"_",C316)</f>
        <v>ox1r_human_6TQ7</v>
      </c>
      <c r="B316" s="9" t="s">
        <v>1174</v>
      </c>
      <c r="C316" s="9" t="s">
        <v>1632</v>
      </c>
      <c r="D316" s="9" t="str">
        <f>IFERROR(MID(VLOOKUP($B316,Seqs!$A:$B,2,0),E316,1),"")</f>
        <v>Y</v>
      </c>
      <c r="E316" s="9">
        <v>45</v>
      </c>
      <c r="F316" s="9" t="str">
        <f>IFERROR(MID(VLOOKUP($B316,Seqs!$A:$B,2,0),G316,1),"")</f>
        <v>N</v>
      </c>
      <c r="G316" s="9">
        <v>74</v>
      </c>
      <c r="H316" s="9" t="str">
        <f>IFERROR(MID(VLOOKUP($B316,Seqs!$A:$B,2,0),I316,1),"")</f>
        <v>H</v>
      </c>
      <c r="I316" s="109">
        <v>75</v>
      </c>
      <c r="J316" s="9" t="str">
        <f>IFERROR(MID(VLOOKUP($B316,Seqs!$A:$B,2,0),K316,1),"")</f>
        <v>R</v>
      </c>
      <c r="K316" s="109">
        <v>78</v>
      </c>
      <c r="L316" s="9" t="str">
        <f>IFERROR(MID(VLOOKUP($B316,Seqs!$A:$B,2,0),M316,1),"")</f>
        <v>T</v>
      </c>
      <c r="M316" s="9">
        <v>79</v>
      </c>
      <c r="N316" s="9" t="str">
        <f>IFERROR(MID(VLOOKUP($B316,Seqs!$A:$B,2,0),O316,1),"")</f>
        <v>E</v>
      </c>
      <c r="O316" s="9">
        <v>110</v>
      </c>
      <c r="P316" s="9" t="str">
        <f>IFERROR(MID(VLOOKUP($B316,Seqs!$A:$B,2,0),Q316,1),"")</f>
        <v>S</v>
      </c>
      <c r="Q316" s="9">
        <v>111</v>
      </c>
      <c r="R316" s="9" t="str">
        <f>IFERROR(MID(VLOOKUP($B316,Seqs!$A:$B,2,0),S316,1),"")</f>
        <v>F</v>
      </c>
      <c r="S316" s="9">
        <v>114</v>
      </c>
      <c r="T316" s="9" t="str">
        <f>IFERROR(MID(VLOOKUP($B316,Seqs!$A:$B,2,0),U316,1),"")</f>
        <v>G</v>
      </c>
      <c r="U316" s="9">
        <v>115</v>
      </c>
      <c r="V316" s="9" t="str">
        <f>IFERROR(MID(VLOOKUP($B316,Seqs!$A:$B,2,0),W316,1),"")</f>
        <v>H</v>
      </c>
      <c r="W316" s="9">
        <v>150</v>
      </c>
      <c r="X316" s="9" t="str">
        <f>IFERROR(MID(VLOOKUP($B316,Seqs!$A:$B,2,0),Y316,1),"")</f>
        <v/>
      </c>
      <c r="Y316" s="9" t="s">
        <v>23</v>
      </c>
      <c r="Z316" s="9" t="str">
        <f>IFERROR(MID(VLOOKUP($B316,Seqs!$A:$B,2,0),AA316,1),"")</f>
        <v/>
      </c>
      <c r="AA316" s="9" t="s">
        <v>23</v>
      </c>
      <c r="AB316" s="9" t="str">
        <f>IFERROR(MID(VLOOKUP($B316,Seqs!$A:$B,2,0),AC316,1),"")</f>
        <v>T</v>
      </c>
      <c r="AC316" s="9">
        <v>157</v>
      </c>
      <c r="AD316" s="9" t="str">
        <f>IFERROR(MID(VLOOKUP($B316,Seqs!$A:$B,2,0),AE316,1),"")</f>
        <v>M</v>
      </c>
      <c r="AE316" s="9">
        <v>183</v>
      </c>
      <c r="AF316" s="9" t="str">
        <f>IFERROR(MID(VLOOKUP($B316,Seqs!$A:$B,2,0),AG316,1),"")</f>
        <v>C</v>
      </c>
      <c r="AG316" s="9">
        <v>202</v>
      </c>
      <c r="AH316" s="9" t="str">
        <f>IFERROR(MID(VLOOKUP($B316,Seqs!$A:$B,2,0),AI316,1),"")</f>
        <v>E</v>
      </c>
      <c r="AI316" s="9">
        <v>204</v>
      </c>
      <c r="AJ316" s="9" t="str">
        <f>IFERROR(MID(VLOOKUP($B316,Seqs!$A:$B,2,0),AK316,1),"")</f>
        <v>L</v>
      </c>
      <c r="AK316" s="9">
        <v>210</v>
      </c>
      <c r="AL316" s="9" t="str">
        <f>IFERROR(MID(VLOOKUP($B316,Seqs!$A:$B,2,0),AM316,1),"")</f>
        <v>W</v>
      </c>
      <c r="AM316" s="9">
        <v>243</v>
      </c>
      <c r="AN316" s="9" t="str">
        <f>IFERROR(MID(VLOOKUP($B316,Seqs!$A:$B,2,0),AO316,1),"")</f>
        <v>E</v>
      </c>
      <c r="AO316" s="9">
        <v>286</v>
      </c>
      <c r="AP316" s="9" t="str">
        <f>IFERROR(MID(VLOOKUP($B316,Seqs!$A:$B,2,0),AQ316,1),"")</f>
        <v>F</v>
      </c>
      <c r="AQ316" s="9">
        <v>324</v>
      </c>
      <c r="AR316" s="9" t="str">
        <f>IFERROR(MID(VLOOKUP($B316,Seqs!$A:$B,2,0),AS316,1),"")</f>
        <v>D</v>
      </c>
      <c r="AS316" s="9">
        <v>332</v>
      </c>
      <c r="AT316" s="9" t="str">
        <f>IFERROR(MID(VLOOKUP($B316,Seqs!$A:$B,2,0),AU316,1),"")</f>
        <v>L</v>
      </c>
      <c r="AU316" s="9">
        <v>361</v>
      </c>
      <c r="AV316" s="9" t="str">
        <f>IFERROR(MID(VLOOKUP($B316,Seqs!$A:$B,2,0),AW316,1),"")</f>
        <v>S</v>
      </c>
      <c r="AW316" s="9">
        <v>362</v>
      </c>
      <c r="AX316" s="9" t="str">
        <f>IFERROR(MID(VLOOKUP($B316,Seqs!$A:$B,2,0),AY316,1),"")</f>
        <v>L</v>
      </c>
      <c r="AY316" s="9">
        <v>377</v>
      </c>
      <c r="AZ316" s="110" t="str">
        <f>VLOOKUP(B316,Classification!A:D,2,0)</f>
        <v>A</v>
      </c>
      <c r="BA316" s="98" t="str">
        <f>VLOOKUP(B316,Classification!A:D,4,0)</f>
        <v>Orexin</v>
      </c>
      <c r="BB316" s="36" t="b">
        <f t="shared" ref="BB316" si="2349">AND(E316&lt;G316,OR(G316&lt;I316,I316="-"),OR(I316&lt;K316,I316="-"),OR(K316&lt;M316,K316="-"),M316&lt;O316,OR(O316&lt;Q316,Q316="-"),OR(Q316&lt;S316,Q316="-"),OR(S316&lt;U316,S316="-"),U316&lt;W316,OR(W316&lt;Y316,Y316="-"),OR(Y316&lt;AA316,Y316="-"),OR(AA316&lt;AC316,AA316="-"),AC316&lt;AE316,OR(AE316&lt;AG316,AG316="-"),OR(AG316&lt;AI316,AG316="-"),OR(AI316&lt;AK316,AI316="-"),AK316&lt;AM316,AM316&lt;AO316,AO316&lt;AQ316,AQ316&lt;AS316,AS316&lt;AU316,OR(AU316&lt;AW316,AW316="-"),OR(AW316&lt;AY316,AW316="-"))</f>
        <v>1</v>
      </c>
      <c r="BC316" s="109">
        <f t="shared" ref="BC316" si="2350">_xlfn.AGGREGATE(9,6,CH316:CS316)-_xlfn.AGGREGATE(9,6,BV316:CG316)+12</f>
        <v>256</v>
      </c>
      <c r="BD316" s="40" t="s">
        <v>23</v>
      </c>
      <c r="BE316" s="9" t="s">
        <v>1374</v>
      </c>
      <c r="BF316" s="119">
        <v>2.66</v>
      </c>
      <c r="BG316" s="51" t="s">
        <v>1</v>
      </c>
      <c r="BH316" s="51" t="s">
        <v>1</v>
      </c>
      <c r="BJ316" s="111" t="s">
        <v>1287</v>
      </c>
      <c r="BK316" s="112" t="s">
        <v>1287</v>
      </c>
      <c r="BL316" s="112" t="s">
        <v>1287</v>
      </c>
      <c r="BM316" s="112" t="s">
        <v>1287</v>
      </c>
      <c r="BN316" s="112" t="s">
        <v>1287</v>
      </c>
      <c r="BO316" s="112" t="s">
        <v>1287</v>
      </c>
      <c r="BP316" s="112" t="s">
        <v>1287</v>
      </c>
      <c r="BQ316" s="112" t="s">
        <v>1287</v>
      </c>
      <c r="BR316" s="112" t="s">
        <v>1287</v>
      </c>
      <c r="BS316" s="112" t="s">
        <v>1287</v>
      </c>
      <c r="BT316" s="112" t="s">
        <v>1287</v>
      </c>
      <c r="BU316" s="112" t="s">
        <v>1287</v>
      </c>
      <c r="BV316" s="111">
        <f t="shared" ref="BV316" si="2351">E316</f>
        <v>45</v>
      </c>
      <c r="BW316" s="113">
        <f t="shared" ref="BW316" si="2352">I316</f>
        <v>75</v>
      </c>
      <c r="BX316" s="114">
        <f t="shared" ref="BX316" si="2353">M316</f>
        <v>79</v>
      </c>
      <c r="BY316" s="113">
        <f t="shared" ref="BY316" si="2354">Q316</f>
        <v>111</v>
      </c>
      <c r="BZ316" s="114">
        <f t="shared" ref="BZ316" si="2355">U316</f>
        <v>115</v>
      </c>
      <c r="CA316" s="113" t="str">
        <f t="shared" ref="CA316" si="2356">Y316</f>
        <v>-</v>
      </c>
      <c r="CB316" s="114">
        <f t="shared" ref="CB316" si="2357">AC316</f>
        <v>157</v>
      </c>
      <c r="CC316" s="113">
        <f t="shared" ref="CC316" si="2358">AG316</f>
        <v>202</v>
      </c>
      <c r="CD316" s="114">
        <f t="shared" ref="CD316" si="2359">AK316</f>
        <v>210</v>
      </c>
      <c r="CE316" s="113">
        <f t="shared" ref="CE316" si="2360">AO316</f>
        <v>286</v>
      </c>
      <c r="CF316" s="114">
        <f t="shared" ref="CF316" si="2361">AS316</f>
        <v>332</v>
      </c>
      <c r="CG316" s="113">
        <f t="shared" ref="CG316" si="2362">AW316</f>
        <v>362</v>
      </c>
      <c r="CH316" s="111">
        <f t="shared" ref="CH316" si="2363">G316</f>
        <v>74</v>
      </c>
      <c r="CI316" s="113">
        <f t="shared" ref="CI316" si="2364">K316</f>
        <v>78</v>
      </c>
      <c r="CJ316" s="114">
        <f t="shared" ref="CJ316" si="2365">O316</f>
        <v>110</v>
      </c>
      <c r="CK316" s="114">
        <f t="shared" ref="CK316" si="2366">S316</f>
        <v>114</v>
      </c>
      <c r="CL316" s="114">
        <f t="shared" ref="CL316" si="2367">W316</f>
        <v>150</v>
      </c>
      <c r="CM316" s="114" t="str">
        <f t="shared" ref="CM316" si="2368">AA316</f>
        <v>-</v>
      </c>
      <c r="CN316" s="114">
        <f t="shared" ref="CN316" si="2369">AE316</f>
        <v>183</v>
      </c>
      <c r="CO316" s="114">
        <f t="shared" ref="CO316" si="2370">AI316</f>
        <v>204</v>
      </c>
      <c r="CP316" s="114">
        <f t="shared" ref="CP316" si="2371">AM316</f>
        <v>243</v>
      </c>
      <c r="CQ316" s="114">
        <f t="shared" ref="CQ316" si="2372">AQ316</f>
        <v>324</v>
      </c>
      <c r="CR316" s="114">
        <f t="shared" ref="CR316" si="2373">AU316</f>
        <v>361</v>
      </c>
      <c r="CS316" s="114">
        <f t="shared" ref="CS316" si="2374">AY316</f>
        <v>377</v>
      </c>
      <c r="CT316" s="109">
        <f t="shared" ref="CT316" si="2375">M316-K316</f>
        <v>1</v>
      </c>
      <c r="AMP316" s="40"/>
    </row>
    <row r="317" spans="1:1030" s="12" customFormat="1" x14ac:dyDescent="0.2">
      <c r="A317" s="9" t="str">
        <f t="shared" ref="A317" si="2376">CONCATENATE(B317,"_",C317)</f>
        <v>ox1r_human_6TQ9</v>
      </c>
      <c r="B317" s="9" t="s">
        <v>1174</v>
      </c>
      <c r="C317" s="9" t="s">
        <v>1633</v>
      </c>
      <c r="D317" s="9" t="str">
        <f>IFERROR(MID(VLOOKUP($B317,Seqs!$A:$B,2,0),E317,1),"")</f>
        <v>Y</v>
      </c>
      <c r="E317" s="9">
        <v>45</v>
      </c>
      <c r="F317" s="9" t="str">
        <f>IFERROR(MID(VLOOKUP($B317,Seqs!$A:$B,2,0),G317,1),"")</f>
        <v>N</v>
      </c>
      <c r="G317" s="9">
        <v>74</v>
      </c>
      <c r="H317" s="9" t="str">
        <f>IFERROR(MID(VLOOKUP($B317,Seqs!$A:$B,2,0),I317,1),"")</f>
        <v>H</v>
      </c>
      <c r="I317" s="109">
        <v>75</v>
      </c>
      <c r="J317" s="9" t="str">
        <f>IFERROR(MID(VLOOKUP($B317,Seqs!$A:$B,2,0),K317,1),"")</f>
        <v>R</v>
      </c>
      <c r="K317" s="109">
        <v>78</v>
      </c>
      <c r="L317" s="9" t="str">
        <f>IFERROR(MID(VLOOKUP($B317,Seqs!$A:$B,2,0),M317,1),"")</f>
        <v>T</v>
      </c>
      <c r="M317" s="9">
        <v>79</v>
      </c>
      <c r="N317" s="9" t="str">
        <f>IFERROR(MID(VLOOKUP($B317,Seqs!$A:$B,2,0),O317,1),"")</f>
        <v>E</v>
      </c>
      <c r="O317" s="9">
        <v>110</v>
      </c>
      <c r="P317" s="9" t="str">
        <f>IFERROR(MID(VLOOKUP($B317,Seqs!$A:$B,2,0),Q317,1),"")</f>
        <v>S</v>
      </c>
      <c r="Q317" s="9">
        <v>111</v>
      </c>
      <c r="R317" s="9" t="str">
        <f>IFERROR(MID(VLOOKUP($B317,Seqs!$A:$B,2,0),S317,1),"")</f>
        <v>F</v>
      </c>
      <c r="S317" s="9">
        <v>114</v>
      </c>
      <c r="T317" s="9" t="str">
        <f>IFERROR(MID(VLOOKUP($B317,Seqs!$A:$B,2,0),U317,1),"")</f>
        <v>G</v>
      </c>
      <c r="U317" s="9">
        <v>115</v>
      </c>
      <c r="V317" s="9" t="str">
        <f>IFERROR(MID(VLOOKUP($B317,Seqs!$A:$B,2,0),W317,1),"")</f>
        <v>H</v>
      </c>
      <c r="W317" s="9">
        <v>150</v>
      </c>
      <c r="X317" s="9" t="str">
        <f>IFERROR(MID(VLOOKUP($B317,Seqs!$A:$B,2,0),Y317,1),"")</f>
        <v/>
      </c>
      <c r="Y317" s="9" t="s">
        <v>23</v>
      </c>
      <c r="Z317" s="9" t="str">
        <f>IFERROR(MID(VLOOKUP($B317,Seqs!$A:$B,2,0),AA317,1),"")</f>
        <v/>
      </c>
      <c r="AA317" s="9" t="s">
        <v>23</v>
      </c>
      <c r="AB317" s="9" t="str">
        <f>IFERROR(MID(VLOOKUP($B317,Seqs!$A:$B,2,0),AC317,1),"")</f>
        <v>T</v>
      </c>
      <c r="AC317" s="9">
        <v>157</v>
      </c>
      <c r="AD317" s="9" t="str">
        <f>IFERROR(MID(VLOOKUP($B317,Seqs!$A:$B,2,0),AE317,1),"")</f>
        <v>M</v>
      </c>
      <c r="AE317" s="9">
        <v>183</v>
      </c>
      <c r="AF317" s="9" t="str">
        <f>IFERROR(MID(VLOOKUP($B317,Seqs!$A:$B,2,0),AG317,1),"")</f>
        <v>C</v>
      </c>
      <c r="AG317" s="9">
        <v>202</v>
      </c>
      <c r="AH317" s="9" t="str">
        <f>IFERROR(MID(VLOOKUP($B317,Seqs!$A:$B,2,0),AI317,1),"")</f>
        <v>E</v>
      </c>
      <c r="AI317" s="9">
        <v>204</v>
      </c>
      <c r="AJ317" s="9" t="str">
        <f>IFERROR(MID(VLOOKUP($B317,Seqs!$A:$B,2,0),AK317,1),"")</f>
        <v>L</v>
      </c>
      <c r="AK317" s="9">
        <v>210</v>
      </c>
      <c r="AL317" s="9" t="str">
        <f>IFERROR(MID(VLOOKUP($B317,Seqs!$A:$B,2,0),AM317,1),"")</f>
        <v>W</v>
      </c>
      <c r="AM317" s="9">
        <v>243</v>
      </c>
      <c r="AN317" s="9" t="str">
        <f>IFERROR(MID(VLOOKUP($B317,Seqs!$A:$B,2,0),AO317,1),"")</f>
        <v>E</v>
      </c>
      <c r="AO317" s="9">
        <v>286</v>
      </c>
      <c r="AP317" s="9" t="str">
        <f>IFERROR(MID(VLOOKUP($B317,Seqs!$A:$B,2,0),AQ317,1),"")</f>
        <v>F</v>
      </c>
      <c r="AQ317" s="9">
        <v>324</v>
      </c>
      <c r="AR317" s="9" t="str">
        <f>IFERROR(MID(VLOOKUP($B317,Seqs!$A:$B,2,0),AS317,1),"")</f>
        <v>D</v>
      </c>
      <c r="AS317" s="9">
        <v>332</v>
      </c>
      <c r="AT317" s="9" t="str">
        <f>IFERROR(MID(VLOOKUP($B317,Seqs!$A:$B,2,0),AU317,1),"")</f>
        <v>L</v>
      </c>
      <c r="AU317" s="9">
        <v>361</v>
      </c>
      <c r="AV317" s="9" t="str">
        <f>IFERROR(MID(VLOOKUP($B317,Seqs!$A:$B,2,0),AW317,1),"")</f>
        <v>S</v>
      </c>
      <c r="AW317" s="9">
        <v>362</v>
      </c>
      <c r="AX317" s="9" t="str">
        <f>IFERROR(MID(VLOOKUP($B317,Seqs!$A:$B,2,0),AY317,1),"")</f>
        <v>L</v>
      </c>
      <c r="AY317" s="9">
        <v>377</v>
      </c>
      <c r="AZ317" s="110" t="str">
        <f>VLOOKUP(B317,Classification!A:D,2,0)</f>
        <v>A</v>
      </c>
      <c r="BA317" s="98" t="str">
        <f>VLOOKUP(B317,Classification!A:D,4,0)</f>
        <v>Orexin</v>
      </c>
      <c r="BB317" s="36" t="b">
        <f t="shared" ref="BB317" si="2377">AND(E317&lt;G317,OR(G317&lt;I317,I317="-"),OR(I317&lt;K317,I317="-"),OR(K317&lt;M317,K317="-"),M317&lt;O317,OR(O317&lt;Q317,Q317="-"),OR(Q317&lt;S317,Q317="-"),OR(S317&lt;U317,S317="-"),U317&lt;W317,OR(W317&lt;Y317,Y317="-"),OR(Y317&lt;AA317,Y317="-"),OR(AA317&lt;AC317,AA317="-"),AC317&lt;AE317,OR(AE317&lt;AG317,AG317="-"),OR(AG317&lt;AI317,AG317="-"),OR(AI317&lt;AK317,AI317="-"),AK317&lt;AM317,AM317&lt;AO317,AO317&lt;AQ317,AQ317&lt;AS317,AS317&lt;AU317,OR(AU317&lt;AW317,AW317="-"),OR(AW317&lt;AY317,AW317="-"))</f>
        <v>1</v>
      </c>
      <c r="BC317" s="109">
        <f t="shared" ref="BC317" si="2378">_xlfn.AGGREGATE(9,6,CH317:CS317)-_xlfn.AGGREGATE(9,6,BV317:CG317)+12</f>
        <v>256</v>
      </c>
      <c r="BD317" s="40" t="s">
        <v>23</v>
      </c>
      <c r="BE317" s="9" t="s">
        <v>1374</v>
      </c>
      <c r="BF317" s="119">
        <v>2.66</v>
      </c>
      <c r="BG317" s="51" t="s">
        <v>1281</v>
      </c>
      <c r="BH317" s="51" t="s">
        <v>1281</v>
      </c>
      <c r="BJ317" s="111" t="s">
        <v>1287</v>
      </c>
      <c r="BK317" s="112" t="s">
        <v>1287</v>
      </c>
      <c r="BL317" s="112" t="s">
        <v>1287</v>
      </c>
      <c r="BM317" s="112" t="s">
        <v>1287</v>
      </c>
      <c r="BN317" s="112" t="s">
        <v>1287</v>
      </c>
      <c r="BO317" s="112" t="s">
        <v>1287</v>
      </c>
      <c r="BP317" s="112" t="s">
        <v>1287</v>
      </c>
      <c r="BQ317" s="112" t="s">
        <v>1287</v>
      </c>
      <c r="BR317" s="112" t="s">
        <v>1287</v>
      </c>
      <c r="BS317" s="112" t="s">
        <v>1287</v>
      </c>
      <c r="BT317" s="112" t="s">
        <v>1287</v>
      </c>
      <c r="BU317" s="112" t="s">
        <v>1287</v>
      </c>
      <c r="BV317" s="111">
        <f t="shared" ref="BV317" si="2379">E317</f>
        <v>45</v>
      </c>
      <c r="BW317" s="113">
        <f t="shared" ref="BW317" si="2380">I317</f>
        <v>75</v>
      </c>
      <c r="BX317" s="114">
        <f t="shared" ref="BX317" si="2381">M317</f>
        <v>79</v>
      </c>
      <c r="BY317" s="113">
        <f t="shared" ref="BY317" si="2382">Q317</f>
        <v>111</v>
      </c>
      <c r="BZ317" s="114">
        <f t="shared" ref="BZ317" si="2383">U317</f>
        <v>115</v>
      </c>
      <c r="CA317" s="113" t="str">
        <f t="shared" ref="CA317" si="2384">Y317</f>
        <v>-</v>
      </c>
      <c r="CB317" s="114">
        <f t="shared" ref="CB317" si="2385">AC317</f>
        <v>157</v>
      </c>
      <c r="CC317" s="113">
        <f t="shared" ref="CC317" si="2386">AG317</f>
        <v>202</v>
      </c>
      <c r="CD317" s="114">
        <f t="shared" ref="CD317" si="2387">AK317</f>
        <v>210</v>
      </c>
      <c r="CE317" s="113">
        <f t="shared" ref="CE317" si="2388">AO317</f>
        <v>286</v>
      </c>
      <c r="CF317" s="114">
        <f t="shared" ref="CF317" si="2389">AS317</f>
        <v>332</v>
      </c>
      <c r="CG317" s="113">
        <f t="shared" ref="CG317" si="2390">AW317</f>
        <v>362</v>
      </c>
      <c r="CH317" s="111">
        <f t="shared" ref="CH317" si="2391">G317</f>
        <v>74</v>
      </c>
      <c r="CI317" s="113">
        <f t="shared" ref="CI317" si="2392">K317</f>
        <v>78</v>
      </c>
      <c r="CJ317" s="114">
        <f t="shared" ref="CJ317" si="2393">O317</f>
        <v>110</v>
      </c>
      <c r="CK317" s="114">
        <f t="shared" ref="CK317" si="2394">S317</f>
        <v>114</v>
      </c>
      <c r="CL317" s="114">
        <f t="shared" ref="CL317" si="2395">W317</f>
        <v>150</v>
      </c>
      <c r="CM317" s="114" t="str">
        <f t="shared" ref="CM317" si="2396">AA317</f>
        <v>-</v>
      </c>
      <c r="CN317" s="114">
        <f t="shared" ref="CN317" si="2397">AE317</f>
        <v>183</v>
      </c>
      <c r="CO317" s="114">
        <f t="shared" ref="CO317" si="2398">AI317</f>
        <v>204</v>
      </c>
      <c r="CP317" s="114">
        <f t="shared" ref="CP317" si="2399">AM317</f>
        <v>243</v>
      </c>
      <c r="CQ317" s="114">
        <f t="shared" ref="CQ317" si="2400">AQ317</f>
        <v>324</v>
      </c>
      <c r="CR317" s="114">
        <f t="shared" ref="CR317" si="2401">AU317</f>
        <v>361</v>
      </c>
      <c r="CS317" s="114">
        <f t="shared" ref="CS317" si="2402">AY317</f>
        <v>377</v>
      </c>
      <c r="CT317" s="109">
        <f t="shared" ref="CT317" si="2403">M317-K317</f>
        <v>1</v>
      </c>
      <c r="AMP317" s="40"/>
    </row>
    <row r="318" spans="1:1030" s="12" customFormat="1" x14ac:dyDescent="0.2">
      <c r="A318" s="9" t="str">
        <f t="shared" ref="A318" si="2404">CONCATENATE(B318,"_",C318)</f>
        <v>ox1r_human_6TOS</v>
      </c>
      <c r="B318" s="9" t="s">
        <v>1174</v>
      </c>
      <c r="C318" s="9" t="s">
        <v>1635</v>
      </c>
      <c r="D318" s="9" t="str">
        <f>IFERROR(MID(VLOOKUP($B318,Seqs!$A:$B,2,0),E318,1),"")</f>
        <v>Y</v>
      </c>
      <c r="E318" s="9">
        <v>45</v>
      </c>
      <c r="F318" s="9" t="str">
        <f>IFERROR(MID(VLOOKUP($B318,Seqs!$A:$B,2,0),G318,1),"")</f>
        <v>N</v>
      </c>
      <c r="G318" s="9">
        <v>74</v>
      </c>
      <c r="H318" s="9" t="str">
        <f>IFERROR(MID(VLOOKUP($B318,Seqs!$A:$B,2,0),I318,1),"")</f>
        <v>H</v>
      </c>
      <c r="I318" s="109">
        <v>75</v>
      </c>
      <c r="J318" s="9" t="str">
        <f>IFERROR(MID(VLOOKUP($B318,Seqs!$A:$B,2,0),K318,1),"")</f>
        <v>R</v>
      </c>
      <c r="K318" s="109">
        <v>78</v>
      </c>
      <c r="L318" s="9" t="str">
        <f>IFERROR(MID(VLOOKUP($B318,Seqs!$A:$B,2,0),M318,1),"")</f>
        <v>T</v>
      </c>
      <c r="M318" s="9">
        <v>79</v>
      </c>
      <c r="N318" s="9" t="str">
        <f>IFERROR(MID(VLOOKUP($B318,Seqs!$A:$B,2,0),O318,1),"")</f>
        <v>E</v>
      </c>
      <c r="O318" s="9">
        <v>110</v>
      </c>
      <c r="P318" s="9" t="str">
        <f>IFERROR(MID(VLOOKUP($B318,Seqs!$A:$B,2,0),Q318,1),"")</f>
        <v>S</v>
      </c>
      <c r="Q318" s="9">
        <v>111</v>
      </c>
      <c r="R318" s="9" t="str">
        <f>IFERROR(MID(VLOOKUP($B318,Seqs!$A:$B,2,0),S318,1),"")</f>
        <v>F</v>
      </c>
      <c r="S318" s="9">
        <v>114</v>
      </c>
      <c r="T318" s="9" t="str">
        <f>IFERROR(MID(VLOOKUP($B318,Seqs!$A:$B,2,0),U318,1),"")</f>
        <v>G</v>
      </c>
      <c r="U318" s="9">
        <v>115</v>
      </c>
      <c r="V318" s="9" t="str">
        <f>IFERROR(MID(VLOOKUP($B318,Seqs!$A:$B,2,0),W318,1),"")</f>
        <v>H</v>
      </c>
      <c r="W318" s="9">
        <v>150</v>
      </c>
      <c r="X318" s="9" t="str">
        <f>IFERROR(MID(VLOOKUP($B318,Seqs!$A:$B,2,0),Y318,1),"")</f>
        <v/>
      </c>
      <c r="Y318" s="9" t="s">
        <v>23</v>
      </c>
      <c r="Z318" s="9" t="str">
        <f>IFERROR(MID(VLOOKUP($B318,Seqs!$A:$B,2,0),AA318,1),"")</f>
        <v/>
      </c>
      <c r="AA318" s="9" t="s">
        <v>23</v>
      </c>
      <c r="AB318" s="9" t="str">
        <f>IFERROR(MID(VLOOKUP($B318,Seqs!$A:$B,2,0),AC318,1),"")</f>
        <v>T</v>
      </c>
      <c r="AC318" s="9">
        <v>157</v>
      </c>
      <c r="AD318" s="9" t="str">
        <f>IFERROR(MID(VLOOKUP($B318,Seqs!$A:$B,2,0),AE318,1),"")</f>
        <v>M</v>
      </c>
      <c r="AE318" s="9">
        <v>183</v>
      </c>
      <c r="AF318" s="9" t="str">
        <f>IFERROR(MID(VLOOKUP($B318,Seqs!$A:$B,2,0),AG318,1),"")</f>
        <v>C</v>
      </c>
      <c r="AG318" s="9">
        <v>202</v>
      </c>
      <c r="AH318" s="9" t="str">
        <f>IFERROR(MID(VLOOKUP($B318,Seqs!$A:$B,2,0),AI318,1),"")</f>
        <v>E</v>
      </c>
      <c r="AI318" s="9">
        <v>204</v>
      </c>
      <c r="AJ318" s="9" t="str">
        <f>IFERROR(MID(VLOOKUP($B318,Seqs!$A:$B,2,0),AK318,1),"")</f>
        <v>L</v>
      </c>
      <c r="AK318" s="9">
        <v>210</v>
      </c>
      <c r="AL318" s="9" t="str">
        <f>IFERROR(MID(VLOOKUP($B318,Seqs!$A:$B,2,0),AM318,1),"")</f>
        <v>W</v>
      </c>
      <c r="AM318" s="9">
        <v>243</v>
      </c>
      <c r="AN318" s="9" t="str">
        <f>IFERROR(MID(VLOOKUP($B318,Seqs!$A:$B,2,0),AO318,1),"")</f>
        <v>E</v>
      </c>
      <c r="AO318" s="9">
        <v>286</v>
      </c>
      <c r="AP318" s="9" t="str">
        <f>IFERROR(MID(VLOOKUP($B318,Seqs!$A:$B,2,0),AQ318,1),"")</f>
        <v>G</v>
      </c>
      <c r="AQ318" s="9">
        <v>325</v>
      </c>
      <c r="AR318" s="9" t="str">
        <f>IFERROR(MID(VLOOKUP($B318,Seqs!$A:$B,2,0),AS318,1),"")</f>
        <v>D</v>
      </c>
      <c r="AS318" s="9">
        <v>332</v>
      </c>
      <c r="AT318" s="9" t="str">
        <f>IFERROR(MID(VLOOKUP($B318,Seqs!$A:$B,2,0),AU318,1),"")</f>
        <v>L</v>
      </c>
      <c r="AU318" s="9">
        <v>361</v>
      </c>
      <c r="AV318" s="9" t="str">
        <f>IFERROR(MID(VLOOKUP($B318,Seqs!$A:$B,2,0),AW318,1),"")</f>
        <v>S</v>
      </c>
      <c r="AW318" s="9">
        <v>362</v>
      </c>
      <c r="AX318" s="9" t="str">
        <f>IFERROR(MID(VLOOKUP($B318,Seqs!$A:$B,2,0),AY318,1),"")</f>
        <v>L</v>
      </c>
      <c r="AY318" s="9">
        <v>377</v>
      </c>
      <c r="AZ318" s="110" t="str">
        <f>VLOOKUP(B318,Classification!A:D,2,0)</f>
        <v>A</v>
      </c>
      <c r="BA318" s="98" t="str">
        <f>VLOOKUP(B318,Classification!A:D,4,0)</f>
        <v>Orexin</v>
      </c>
      <c r="BB318" s="36" t="b">
        <f t="shared" ref="BB318" si="2405">AND(E318&lt;G318,OR(G318&lt;I318,I318="-"),OR(I318&lt;K318,I318="-"),OR(K318&lt;M318,K318="-"),M318&lt;O318,OR(O318&lt;Q318,Q318="-"),OR(Q318&lt;S318,Q318="-"),OR(S318&lt;U318,S318="-"),U318&lt;W318,OR(W318&lt;Y318,Y318="-"),OR(Y318&lt;AA318,Y318="-"),OR(AA318&lt;AC318,AA318="-"),AC318&lt;AE318,OR(AE318&lt;AG318,AG318="-"),OR(AG318&lt;AI318,AG318="-"),OR(AI318&lt;AK318,AI318="-"),AK318&lt;AM318,AM318&lt;AO318,AO318&lt;AQ318,AQ318&lt;AS318,AS318&lt;AU318,OR(AU318&lt;AW318,AW318="-"),OR(AW318&lt;AY318,AW318="-"))</f>
        <v>1</v>
      </c>
      <c r="BC318" s="109">
        <f t="shared" ref="BC318" si="2406">_xlfn.AGGREGATE(9,6,CH318:CS318)-_xlfn.AGGREGATE(9,6,BV318:CG318)+12</f>
        <v>257</v>
      </c>
      <c r="BD318" s="40" t="s">
        <v>23</v>
      </c>
      <c r="BE318" s="9" t="s">
        <v>1374</v>
      </c>
      <c r="BF318" s="119">
        <v>2.13</v>
      </c>
      <c r="BG318" s="51" t="s">
        <v>1281</v>
      </c>
      <c r="BH318" s="51" t="s">
        <v>1281</v>
      </c>
      <c r="BJ318" s="111" t="s">
        <v>1287</v>
      </c>
      <c r="BK318" s="112" t="s">
        <v>1287</v>
      </c>
      <c r="BL318" s="112" t="s">
        <v>1287</v>
      </c>
      <c r="BM318" s="112" t="s">
        <v>1287</v>
      </c>
      <c r="BN318" s="112" t="s">
        <v>1287</v>
      </c>
      <c r="BO318" s="112" t="s">
        <v>1287</v>
      </c>
      <c r="BP318" s="112" t="s">
        <v>1287</v>
      </c>
      <c r="BQ318" s="112" t="s">
        <v>1287</v>
      </c>
      <c r="BR318" s="112" t="s">
        <v>1287</v>
      </c>
      <c r="BS318" s="112" t="s">
        <v>1287</v>
      </c>
      <c r="BT318" s="112" t="s">
        <v>1287</v>
      </c>
      <c r="BU318" s="112" t="s">
        <v>1287</v>
      </c>
      <c r="BV318" s="111">
        <f t="shared" ref="BV318" si="2407">E318</f>
        <v>45</v>
      </c>
      <c r="BW318" s="113">
        <f t="shared" ref="BW318" si="2408">I318</f>
        <v>75</v>
      </c>
      <c r="BX318" s="114">
        <f t="shared" ref="BX318" si="2409">M318</f>
        <v>79</v>
      </c>
      <c r="BY318" s="113">
        <f t="shared" ref="BY318" si="2410">Q318</f>
        <v>111</v>
      </c>
      <c r="BZ318" s="114">
        <f t="shared" ref="BZ318" si="2411">U318</f>
        <v>115</v>
      </c>
      <c r="CA318" s="113" t="str">
        <f t="shared" ref="CA318" si="2412">Y318</f>
        <v>-</v>
      </c>
      <c r="CB318" s="114">
        <f t="shared" ref="CB318" si="2413">AC318</f>
        <v>157</v>
      </c>
      <c r="CC318" s="113">
        <f t="shared" ref="CC318" si="2414">AG318</f>
        <v>202</v>
      </c>
      <c r="CD318" s="114">
        <f t="shared" ref="CD318" si="2415">AK318</f>
        <v>210</v>
      </c>
      <c r="CE318" s="113">
        <f t="shared" ref="CE318" si="2416">AO318</f>
        <v>286</v>
      </c>
      <c r="CF318" s="114">
        <f t="shared" ref="CF318" si="2417">AS318</f>
        <v>332</v>
      </c>
      <c r="CG318" s="113">
        <f t="shared" ref="CG318" si="2418">AW318</f>
        <v>362</v>
      </c>
      <c r="CH318" s="111">
        <f t="shared" ref="CH318" si="2419">G318</f>
        <v>74</v>
      </c>
      <c r="CI318" s="113">
        <f t="shared" ref="CI318" si="2420">K318</f>
        <v>78</v>
      </c>
      <c r="CJ318" s="114">
        <f t="shared" ref="CJ318" si="2421">O318</f>
        <v>110</v>
      </c>
      <c r="CK318" s="114">
        <f t="shared" ref="CK318" si="2422">S318</f>
        <v>114</v>
      </c>
      <c r="CL318" s="114">
        <f t="shared" ref="CL318" si="2423">W318</f>
        <v>150</v>
      </c>
      <c r="CM318" s="114" t="str">
        <f t="shared" ref="CM318" si="2424">AA318</f>
        <v>-</v>
      </c>
      <c r="CN318" s="114">
        <f t="shared" ref="CN318" si="2425">AE318</f>
        <v>183</v>
      </c>
      <c r="CO318" s="114">
        <f t="shared" ref="CO318" si="2426">AI318</f>
        <v>204</v>
      </c>
      <c r="CP318" s="114">
        <f t="shared" ref="CP318" si="2427">AM318</f>
        <v>243</v>
      </c>
      <c r="CQ318" s="114">
        <f t="shared" ref="CQ318" si="2428">AQ318</f>
        <v>325</v>
      </c>
      <c r="CR318" s="114">
        <f t="shared" ref="CR318" si="2429">AU318</f>
        <v>361</v>
      </c>
      <c r="CS318" s="114">
        <f t="shared" ref="CS318" si="2430">AY318</f>
        <v>377</v>
      </c>
      <c r="CT318" s="109">
        <f t="shared" ref="CT318" si="2431">M318-K318</f>
        <v>1</v>
      </c>
      <c r="AMP318" s="40"/>
    </row>
    <row r="319" spans="1:1030" s="12" customFormat="1" x14ac:dyDescent="0.2">
      <c r="A319" s="9" t="str">
        <f t="shared" ref="A319" si="2432">CONCATENATE(B319,"_",C319)</f>
        <v>ox1r_human_6TOT</v>
      </c>
      <c r="B319" s="9" t="s">
        <v>1174</v>
      </c>
      <c r="C319" s="9" t="s">
        <v>1636</v>
      </c>
      <c r="D319" s="9" t="str">
        <f>IFERROR(MID(VLOOKUP($B319,Seqs!$A:$B,2,0),E319,1),"")</f>
        <v>Y</v>
      </c>
      <c r="E319" s="9">
        <v>45</v>
      </c>
      <c r="F319" s="9" t="str">
        <f>IFERROR(MID(VLOOKUP($B319,Seqs!$A:$B,2,0),G319,1),"")</f>
        <v>N</v>
      </c>
      <c r="G319" s="9">
        <v>74</v>
      </c>
      <c r="H319" s="9" t="str">
        <f>IFERROR(MID(VLOOKUP($B319,Seqs!$A:$B,2,0),I319,1),"")</f>
        <v>H</v>
      </c>
      <c r="I319" s="109">
        <v>75</v>
      </c>
      <c r="J319" s="9" t="str">
        <f>IFERROR(MID(VLOOKUP($B319,Seqs!$A:$B,2,0),K319,1),"")</f>
        <v>R</v>
      </c>
      <c r="K319" s="109">
        <v>78</v>
      </c>
      <c r="L319" s="9" t="str">
        <f>IFERROR(MID(VLOOKUP($B319,Seqs!$A:$B,2,0),M319,1),"")</f>
        <v>T</v>
      </c>
      <c r="M319" s="9">
        <v>79</v>
      </c>
      <c r="N319" s="9" t="str">
        <f>IFERROR(MID(VLOOKUP($B319,Seqs!$A:$B,2,0),O319,1),"")</f>
        <v>E</v>
      </c>
      <c r="O319" s="9">
        <v>110</v>
      </c>
      <c r="P319" s="9" t="str">
        <f>IFERROR(MID(VLOOKUP($B319,Seqs!$A:$B,2,0),Q319,1),"")</f>
        <v>S</v>
      </c>
      <c r="Q319" s="9">
        <v>111</v>
      </c>
      <c r="R319" s="9" t="str">
        <f>IFERROR(MID(VLOOKUP($B319,Seqs!$A:$B,2,0),S319,1),"")</f>
        <v>F</v>
      </c>
      <c r="S319" s="9">
        <v>114</v>
      </c>
      <c r="T319" s="9" t="str">
        <f>IFERROR(MID(VLOOKUP($B319,Seqs!$A:$B,2,0),U319,1),"")</f>
        <v>G</v>
      </c>
      <c r="U319" s="9">
        <v>115</v>
      </c>
      <c r="V319" s="9" t="str">
        <f>IFERROR(MID(VLOOKUP($B319,Seqs!$A:$B,2,0),W319,1),"")</f>
        <v>C</v>
      </c>
      <c r="W319" s="9">
        <v>149</v>
      </c>
      <c r="X319" s="9" t="str">
        <f>IFERROR(MID(VLOOKUP($B319,Seqs!$A:$B,2,0),Y319,1),"")</f>
        <v/>
      </c>
      <c r="Y319" s="9" t="s">
        <v>23</v>
      </c>
      <c r="Z319" s="9" t="str">
        <f>IFERROR(MID(VLOOKUP($B319,Seqs!$A:$B,2,0),AA319,1),"")</f>
        <v/>
      </c>
      <c r="AA319" s="9" t="s">
        <v>23</v>
      </c>
      <c r="AB319" s="9" t="str">
        <f>IFERROR(MID(VLOOKUP($B319,Seqs!$A:$B,2,0),AC319,1),"")</f>
        <v>T</v>
      </c>
      <c r="AC319" s="9">
        <v>157</v>
      </c>
      <c r="AD319" s="9" t="str">
        <f>IFERROR(MID(VLOOKUP($B319,Seqs!$A:$B,2,0),AE319,1),"")</f>
        <v>M</v>
      </c>
      <c r="AE319" s="9">
        <v>183</v>
      </c>
      <c r="AF319" s="9" t="str">
        <f>IFERROR(MID(VLOOKUP($B319,Seqs!$A:$B,2,0),AG319,1),"")</f>
        <v>C</v>
      </c>
      <c r="AG319" s="9">
        <v>202</v>
      </c>
      <c r="AH319" s="9" t="str">
        <f>IFERROR(MID(VLOOKUP($B319,Seqs!$A:$B,2,0),AI319,1),"")</f>
        <v>E</v>
      </c>
      <c r="AI319" s="9">
        <v>204</v>
      </c>
      <c r="AJ319" s="9" t="str">
        <f>IFERROR(MID(VLOOKUP($B319,Seqs!$A:$B,2,0),AK319,1),"")</f>
        <v>L</v>
      </c>
      <c r="AK319" s="9">
        <v>210</v>
      </c>
      <c r="AL319" s="9" t="str">
        <f>IFERROR(MID(VLOOKUP($B319,Seqs!$A:$B,2,0),AM319,1),"")</f>
        <v>W</v>
      </c>
      <c r="AM319" s="9">
        <v>243</v>
      </c>
      <c r="AN319" s="9" t="str">
        <f>IFERROR(MID(VLOOKUP($B319,Seqs!$A:$B,2,0),AO319,1),"")</f>
        <v>E</v>
      </c>
      <c r="AO319" s="9">
        <v>286</v>
      </c>
      <c r="AP319" s="9" t="str">
        <f>IFERROR(MID(VLOOKUP($B319,Seqs!$A:$B,2,0),AQ319,1),"")</f>
        <v>V</v>
      </c>
      <c r="AQ319" s="9">
        <v>323</v>
      </c>
      <c r="AR319" s="9" t="str">
        <f>IFERROR(MID(VLOOKUP($B319,Seqs!$A:$B,2,0),AS319,1),"")</f>
        <v>D</v>
      </c>
      <c r="AS319" s="9">
        <v>332</v>
      </c>
      <c r="AT319" s="9" t="str">
        <f>IFERROR(MID(VLOOKUP($B319,Seqs!$A:$B,2,0),AU319,1),"")</f>
        <v>L</v>
      </c>
      <c r="AU319" s="9">
        <v>361</v>
      </c>
      <c r="AV319" s="9" t="str">
        <f>IFERROR(MID(VLOOKUP($B319,Seqs!$A:$B,2,0),AW319,1),"")</f>
        <v>S</v>
      </c>
      <c r="AW319" s="9">
        <v>362</v>
      </c>
      <c r="AX319" s="9" t="str">
        <f>IFERROR(MID(VLOOKUP($B319,Seqs!$A:$B,2,0),AY319,1),"")</f>
        <v>L</v>
      </c>
      <c r="AY319" s="9">
        <v>377</v>
      </c>
      <c r="AZ319" s="110" t="str">
        <f>VLOOKUP(B319,Classification!A:D,2,0)</f>
        <v>A</v>
      </c>
      <c r="BA319" s="98" t="str">
        <f>VLOOKUP(B319,Classification!A:D,4,0)</f>
        <v>Orexin</v>
      </c>
      <c r="BB319" s="36" t="b">
        <f t="shared" ref="BB319" si="2433">AND(E319&lt;G319,OR(G319&lt;I319,I319="-"),OR(I319&lt;K319,I319="-"),OR(K319&lt;M319,K319="-"),M319&lt;O319,OR(O319&lt;Q319,Q319="-"),OR(Q319&lt;S319,Q319="-"),OR(S319&lt;U319,S319="-"),U319&lt;W319,OR(W319&lt;Y319,Y319="-"),OR(Y319&lt;AA319,Y319="-"),OR(AA319&lt;AC319,AA319="-"),AC319&lt;AE319,OR(AE319&lt;AG319,AG319="-"),OR(AG319&lt;AI319,AG319="-"),OR(AI319&lt;AK319,AI319="-"),AK319&lt;AM319,AM319&lt;AO319,AO319&lt;AQ319,AQ319&lt;AS319,AS319&lt;AU319,OR(AU319&lt;AW319,AW319="-"),OR(AW319&lt;AY319,AW319="-"))</f>
        <v>1</v>
      </c>
      <c r="BC319" s="109">
        <f t="shared" ref="BC319" si="2434">_xlfn.AGGREGATE(9,6,CH319:CS319)-_xlfn.AGGREGATE(9,6,BV319:CG319)+12</f>
        <v>254</v>
      </c>
      <c r="BD319" s="40" t="s">
        <v>23</v>
      </c>
      <c r="BE319" s="9" t="s">
        <v>1374</v>
      </c>
      <c r="BF319" s="119">
        <v>2.2200000000000002</v>
      </c>
      <c r="BG319" s="51" t="s">
        <v>1281</v>
      </c>
      <c r="BH319" s="51" t="s">
        <v>1281</v>
      </c>
      <c r="BJ319" s="111" t="s">
        <v>1287</v>
      </c>
      <c r="BK319" s="112" t="s">
        <v>1287</v>
      </c>
      <c r="BL319" s="112" t="s">
        <v>1287</v>
      </c>
      <c r="BM319" s="112" t="s">
        <v>1287</v>
      </c>
      <c r="BN319" s="112" t="s">
        <v>1287</v>
      </c>
      <c r="BO319" s="112" t="s">
        <v>1287</v>
      </c>
      <c r="BP319" s="112" t="s">
        <v>1287</v>
      </c>
      <c r="BQ319" s="112" t="s">
        <v>1287</v>
      </c>
      <c r="BR319" s="112" t="s">
        <v>1287</v>
      </c>
      <c r="BS319" s="112" t="s">
        <v>1287</v>
      </c>
      <c r="BT319" s="112" t="s">
        <v>1287</v>
      </c>
      <c r="BU319" s="112" t="s">
        <v>1287</v>
      </c>
      <c r="BV319" s="111">
        <f t="shared" ref="BV319" si="2435">E319</f>
        <v>45</v>
      </c>
      <c r="BW319" s="113">
        <f t="shared" ref="BW319" si="2436">I319</f>
        <v>75</v>
      </c>
      <c r="BX319" s="114">
        <f t="shared" ref="BX319" si="2437">M319</f>
        <v>79</v>
      </c>
      <c r="BY319" s="113">
        <f t="shared" ref="BY319" si="2438">Q319</f>
        <v>111</v>
      </c>
      <c r="BZ319" s="114">
        <f t="shared" ref="BZ319" si="2439">U319</f>
        <v>115</v>
      </c>
      <c r="CA319" s="113" t="str">
        <f t="shared" ref="CA319" si="2440">Y319</f>
        <v>-</v>
      </c>
      <c r="CB319" s="114">
        <f t="shared" ref="CB319" si="2441">AC319</f>
        <v>157</v>
      </c>
      <c r="CC319" s="113">
        <f t="shared" ref="CC319" si="2442">AG319</f>
        <v>202</v>
      </c>
      <c r="CD319" s="114">
        <f t="shared" ref="CD319" si="2443">AK319</f>
        <v>210</v>
      </c>
      <c r="CE319" s="113">
        <f t="shared" ref="CE319" si="2444">AO319</f>
        <v>286</v>
      </c>
      <c r="CF319" s="114">
        <f t="shared" ref="CF319" si="2445">AS319</f>
        <v>332</v>
      </c>
      <c r="CG319" s="113">
        <f t="shared" ref="CG319" si="2446">AW319</f>
        <v>362</v>
      </c>
      <c r="CH319" s="111">
        <f t="shared" ref="CH319" si="2447">G319</f>
        <v>74</v>
      </c>
      <c r="CI319" s="113">
        <f t="shared" ref="CI319" si="2448">K319</f>
        <v>78</v>
      </c>
      <c r="CJ319" s="114">
        <f t="shared" ref="CJ319" si="2449">O319</f>
        <v>110</v>
      </c>
      <c r="CK319" s="114">
        <f t="shared" ref="CK319" si="2450">S319</f>
        <v>114</v>
      </c>
      <c r="CL319" s="114">
        <f t="shared" ref="CL319" si="2451">W319</f>
        <v>149</v>
      </c>
      <c r="CM319" s="114" t="str">
        <f t="shared" ref="CM319" si="2452">AA319</f>
        <v>-</v>
      </c>
      <c r="CN319" s="114">
        <f t="shared" ref="CN319" si="2453">AE319</f>
        <v>183</v>
      </c>
      <c r="CO319" s="114">
        <f t="shared" ref="CO319" si="2454">AI319</f>
        <v>204</v>
      </c>
      <c r="CP319" s="114">
        <f t="shared" ref="CP319" si="2455">AM319</f>
        <v>243</v>
      </c>
      <c r="CQ319" s="114">
        <f t="shared" ref="CQ319" si="2456">AQ319</f>
        <v>323</v>
      </c>
      <c r="CR319" s="114">
        <f t="shared" ref="CR319" si="2457">AU319</f>
        <v>361</v>
      </c>
      <c r="CS319" s="114">
        <f t="shared" ref="CS319" si="2458">AY319</f>
        <v>377</v>
      </c>
      <c r="CT319" s="109">
        <f t="shared" ref="CT319" si="2459">M319-K319</f>
        <v>1</v>
      </c>
      <c r="AMP319" s="40"/>
    </row>
    <row r="320" spans="1:1030" x14ac:dyDescent="0.2">
      <c r="A320" s="3" t="str">
        <f t="shared" si="1982"/>
        <v>ox2r_human__wt</v>
      </c>
      <c r="B320" s="3" t="s">
        <v>1175</v>
      </c>
      <c r="C320" s="3" t="s">
        <v>100</v>
      </c>
      <c r="D320" s="3" t="str">
        <f>IFERROR(MID(VLOOKUP($B320,Seqs!$A:$B,2,0),E320,1),"")</f>
        <v>Y</v>
      </c>
      <c r="E320" s="3">
        <v>53</v>
      </c>
      <c r="F320" s="3" t="str">
        <f>IFERROR(MID(VLOOKUP($B320,Seqs!$A:$B,2,0),G320,1),"")</f>
        <v>N</v>
      </c>
      <c r="G320" s="3">
        <v>82</v>
      </c>
      <c r="H320" s="3" t="str">
        <f>IFERROR(MID(VLOOKUP($B320,Seqs!$A:$B,2,0),I320,1),"")</f>
        <v>H</v>
      </c>
      <c r="I320" s="23">
        <v>83</v>
      </c>
      <c r="J320" s="3" t="str">
        <f>IFERROR(MID(VLOOKUP($B320,Seqs!$A:$B,2,0),K320,1),"")</f>
        <v>R</v>
      </c>
      <c r="K320" s="23">
        <v>86</v>
      </c>
      <c r="L320" s="3" t="str">
        <f>IFERROR(MID(VLOOKUP($B320,Seqs!$A:$B,2,0),M320,1),"")</f>
        <v>T</v>
      </c>
      <c r="M320" s="3">
        <v>87</v>
      </c>
      <c r="N320" s="3" t="str">
        <f>IFERROR(MID(VLOOKUP($B320,Seqs!$A:$B,2,0),O320,1),"")</f>
        <v>E</v>
      </c>
      <c r="O320" s="105">
        <v>118</v>
      </c>
      <c r="P320" s="3" t="str">
        <f>IFERROR(MID(VLOOKUP($B320,Seqs!$A:$B,2,0),Q320,1),"")</f>
        <v>T</v>
      </c>
      <c r="Q320" s="3">
        <v>119</v>
      </c>
      <c r="R320" s="3" t="str">
        <f>IFERROR(MID(VLOOKUP($B320,Seqs!$A:$B,2,0),S320,1),"")</f>
        <v>F</v>
      </c>
      <c r="S320" s="3">
        <v>122</v>
      </c>
      <c r="T320" s="3" t="str">
        <f>IFERROR(MID(VLOOKUP($B320,Seqs!$A:$B,2,0),U320,1),"")</f>
        <v>G</v>
      </c>
      <c r="U320" s="3">
        <v>123</v>
      </c>
      <c r="V320" s="3" t="str">
        <f>IFERROR(MID(VLOOKUP($B320,Seqs!$A:$B,2,0),W320,1),"")</f>
        <v>H</v>
      </c>
      <c r="W320" s="3">
        <v>158</v>
      </c>
      <c r="X320" s="3" t="str">
        <f>IFERROR(MID(VLOOKUP($B320,Seqs!$A:$B,2,0),Y320,1),"")</f>
        <v>P</v>
      </c>
      <c r="Y320" s="3">
        <v>159</v>
      </c>
      <c r="Z320" s="3" t="str">
        <f>IFERROR(MID(VLOOKUP($B320,Seqs!$A:$B,2,0),AA320,1),"")</f>
        <v>F</v>
      </c>
      <c r="AA320" s="73">
        <v>162</v>
      </c>
      <c r="AB320" s="3" t="str">
        <f>IFERROR(MID(VLOOKUP($B320,Seqs!$A:$B,2,0),AC320,1),"")</f>
        <v>T</v>
      </c>
      <c r="AC320" s="9">
        <v>165</v>
      </c>
      <c r="AD320" s="3" t="str">
        <f>IFERROR(MID(VLOOKUP($B320,Seqs!$A:$B,2,0),AE320,1),"")</f>
        <v>M</v>
      </c>
      <c r="AE320" s="3">
        <v>191</v>
      </c>
      <c r="AF320" s="3" t="str">
        <f>IFERROR(MID(VLOOKUP($B320,Seqs!$A:$B,2,0),AG320,1),"")</f>
        <v>C</v>
      </c>
      <c r="AG320" s="3">
        <v>210</v>
      </c>
      <c r="AH320" s="3" t="str">
        <f>IFERROR(MID(VLOOKUP($B320,Seqs!$A:$B,2,0),AI320,1),"")</f>
        <v>E</v>
      </c>
      <c r="AI320" s="3">
        <v>212</v>
      </c>
      <c r="AJ320" s="3" t="str">
        <f>IFERROR(MID(VLOOKUP($B320,Seqs!$A:$B,2,0),AK320,1),"")</f>
        <v>I</v>
      </c>
      <c r="AK320" s="105">
        <v>218</v>
      </c>
      <c r="AL320" s="3" t="str">
        <f>IFERROR(MID(VLOOKUP($B320,Seqs!$A:$B,2,0),AM320,1),"")</f>
        <v>P</v>
      </c>
      <c r="AM320" s="3">
        <v>256</v>
      </c>
      <c r="AN320" s="3" t="str">
        <f>IFERROR(MID(VLOOKUP($B320,Seqs!$A:$B,2,0),AO320,1),"")</f>
        <v>V</v>
      </c>
      <c r="AO320" s="3">
        <v>289</v>
      </c>
      <c r="AP320" s="3" t="str">
        <f>IFERROR(MID(VLOOKUP($B320,Seqs!$A:$B,2,0),AQ320,1),"")</f>
        <v>F</v>
      </c>
      <c r="AQ320" s="3">
        <v>330</v>
      </c>
      <c r="AR320" s="3" t="str">
        <f>IFERROR(MID(VLOOKUP($B320,Seqs!$A:$B,2,0),AS320,1),"")</f>
        <v>D</v>
      </c>
      <c r="AS320" s="105">
        <v>338</v>
      </c>
      <c r="AT320" s="3" t="str">
        <f>IFERROR(MID(VLOOKUP($B320,Seqs!$A:$B,2,0),AU320,1),"")</f>
        <v>L</v>
      </c>
      <c r="AU320" s="3">
        <v>367</v>
      </c>
      <c r="AV320" s="3" t="str">
        <f>IFERROR(MID(VLOOKUP($B320,Seqs!$A:$B,2,0),AW320,1),"")</f>
        <v>S</v>
      </c>
      <c r="AW320" s="3">
        <v>368</v>
      </c>
      <c r="AX320" s="3" t="str">
        <f>IFERROR(MID(VLOOKUP($B320,Seqs!$A:$B,2,0),AY320,1),"")</f>
        <v>L</v>
      </c>
      <c r="AY320" s="105">
        <v>384</v>
      </c>
      <c r="AZ320" s="77" t="str">
        <f>VLOOKUP(B320,Classification!A:D,2,0)</f>
        <v>A</v>
      </c>
      <c r="BA320" s="94" t="str">
        <f>VLOOKUP(B320,Classification!A:D,4,0)</f>
        <v>Orexin</v>
      </c>
      <c r="BB320" s="27" t="b">
        <f t="shared" si="1983"/>
        <v>1</v>
      </c>
      <c r="BC320" s="23">
        <f t="shared" si="1956"/>
        <v>268</v>
      </c>
      <c r="BD320" s="56" t="s">
        <v>23</v>
      </c>
      <c r="BE320" s="3" t="s">
        <v>23</v>
      </c>
      <c r="BF320" s="118" t="s">
        <v>23</v>
      </c>
      <c r="BG320" s="49" t="s">
        <v>1372</v>
      </c>
      <c r="BH320" s="49" t="s">
        <v>1377</v>
      </c>
      <c r="BI320" s="1"/>
      <c r="BJ320" s="70" t="s">
        <v>1287</v>
      </c>
      <c r="BK320" s="57" t="s">
        <v>1287</v>
      </c>
      <c r="BL320" s="57" t="s">
        <v>1287</v>
      </c>
      <c r="BM320" s="57" t="s">
        <v>1287</v>
      </c>
      <c r="BN320" s="57" t="s">
        <v>1287</v>
      </c>
      <c r="BO320" s="57" t="s">
        <v>1287</v>
      </c>
      <c r="BP320" s="57" t="s">
        <v>1287</v>
      </c>
      <c r="BQ320" s="57" t="s">
        <v>1287</v>
      </c>
      <c r="BR320" s="57" t="s">
        <v>1287</v>
      </c>
      <c r="BS320" s="57" t="s">
        <v>1287</v>
      </c>
      <c r="BT320" s="57" t="s">
        <v>1287</v>
      </c>
      <c r="BU320" s="57" t="s">
        <v>1287</v>
      </c>
      <c r="BV320" s="70">
        <f t="shared" si="1957"/>
        <v>53</v>
      </c>
      <c r="BW320" s="71">
        <f t="shared" si="1958"/>
        <v>83</v>
      </c>
      <c r="BX320" s="72">
        <f t="shared" si="1959"/>
        <v>87</v>
      </c>
      <c r="BY320" s="71">
        <f t="shared" si="1960"/>
        <v>119</v>
      </c>
      <c r="BZ320" s="72">
        <f t="shared" si="1961"/>
        <v>123</v>
      </c>
      <c r="CA320" s="71">
        <f t="shared" si="1962"/>
        <v>159</v>
      </c>
      <c r="CB320" s="72">
        <f t="shared" si="1963"/>
        <v>165</v>
      </c>
      <c r="CC320" s="71">
        <f t="shared" si="1964"/>
        <v>210</v>
      </c>
      <c r="CD320" s="72">
        <f t="shared" si="1965"/>
        <v>218</v>
      </c>
      <c r="CE320" s="71">
        <f t="shared" si="1966"/>
        <v>289</v>
      </c>
      <c r="CF320" s="72">
        <f t="shared" si="1967"/>
        <v>338</v>
      </c>
      <c r="CG320" s="71">
        <f t="shared" si="1968"/>
        <v>368</v>
      </c>
      <c r="CH320" s="70">
        <f t="shared" si="1969"/>
        <v>82</v>
      </c>
      <c r="CI320" s="71">
        <f t="shared" si="1970"/>
        <v>86</v>
      </c>
      <c r="CJ320" s="72">
        <f t="shared" si="1971"/>
        <v>118</v>
      </c>
      <c r="CK320" s="72">
        <f t="shared" si="1972"/>
        <v>122</v>
      </c>
      <c r="CL320" s="72">
        <f t="shared" si="1973"/>
        <v>158</v>
      </c>
      <c r="CM320" s="72">
        <f t="shared" si="1974"/>
        <v>162</v>
      </c>
      <c r="CN320" s="72">
        <f t="shared" si="1975"/>
        <v>191</v>
      </c>
      <c r="CO320" s="72">
        <f t="shared" si="1976"/>
        <v>212</v>
      </c>
      <c r="CP320" s="72">
        <f t="shared" si="1977"/>
        <v>256</v>
      </c>
      <c r="CQ320" s="72">
        <f t="shared" si="1978"/>
        <v>330</v>
      </c>
      <c r="CR320" s="72">
        <f t="shared" si="1979"/>
        <v>367</v>
      </c>
      <c r="CS320" s="72">
        <f t="shared" si="1980"/>
        <v>384</v>
      </c>
      <c r="CT320" s="23">
        <f t="shared" si="1981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29" x14ac:dyDescent="0.2">
      <c r="A321" s="3" t="str">
        <f t="shared" si="1982"/>
        <v>ox2r_human_4S0V</v>
      </c>
      <c r="B321" s="3" t="s">
        <v>1175</v>
      </c>
      <c r="C321" s="3" t="s">
        <v>92</v>
      </c>
      <c r="D321" s="3" t="str">
        <f>IFERROR(MID(VLOOKUP($B321,Seqs!$A:$B,2,0),E321,1),"")</f>
        <v>Y</v>
      </c>
      <c r="E321" s="3">
        <v>53</v>
      </c>
      <c r="F321" s="3" t="str">
        <f>IFERROR(MID(VLOOKUP($B321,Seqs!$A:$B,2,0),G321,1),"")</f>
        <v>N</v>
      </c>
      <c r="G321" s="3">
        <v>82</v>
      </c>
      <c r="H321" s="3" t="str">
        <f>IFERROR(MID(VLOOKUP($B321,Seqs!$A:$B,2,0),I321,1),"")</f>
        <v>H</v>
      </c>
      <c r="I321" s="23">
        <v>83</v>
      </c>
      <c r="J321" s="3" t="str">
        <f>IFERROR(MID(VLOOKUP($B321,Seqs!$A:$B,2,0),K321,1),"")</f>
        <v>R</v>
      </c>
      <c r="K321" s="23">
        <v>86</v>
      </c>
      <c r="L321" s="3" t="str">
        <f>IFERROR(MID(VLOOKUP($B321,Seqs!$A:$B,2,0),M321,1),"")</f>
        <v>T</v>
      </c>
      <c r="M321" s="3">
        <v>87</v>
      </c>
      <c r="N321" s="3" t="str">
        <f>IFERROR(MID(VLOOKUP($B321,Seqs!$A:$B,2,0),O321,1),"")</f>
        <v>E</v>
      </c>
      <c r="O321" s="105">
        <v>118</v>
      </c>
      <c r="P321" s="3" t="str">
        <f>IFERROR(MID(VLOOKUP($B321,Seqs!$A:$B,2,0),Q321,1),"")</f>
        <v>T</v>
      </c>
      <c r="Q321" s="3">
        <v>119</v>
      </c>
      <c r="R321" s="3" t="str">
        <f>IFERROR(MID(VLOOKUP($B321,Seqs!$A:$B,2,0),S321,1),"")</f>
        <v>F</v>
      </c>
      <c r="S321" s="3">
        <v>122</v>
      </c>
      <c r="T321" s="3" t="str">
        <f>IFERROR(MID(VLOOKUP($B321,Seqs!$A:$B,2,0),U321,1),"")</f>
        <v>G</v>
      </c>
      <c r="U321" s="3">
        <v>123</v>
      </c>
      <c r="V321" s="3" t="str">
        <f>IFERROR(MID(VLOOKUP($B321,Seqs!$A:$B,2,0),W321,1),"")</f>
        <v>H</v>
      </c>
      <c r="W321" s="3">
        <v>158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T</v>
      </c>
      <c r="AC321" s="9">
        <v>165</v>
      </c>
      <c r="AD321" s="3" t="str">
        <f>IFERROR(MID(VLOOKUP($B321,Seqs!$A:$B,2,0),AE321,1),"")</f>
        <v>M</v>
      </c>
      <c r="AE321" s="3">
        <v>191</v>
      </c>
      <c r="AF321" s="3" t="str">
        <f>IFERROR(MID(VLOOKUP($B321,Seqs!$A:$B,2,0),AG321,1),"")</f>
        <v>C</v>
      </c>
      <c r="AG321" s="3">
        <v>210</v>
      </c>
      <c r="AH321" s="3" t="str">
        <f>IFERROR(MID(VLOOKUP($B321,Seqs!$A:$B,2,0),AI321,1),"")</f>
        <v>E</v>
      </c>
      <c r="AI321" s="3">
        <v>212</v>
      </c>
      <c r="AJ321" s="3" t="str">
        <f>IFERROR(MID(VLOOKUP($B321,Seqs!$A:$B,2,0),AK321,1),"")</f>
        <v>I</v>
      </c>
      <c r="AK321" s="105">
        <v>218</v>
      </c>
      <c r="AL321" s="3" t="str">
        <f>IFERROR(MID(VLOOKUP($B321,Seqs!$A:$B,2,0),AM321,1),"")</f>
        <v>C</v>
      </c>
      <c r="AM321" s="105">
        <v>252</v>
      </c>
      <c r="AN321" s="3" t="str">
        <f>IFERROR(MID(VLOOKUP($B321,Seqs!$A:$B,2,0),AO321,1),"")</f>
        <v>K</v>
      </c>
      <c r="AO321" s="3">
        <v>294</v>
      </c>
      <c r="AP321" s="3" t="str">
        <f>IFERROR(MID(VLOOKUP($B321,Seqs!$A:$B,2,0),AQ321,1),"")</f>
        <v>F</v>
      </c>
      <c r="AQ321" s="3">
        <v>330</v>
      </c>
      <c r="AR321" s="3" t="str">
        <f>IFERROR(MID(VLOOKUP($B321,Seqs!$A:$B,2,0),AS321,1),"")</f>
        <v>R</v>
      </c>
      <c r="AS321" s="3">
        <v>339</v>
      </c>
      <c r="AT321" s="3" t="str">
        <f>IFERROR(MID(VLOOKUP($B321,Seqs!$A:$B,2,0),AU321,1),"")</f>
        <v>L</v>
      </c>
      <c r="AU321" s="3">
        <v>367</v>
      </c>
      <c r="AV321" s="3" t="str">
        <f>IFERROR(MID(VLOOKUP($B321,Seqs!$A:$B,2,0),AW321,1),"")</f>
        <v>S</v>
      </c>
      <c r="AW321" s="3">
        <v>368</v>
      </c>
      <c r="AX321" s="3" t="str">
        <f>IFERROR(MID(VLOOKUP($B321,Seqs!$A:$B,2,0),AY321,1),"")</f>
        <v>F</v>
      </c>
      <c r="AY321" s="3">
        <v>379</v>
      </c>
      <c r="AZ321" s="77" t="str">
        <f>VLOOKUP(B321,Classification!A:D,2,0)</f>
        <v>A</v>
      </c>
      <c r="BA321" s="94" t="str">
        <f>VLOOKUP(B321,Classification!A:D,4,0)</f>
        <v>Orexin</v>
      </c>
      <c r="BB321" s="27" t="b">
        <f t="shared" si="1983"/>
        <v>1</v>
      </c>
      <c r="BC321" s="23">
        <f t="shared" si="1956"/>
        <v>250</v>
      </c>
      <c r="BD321" s="2" t="s">
        <v>23</v>
      </c>
      <c r="BE321" s="3" t="s">
        <v>1374</v>
      </c>
      <c r="BF321" s="118">
        <v>2.5</v>
      </c>
      <c r="BG321" s="49" t="s">
        <v>1377</v>
      </c>
      <c r="BH321" s="49" t="s">
        <v>1377</v>
      </c>
      <c r="BI321" s="1"/>
      <c r="BJ321" s="70" t="s">
        <v>1287</v>
      </c>
      <c r="BK321" s="57" t="s">
        <v>1287</v>
      </c>
      <c r="BL321" s="57" t="s">
        <v>1287</v>
      </c>
      <c r="BM321" s="57" t="s">
        <v>1287</v>
      </c>
      <c r="BN321" s="57" t="s">
        <v>1287</v>
      </c>
      <c r="BO321" s="57" t="s">
        <v>1287</v>
      </c>
      <c r="BP321" s="57" t="s">
        <v>1287</v>
      </c>
      <c r="BQ321" s="57" t="s">
        <v>1287</v>
      </c>
      <c r="BR321" s="57" t="s">
        <v>1287</v>
      </c>
      <c r="BS321" s="57" t="s">
        <v>1287</v>
      </c>
      <c r="BT321" s="57" t="s">
        <v>1287</v>
      </c>
      <c r="BU321" s="57" t="s">
        <v>1287</v>
      </c>
      <c r="BV321" s="70">
        <f t="shared" si="1957"/>
        <v>53</v>
      </c>
      <c r="BW321" s="71">
        <f t="shared" si="1958"/>
        <v>83</v>
      </c>
      <c r="BX321" s="72">
        <f t="shared" si="1959"/>
        <v>87</v>
      </c>
      <c r="BY321" s="71">
        <f t="shared" si="1960"/>
        <v>119</v>
      </c>
      <c r="BZ321" s="72">
        <f t="shared" si="1961"/>
        <v>123</v>
      </c>
      <c r="CA321" s="71" t="str">
        <f t="shared" si="1962"/>
        <v>-</v>
      </c>
      <c r="CB321" s="72">
        <f t="shared" si="1963"/>
        <v>165</v>
      </c>
      <c r="CC321" s="71">
        <f t="shared" si="1964"/>
        <v>210</v>
      </c>
      <c r="CD321" s="72">
        <f t="shared" si="1965"/>
        <v>218</v>
      </c>
      <c r="CE321" s="71">
        <f t="shared" si="1966"/>
        <v>294</v>
      </c>
      <c r="CF321" s="72">
        <f t="shared" si="1967"/>
        <v>339</v>
      </c>
      <c r="CG321" s="71">
        <f t="shared" si="1968"/>
        <v>368</v>
      </c>
      <c r="CH321" s="70">
        <f t="shared" si="1969"/>
        <v>82</v>
      </c>
      <c r="CI321" s="71">
        <f t="shared" si="1970"/>
        <v>86</v>
      </c>
      <c r="CJ321" s="72">
        <f t="shared" si="1971"/>
        <v>118</v>
      </c>
      <c r="CK321" s="72">
        <f t="shared" si="1972"/>
        <v>122</v>
      </c>
      <c r="CL321" s="72">
        <f t="shared" si="1973"/>
        <v>158</v>
      </c>
      <c r="CM321" s="72" t="str">
        <f t="shared" si="1974"/>
        <v>-</v>
      </c>
      <c r="CN321" s="72">
        <f t="shared" si="1975"/>
        <v>191</v>
      </c>
      <c r="CO321" s="72">
        <f t="shared" si="1976"/>
        <v>212</v>
      </c>
      <c r="CP321" s="72">
        <f t="shared" si="1977"/>
        <v>252</v>
      </c>
      <c r="CQ321" s="72">
        <f t="shared" si="1978"/>
        <v>330</v>
      </c>
      <c r="CR321" s="72">
        <f t="shared" si="1979"/>
        <v>367</v>
      </c>
      <c r="CS321" s="72">
        <f t="shared" si="1980"/>
        <v>379</v>
      </c>
      <c r="CT321" s="23">
        <f t="shared" si="1981"/>
        <v>1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29" x14ac:dyDescent="0.2">
      <c r="A322" s="3" t="str">
        <f>CONCATENATE(B322,"_",C322)</f>
        <v>ox2r_human_5WQC</v>
      </c>
      <c r="B322" s="3" t="s">
        <v>1175</v>
      </c>
      <c r="C322" s="3" t="s">
        <v>1447</v>
      </c>
      <c r="D322" s="3" t="str">
        <f>IFERROR(MID(VLOOKUP($B322,Seqs!$A:$B,2,0),E322,1),"")</f>
        <v>Y</v>
      </c>
      <c r="E322" s="3">
        <v>53</v>
      </c>
      <c r="F322" s="3" t="str">
        <f>IFERROR(MID(VLOOKUP($B322,Seqs!$A:$B,2,0),G322,1),"")</f>
        <v>N</v>
      </c>
      <c r="G322" s="3">
        <v>82</v>
      </c>
      <c r="H322" s="3" t="str">
        <f>IFERROR(MID(VLOOKUP($B322,Seqs!$A:$B,2,0),I322,1),"")</f>
        <v>H</v>
      </c>
      <c r="I322" s="23">
        <v>83</v>
      </c>
      <c r="J322" s="3" t="str">
        <f>IFERROR(MID(VLOOKUP($B322,Seqs!$A:$B,2,0),K322,1),"")</f>
        <v>R</v>
      </c>
      <c r="K322" s="23">
        <v>86</v>
      </c>
      <c r="L322" s="3" t="str">
        <f>IFERROR(MID(VLOOKUP($B322,Seqs!$A:$B,2,0),M322,1),"")</f>
        <v>T</v>
      </c>
      <c r="M322" s="3">
        <v>87</v>
      </c>
      <c r="N322" s="3" t="str">
        <f>IFERROR(MID(VLOOKUP($B322,Seqs!$A:$B,2,0),O322,1),"")</f>
        <v>E</v>
      </c>
      <c r="O322" s="3">
        <v>118</v>
      </c>
      <c r="P322" s="3" t="str">
        <f>IFERROR(MID(VLOOKUP($B322,Seqs!$A:$B,2,0),Q322,1),"")</f>
        <v>T</v>
      </c>
      <c r="Q322" s="3">
        <v>119</v>
      </c>
      <c r="R322" s="3" t="str">
        <f>IFERROR(MID(VLOOKUP($B322,Seqs!$A:$B,2,0),S322,1),"")</f>
        <v>F</v>
      </c>
      <c r="S322" s="3">
        <v>122</v>
      </c>
      <c r="T322" s="3" t="str">
        <f>IFERROR(MID(VLOOKUP($B322,Seqs!$A:$B,2,0),U322,1),"")</f>
        <v>G</v>
      </c>
      <c r="U322" s="3">
        <v>123</v>
      </c>
      <c r="V322" s="3" t="str">
        <f>IFERROR(MID(VLOOKUP($B322,Seqs!$A:$B,2,0),W322,1),"")</f>
        <v>H</v>
      </c>
      <c r="W322" s="3">
        <v>158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T</v>
      </c>
      <c r="AC322" s="3">
        <v>165</v>
      </c>
      <c r="AD322" s="3" t="str">
        <f>IFERROR(MID(VLOOKUP($B322,Seqs!$A:$B,2,0),AE322,1),"")</f>
        <v>M</v>
      </c>
      <c r="AE322" s="3">
        <v>191</v>
      </c>
      <c r="AF322" s="3" t="str">
        <f>IFERROR(MID(VLOOKUP($B322,Seqs!$A:$B,2,0),AG322,1),"")</f>
        <v>C</v>
      </c>
      <c r="AG322" s="3">
        <v>210</v>
      </c>
      <c r="AH322" s="3" t="str">
        <f>IFERROR(MID(VLOOKUP($B322,Seqs!$A:$B,2,0),AI322,1),"")</f>
        <v>E</v>
      </c>
      <c r="AI322" s="3">
        <v>212</v>
      </c>
      <c r="AJ322" s="3" t="str">
        <f>IFERROR(MID(VLOOKUP($B322,Seqs!$A:$B,2,0),AK322,1),"")</f>
        <v>I</v>
      </c>
      <c r="AK322" s="3">
        <v>218</v>
      </c>
      <c r="AL322" s="3" t="str">
        <f>IFERROR(MID(VLOOKUP($B322,Seqs!$A:$B,2,0),AM322,1),"")</f>
        <v>C</v>
      </c>
      <c r="AM322" s="3">
        <v>252</v>
      </c>
      <c r="AN322" s="3" t="str">
        <f>IFERROR(MID(VLOOKUP($B322,Seqs!$A:$B,2,0),AO322,1),"")</f>
        <v>K</v>
      </c>
      <c r="AO322" s="3">
        <v>294</v>
      </c>
      <c r="AP322" s="3" t="str">
        <f>IFERROR(MID(VLOOKUP($B322,Seqs!$A:$B,2,0),AQ322,1),"")</f>
        <v>F</v>
      </c>
      <c r="AQ322" s="3">
        <v>330</v>
      </c>
      <c r="AR322" s="3" t="str">
        <f>IFERROR(MID(VLOOKUP($B322,Seqs!$A:$B,2,0),AS322,1),"")</f>
        <v>D</v>
      </c>
      <c r="AS322" s="3">
        <v>338</v>
      </c>
      <c r="AT322" s="3" t="str">
        <f>IFERROR(MID(VLOOKUP($B322,Seqs!$A:$B,2,0),AU322,1),"")</f>
        <v>L</v>
      </c>
      <c r="AU322" s="3">
        <v>367</v>
      </c>
      <c r="AV322" s="3" t="str">
        <f>IFERROR(MID(VLOOKUP($B322,Seqs!$A:$B,2,0),AW322,1),"")</f>
        <v>S</v>
      </c>
      <c r="AW322" s="3">
        <v>368</v>
      </c>
      <c r="AX322" s="3" t="str">
        <f>IFERROR(MID(VLOOKUP($B322,Seqs!$A:$B,2,0),AY322,1),"")</f>
        <v>C</v>
      </c>
      <c r="AY322" s="3">
        <v>383</v>
      </c>
      <c r="AZ322" s="77" t="str">
        <f>VLOOKUP(B322,Classification!A:D,2,0)</f>
        <v>A</v>
      </c>
      <c r="BA322" s="94" t="str">
        <f>VLOOKUP(B322,Classification!A:D,4,0)</f>
        <v>Orexin</v>
      </c>
      <c r="BB322" s="27" t="b">
        <f>AND(E322&lt;G322,OR(G322&lt;I322,I322="-"),OR(I322&lt;K322,I322="-"),OR(K322&lt;M322,K322="-"),M322&lt;O322,OR(O322&lt;Q322,Q322="-"),OR(Q322&lt;S322,Q322="-"),OR(S322&lt;U322,S322="-"),U322&lt;W322,OR(W322&lt;Y322,Y322="-"),OR(Y322&lt;AA322,Y322="-"),OR(AA322&lt;AC322,AA322="-"),AC322&lt;AE322,OR(AE322&lt;AG322,AG322="-"),OR(AG322&lt;AI322,AG322="-"),OR(AI322&lt;AK322,AI322="-"),AK322&lt;AM322,AM322&lt;AO322,AO322&lt;AQ322,AQ322&lt;AS322,AS322&lt;AU322,OR(AU322&lt;AW322,AW322="-"),OR(AW322&lt;AY322,AW322="-"))</f>
        <v>1</v>
      </c>
      <c r="BC322" s="23">
        <f>_xlfn.AGGREGATE(9,6,CH322:CS322)-_xlfn.AGGREGATE(9,6,BV322:CG322)+12</f>
        <v>255</v>
      </c>
      <c r="BD322" s="2" t="s">
        <v>23</v>
      </c>
      <c r="BE322" s="3" t="s">
        <v>1374</v>
      </c>
      <c r="BF322" s="118">
        <v>1.96</v>
      </c>
      <c r="BG322" s="49" t="s">
        <v>1</v>
      </c>
      <c r="BH322" s="49" t="s">
        <v>1</v>
      </c>
      <c r="BI322" s="1"/>
      <c r="BJ322" s="70" t="s">
        <v>1287</v>
      </c>
      <c r="BK322" s="57" t="s">
        <v>1287</v>
      </c>
      <c r="BL322" s="57" t="s">
        <v>1287</v>
      </c>
      <c r="BM322" s="57" t="s">
        <v>1287</v>
      </c>
      <c r="BN322" s="57" t="s">
        <v>1287</v>
      </c>
      <c r="BO322" s="57" t="s">
        <v>1287</v>
      </c>
      <c r="BP322" s="57" t="s">
        <v>1287</v>
      </c>
      <c r="BQ322" s="57" t="s">
        <v>1287</v>
      </c>
      <c r="BR322" s="57" t="s">
        <v>1287</v>
      </c>
      <c r="BS322" s="57" t="s">
        <v>1287</v>
      </c>
      <c r="BT322" s="57" t="s">
        <v>1287</v>
      </c>
      <c r="BU322" s="57" t="s">
        <v>1287</v>
      </c>
      <c r="BV322" s="70">
        <f>E322</f>
        <v>53</v>
      </c>
      <c r="BW322" s="71">
        <f>I322</f>
        <v>83</v>
      </c>
      <c r="BX322" s="72">
        <f>M322</f>
        <v>87</v>
      </c>
      <c r="BY322" s="71">
        <f>Q322</f>
        <v>119</v>
      </c>
      <c r="BZ322" s="72">
        <f>U322</f>
        <v>123</v>
      </c>
      <c r="CA322" s="71" t="str">
        <f>Y322</f>
        <v>-</v>
      </c>
      <c r="CB322" s="72">
        <f>AC322</f>
        <v>165</v>
      </c>
      <c r="CC322" s="71">
        <f>AG322</f>
        <v>210</v>
      </c>
      <c r="CD322" s="72">
        <f>AK322</f>
        <v>218</v>
      </c>
      <c r="CE322" s="71">
        <f>AO322</f>
        <v>294</v>
      </c>
      <c r="CF322" s="72">
        <f>AS322</f>
        <v>338</v>
      </c>
      <c r="CG322" s="71">
        <f>AW322</f>
        <v>368</v>
      </c>
      <c r="CH322" s="70">
        <f>G322</f>
        <v>82</v>
      </c>
      <c r="CI322" s="71">
        <f>K322</f>
        <v>86</v>
      </c>
      <c r="CJ322" s="72">
        <f>O322</f>
        <v>118</v>
      </c>
      <c r="CK322" s="72">
        <f>S322</f>
        <v>122</v>
      </c>
      <c r="CL322" s="72">
        <f>W322</f>
        <v>158</v>
      </c>
      <c r="CM322" s="72" t="str">
        <f>AA322</f>
        <v>-</v>
      </c>
      <c r="CN322" s="72">
        <f>AE322</f>
        <v>191</v>
      </c>
      <c r="CO322" s="72">
        <f>AI322</f>
        <v>212</v>
      </c>
      <c r="CP322" s="72">
        <f>AM322</f>
        <v>252</v>
      </c>
      <c r="CQ322" s="72">
        <f>AQ322</f>
        <v>330</v>
      </c>
      <c r="CR322" s="72">
        <f>AU322</f>
        <v>367</v>
      </c>
      <c r="CS322" s="72">
        <f>AY322</f>
        <v>383</v>
      </c>
      <c r="CT322" s="23">
        <f>M322-K322</f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29" x14ac:dyDescent="0.2">
      <c r="A323" s="3" t="str">
        <f>CONCATENATE(B323,"_",C323)</f>
        <v>ox2r_human_5WS3</v>
      </c>
      <c r="B323" s="3" t="s">
        <v>1175</v>
      </c>
      <c r="C323" s="3" t="s">
        <v>1448</v>
      </c>
      <c r="D323" s="3" t="str">
        <f>IFERROR(MID(VLOOKUP($B323,Seqs!$A:$B,2,0),E323,1),"")</f>
        <v>Y</v>
      </c>
      <c r="E323" s="3">
        <v>53</v>
      </c>
      <c r="F323" s="3" t="str">
        <f>IFERROR(MID(VLOOKUP($B323,Seqs!$A:$B,2,0),G323,1),"")</f>
        <v>N</v>
      </c>
      <c r="G323" s="3">
        <v>82</v>
      </c>
      <c r="H323" s="3" t="str">
        <f>IFERROR(MID(VLOOKUP($B323,Seqs!$A:$B,2,0),I323,1),"")</f>
        <v>H</v>
      </c>
      <c r="I323" s="23">
        <v>83</v>
      </c>
      <c r="J323" s="3" t="str">
        <f>IFERROR(MID(VLOOKUP($B323,Seqs!$A:$B,2,0),K323,1),"")</f>
        <v>R</v>
      </c>
      <c r="K323" s="23">
        <v>86</v>
      </c>
      <c r="L323" s="3" t="str">
        <f>IFERROR(MID(VLOOKUP($B323,Seqs!$A:$B,2,0),M323,1),"")</f>
        <v>T</v>
      </c>
      <c r="M323" s="3">
        <v>87</v>
      </c>
      <c r="N323" s="3" t="str">
        <f>IFERROR(MID(VLOOKUP($B323,Seqs!$A:$B,2,0),O323,1),"")</f>
        <v>E</v>
      </c>
      <c r="O323" s="3">
        <v>118</v>
      </c>
      <c r="P323" s="3" t="str">
        <f>IFERROR(MID(VLOOKUP($B323,Seqs!$A:$B,2,0),Q323,1),"")</f>
        <v>T</v>
      </c>
      <c r="Q323" s="3">
        <v>119</v>
      </c>
      <c r="R323" s="3" t="str">
        <f>IFERROR(MID(VLOOKUP($B323,Seqs!$A:$B,2,0),S323,1),"")</f>
        <v>F</v>
      </c>
      <c r="S323" s="3">
        <v>122</v>
      </c>
      <c r="T323" s="3" t="str">
        <f>IFERROR(MID(VLOOKUP($B323,Seqs!$A:$B,2,0),U323,1),"")</f>
        <v>G</v>
      </c>
      <c r="U323" s="3">
        <v>123</v>
      </c>
      <c r="V323" s="3" t="str">
        <f>IFERROR(MID(VLOOKUP($B323,Seqs!$A:$B,2,0),W323,1),"")</f>
        <v>H</v>
      </c>
      <c r="W323" s="3">
        <v>158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T</v>
      </c>
      <c r="AC323" s="3">
        <v>165</v>
      </c>
      <c r="AD323" s="3" t="str">
        <f>IFERROR(MID(VLOOKUP($B323,Seqs!$A:$B,2,0),AE323,1),"")</f>
        <v>M</v>
      </c>
      <c r="AE323" s="3">
        <v>191</v>
      </c>
      <c r="AF323" s="3" t="str">
        <f>IFERROR(MID(VLOOKUP($B323,Seqs!$A:$B,2,0),AG323,1),"")</f>
        <v>C</v>
      </c>
      <c r="AG323" s="3">
        <v>210</v>
      </c>
      <c r="AH323" s="3" t="str">
        <f>IFERROR(MID(VLOOKUP($B323,Seqs!$A:$B,2,0),AI323,1),"")</f>
        <v>E</v>
      </c>
      <c r="AI323" s="3">
        <v>212</v>
      </c>
      <c r="AJ323" s="3" t="str">
        <f>IFERROR(MID(VLOOKUP($B323,Seqs!$A:$B,2,0),AK323,1),"")</f>
        <v>I</v>
      </c>
      <c r="AK323" s="3">
        <v>218</v>
      </c>
      <c r="AL323" s="3" t="str">
        <f>IFERROR(MID(VLOOKUP($B323,Seqs!$A:$B,2,0),AM323,1),"")</f>
        <v>C</v>
      </c>
      <c r="AM323" s="3">
        <v>252</v>
      </c>
      <c r="AN323" s="3" t="str">
        <f>IFERROR(MID(VLOOKUP($B323,Seqs!$A:$B,2,0),AO323,1),"")</f>
        <v>K</v>
      </c>
      <c r="AO323" s="3">
        <v>294</v>
      </c>
      <c r="AP323" s="3" t="str">
        <f>IFERROR(MID(VLOOKUP($B323,Seqs!$A:$B,2,0),AQ323,1),"")</f>
        <v>F</v>
      </c>
      <c r="AQ323" s="3">
        <v>330</v>
      </c>
      <c r="AR323" s="3" t="str">
        <f>IFERROR(MID(VLOOKUP($B323,Seqs!$A:$B,2,0),AS323,1),"")</f>
        <v>D</v>
      </c>
      <c r="AS323" s="3">
        <v>338</v>
      </c>
      <c r="AT323" s="3" t="str">
        <f>IFERROR(MID(VLOOKUP($B323,Seqs!$A:$B,2,0),AU323,1),"")</f>
        <v>L</v>
      </c>
      <c r="AU323" s="3">
        <v>367</v>
      </c>
      <c r="AV323" s="3" t="str">
        <f>IFERROR(MID(VLOOKUP($B323,Seqs!$A:$B,2,0),AW323,1),"")</f>
        <v>S</v>
      </c>
      <c r="AW323" s="3">
        <v>368</v>
      </c>
      <c r="AX323" s="3" t="str">
        <f>IFERROR(MID(VLOOKUP($B323,Seqs!$A:$B,2,0),AY323,1),"")</f>
        <v>C</v>
      </c>
      <c r="AY323" s="3">
        <v>383</v>
      </c>
      <c r="AZ323" s="77" t="str">
        <f>VLOOKUP(B323,Classification!A:D,2,0)</f>
        <v>A</v>
      </c>
      <c r="BA323" s="94" t="str">
        <f>VLOOKUP(B323,Classification!A:D,4,0)</f>
        <v>Orexin</v>
      </c>
      <c r="BB323" s="27" t="b">
        <f>AND(E323&lt;G323,OR(G323&lt;I323,I323="-"),OR(I323&lt;K323,I323="-"),OR(K323&lt;M323,K323="-"),M323&lt;O323,OR(O323&lt;Q323,Q323="-"),OR(Q323&lt;S323,Q323="-"),OR(S323&lt;U323,S323="-"),U323&lt;W323,OR(W323&lt;Y323,Y323="-"),OR(Y323&lt;AA323,Y323="-"),OR(AA323&lt;AC323,AA323="-"),AC323&lt;AE323,OR(AE323&lt;AG323,AG323="-"),OR(AG323&lt;AI323,AG323="-"),OR(AI323&lt;AK323,AI323="-"),AK323&lt;AM323,AM323&lt;AO323,AO323&lt;AQ323,AQ323&lt;AS323,AS323&lt;AU323,OR(AU323&lt;AW323,AW323="-"),OR(AW323&lt;AY323,AW323="-"))</f>
        <v>1</v>
      </c>
      <c r="BC323" s="23">
        <f>_xlfn.AGGREGATE(9,6,CH323:CS323)-_xlfn.AGGREGATE(9,6,BV323:CG323)+12</f>
        <v>255</v>
      </c>
      <c r="BD323" s="2" t="s">
        <v>1376</v>
      </c>
      <c r="BE323" s="3" t="s">
        <v>1374</v>
      </c>
      <c r="BF323" s="118">
        <v>2.2999999999999998</v>
      </c>
      <c r="BG323" s="49" t="s">
        <v>1</v>
      </c>
      <c r="BH323" s="49" t="s">
        <v>1</v>
      </c>
      <c r="BI323" s="1"/>
      <c r="BJ323" s="70" t="s">
        <v>1287</v>
      </c>
      <c r="BK323" s="57" t="s">
        <v>1287</v>
      </c>
      <c r="BL323" s="57" t="s">
        <v>1287</v>
      </c>
      <c r="BM323" s="57" t="s">
        <v>1287</v>
      </c>
      <c r="BN323" s="57" t="s">
        <v>1287</v>
      </c>
      <c r="BO323" s="57" t="s">
        <v>1287</v>
      </c>
      <c r="BP323" s="57" t="s">
        <v>1287</v>
      </c>
      <c r="BQ323" s="57" t="s">
        <v>1287</v>
      </c>
      <c r="BR323" s="57" t="s">
        <v>1287</v>
      </c>
      <c r="BS323" s="57" t="s">
        <v>1287</v>
      </c>
      <c r="BT323" s="57" t="s">
        <v>1287</v>
      </c>
      <c r="BU323" s="57" t="s">
        <v>1287</v>
      </c>
      <c r="BV323" s="70">
        <f>E323</f>
        <v>53</v>
      </c>
      <c r="BW323" s="71">
        <f>I323</f>
        <v>83</v>
      </c>
      <c r="BX323" s="72">
        <f>M323</f>
        <v>87</v>
      </c>
      <c r="BY323" s="71">
        <f>Q323</f>
        <v>119</v>
      </c>
      <c r="BZ323" s="72">
        <f>U323</f>
        <v>123</v>
      </c>
      <c r="CA323" s="71" t="str">
        <f>Y323</f>
        <v>-</v>
      </c>
      <c r="CB323" s="72">
        <f>AC323</f>
        <v>165</v>
      </c>
      <c r="CC323" s="71">
        <f>AG323</f>
        <v>210</v>
      </c>
      <c r="CD323" s="72">
        <f>AK323</f>
        <v>218</v>
      </c>
      <c r="CE323" s="71">
        <f>AO323</f>
        <v>294</v>
      </c>
      <c r="CF323" s="72">
        <f>AS323</f>
        <v>338</v>
      </c>
      <c r="CG323" s="71">
        <f>AW323</f>
        <v>368</v>
      </c>
      <c r="CH323" s="70">
        <f>G323</f>
        <v>82</v>
      </c>
      <c r="CI323" s="71">
        <f>K323</f>
        <v>86</v>
      </c>
      <c r="CJ323" s="72">
        <f>O323</f>
        <v>118</v>
      </c>
      <c r="CK323" s="72">
        <f>S323</f>
        <v>122</v>
      </c>
      <c r="CL323" s="72">
        <f>W323</f>
        <v>158</v>
      </c>
      <c r="CM323" s="72" t="str">
        <f>AA323</f>
        <v>-</v>
      </c>
      <c r="CN323" s="72">
        <f>AE323</f>
        <v>191</v>
      </c>
      <c r="CO323" s="72">
        <f>AI323</f>
        <v>212</v>
      </c>
      <c r="CP323" s="72">
        <f>AM323</f>
        <v>252</v>
      </c>
      <c r="CQ323" s="72">
        <f>AQ323</f>
        <v>330</v>
      </c>
      <c r="CR323" s="72">
        <f>AU323</f>
        <v>367</v>
      </c>
      <c r="CS323" s="72">
        <f>AY323</f>
        <v>383</v>
      </c>
      <c r="CT323" s="23">
        <f>M323-K323</f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29" s="12" customFormat="1" x14ac:dyDescent="0.2">
      <c r="A324" s="9" t="str">
        <f>CONCATENATE(B324,"_",C324)</f>
        <v>ox2r_human_6TPN</v>
      </c>
      <c r="B324" s="9" t="s">
        <v>1175</v>
      </c>
      <c r="C324" s="9" t="s">
        <v>1624</v>
      </c>
      <c r="D324" s="9" t="str">
        <f>IFERROR(MID(VLOOKUP($B324,Seqs!$A:$B,2,0),E324,1),"")</f>
        <v>Y</v>
      </c>
      <c r="E324" s="9">
        <v>53</v>
      </c>
      <c r="F324" s="9" t="str">
        <f>IFERROR(MID(VLOOKUP($B324,Seqs!$A:$B,2,0),G324,1),"")</f>
        <v>N</v>
      </c>
      <c r="G324" s="9">
        <v>82</v>
      </c>
      <c r="H324" s="9" t="str">
        <f>IFERROR(MID(VLOOKUP($B324,Seqs!$A:$B,2,0),I324,1),"")</f>
        <v>H</v>
      </c>
      <c r="I324" s="109">
        <v>83</v>
      </c>
      <c r="J324" s="9" t="str">
        <f>IFERROR(MID(VLOOKUP($B324,Seqs!$A:$B,2,0),K324,1),"")</f>
        <v>R</v>
      </c>
      <c r="K324" s="109">
        <v>86</v>
      </c>
      <c r="L324" s="9" t="str">
        <f>IFERROR(MID(VLOOKUP($B324,Seqs!$A:$B,2,0),M324,1),"")</f>
        <v>T</v>
      </c>
      <c r="M324" s="9">
        <v>87</v>
      </c>
      <c r="N324" s="9" t="str">
        <f>IFERROR(MID(VLOOKUP($B324,Seqs!$A:$B,2,0),O324,1),"")</f>
        <v>E</v>
      </c>
      <c r="O324" s="9">
        <v>118</v>
      </c>
      <c r="P324" s="9" t="str">
        <f>IFERROR(MID(VLOOKUP($B324,Seqs!$A:$B,2,0),Q324,1),"")</f>
        <v>T</v>
      </c>
      <c r="Q324" s="9">
        <v>119</v>
      </c>
      <c r="R324" s="9" t="str">
        <f>IFERROR(MID(VLOOKUP($B324,Seqs!$A:$B,2,0),S324,1),"")</f>
        <v>F</v>
      </c>
      <c r="S324" s="9">
        <v>122</v>
      </c>
      <c r="T324" s="9" t="str">
        <f>IFERROR(MID(VLOOKUP($B324,Seqs!$A:$B,2,0),U324,1),"")</f>
        <v>G</v>
      </c>
      <c r="U324" s="9">
        <v>123</v>
      </c>
      <c r="V324" s="9" t="str">
        <f>IFERROR(MID(VLOOKUP($B324,Seqs!$A:$B,2,0),W324,1),"")</f>
        <v>C</v>
      </c>
      <c r="W324" s="9">
        <v>157</v>
      </c>
      <c r="X324" s="9" t="str">
        <f>IFERROR(MID(VLOOKUP($B324,Seqs!$A:$B,2,0),Y324,1),"")</f>
        <v/>
      </c>
      <c r="Y324" s="9" t="s">
        <v>23</v>
      </c>
      <c r="Z324" s="9" t="str">
        <f>IFERROR(MID(VLOOKUP($B324,Seqs!$A:$B,2,0),AA324,1),"")</f>
        <v/>
      </c>
      <c r="AA324" s="9" t="s">
        <v>23</v>
      </c>
      <c r="AB324" s="9" t="str">
        <f>IFERROR(MID(VLOOKUP($B324,Seqs!$A:$B,2,0),AC324,1),"")</f>
        <v>T</v>
      </c>
      <c r="AC324" s="9">
        <v>165</v>
      </c>
      <c r="AD324" s="9" t="str">
        <f>IFERROR(MID(VLOOKUP($B324,Seqs!$A:$B,2,0),AE324,1),"")</f>
        <v>M</v>
      </c>
      <c r="AE324" s="9">
        <v>191</v>
      </c>
      <c r="AF324" s="9" t="str">
        <f>IFERROR(MID(VLOOKUP($B324,Seqs!$A:$B,2,0),AG324,1),"")</f>
        <v>C</v>
      </c>
      <c r="AG324" s="9">
        <v>210</v>
      </c>
      <c r="AH324" s="9" t="str">
        <f>IFERROR(MID(VLOOKUP($B324,Seqs!$A:$B,2,0),AI324,1),"")</f>
        <v>E</v>
      </c>
      <c r="AI324" s="9">
        <v>212</v>
      </c>
      <c r="AJ324" s="9" t="str">
        <f>IFERROR(MID(VLOOKUP($B324,Seqs!$A:$B,2,0),AK324,1),"")</f>
        <v>I</v>
      </c>
      <c r="AK324" s="9">
        <v>218</v>
      </c>
      <c r="AL324" s="9" t="str">
        <f>IFERROR(MID(VLOOKUP($B324,Seqs!$A:$B,2,0),AM324,1),"")</f>
        <v>C</v>
      </c>
      <c r="AM324" s="9">
        <v>252</v>
      </c>
      <c r="AN324" s="9" t="str">
        <f>IFERROR(MID(VLOOKUP($B324,Seqs!$A:$B,2,0),AO324,1),"")</f>
        <v>K</v>
      </c>
      <c r="AO324" s="9">
        <v>294</v>
      </c>
      <c r="AP324" s="9" t="str">
        <f>IFERROR(MID(VLOOKUP($B324,Seqs!$A:$B,2,0),AQ324,1),"")</f>
        <v>F</v>
      </c>
      <c r="AQ324" s="9">
        <v>330</v>
      </c>
      <c r="AR324" s="9" t="str">
        <f>IFERROR(MID(VLOOKUP($B324,Seqs!$A:$B,2,0),AS324,1),"")</f>
        <v>R</v>
      </c>
      <c r="AS324" s="9">
        <v>339</v>
      </c>
      <c r="AT324" s="9" t="str">
        <f>IFERROR(MID(VLOOKUP($B324,Seqs!$A:$B,2,0),AU324,1),"")</f>
        <v>L</v>
      </c>
      <c r="AU324" s="9">
        <v>367</v>
      </c>
      <c r="AV324" s="9" t="str">
        <f>IFERROR(MID(VLOOKUP($B324,Seqs!$A:$B,2,0),AW324,1),"")</f>
        <v>S</v>
      </c>
      <c r="AW324" s="9">
        <v>368</v>
      </c>
      <c r="AX324" s="9" t="str">
        <f>IFERROR(MID(VLOOKUP($B324,Seqs!$A:$B,2,0),AY324,1),"")</f>
        <v>L</v>
      </c>
      <c r="AY324" s="9">
        <v>384</v>
      </c>
      <c r="AZ324" s="110" t="str">
        <f>VLOOKUP(B324,Classification!A:D,2,0)</f>
        <v>A</v>
      </c>
      <c r="BA324" s="98" t="str">
        <f>VLOOKUP(B324,Classification!A:D,4,0)</f>
        <v>Orexin</v>
      </c>
      <c r="BB324" s="36" t="b">
        <f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109">
        <f>_xlfn.AGGREGATE(9,6,CH324:CS324)-_xlfn.AGGREGATE(9,6,BV324:CG324)+12</f>
        <v>254</v>
      </c>
      <c r="BD324" s="40" t="s">
        <v>23</v>
      </c>
      <c r="BE324" s="9" t="s">
        <v>1374</v>
      </c>
      <c r="BF324" s="119">
        <v>2.61</v>
      </c>
      <c r="BG324" s="51" t="s">
        <v>1</v>
      </c>
      <c r="BH324" s="51" t="s">
        <v>1</v>
      </c>
      <c r="BJ324" s="111" t="s">
        <v>1287</v>
      </c>
      <c r="BK324" s="112" t="s">
        <v>1287</v>
      </c>
      <c r="BL324" s="112" t="s">
        <v>1287</v>
      </c>
      <c r="BM324" s="112" t="s">
        <v>1287</v>
      </c>
      <c r="BN324" s="112" t="s">
        <v>1287</v>
      </c>
      <c r="BO324" s="112" t="s">
        <v>1287</v>
      </c>
      <c r="BP324" s="112" t="s">
        <v>1287</v>
      </c>
      <c r="BQ324" s="112" t="s">
        <v>1287</v>
      </c>
      <c r="BR324" s="112" t="s">
        <v>1287</v>
      </c>
      <c r="BS324" s="112" t="s">
        <v>1287</v>
      </c>
      <c r="BT324" s="112" t="s">
        <v>1287</v>
      </c>
      <c r="BU324" s="112" t="s">
        <v>1287</v>
      </c>
      <c r="BV324" s="111">
        <f>E324</f>
        <v>53</v>
      </c>
      <c r="BW324" s="113">
        <f>I324</f>
        <v>83</v>
      </c>
      <c r="BX324" s="114">
        <f>M324</f>
        <v>87</v>
      </c>
      <c r="BY324" s="113">
        <f>Q324</f>
        <v>119</v>
      </c>
      <c r="BZ324" s="114">
        <f>U324</f>
        <v>123</v>
      </c>
      <c r="CA324" s="113" t="str">
        <f>Y324</f>
        <v>-</v>
      </c>
      <c r="CB324" s="114">
        <f>AC324</f>
        <v>165</v>
      </c>
      <c r="CC324" s="113">
        <f>AG324</f>
        <v>210</v>
      </c>
      <c r="CD324" s="114">
        <f>AK324</f>
        <v>218</v>
      </c>
      <c r="CE324" s="113">
        <f>AO324</f>
        <v>294</v>
      </c>
      <c r="CF324" s="114">
        <f>AS324</f>
        <v>339</v>
      </c>
      <c r="CG324" s="113">
        <f>AW324</f>
        <v>368</v>
      </c>
      <c r="CH324" s="111">
        <f>G324</f>
        <v>82</v>
      </c>
      <c r="CI324" s="113">
        <f>K324</f>
        <v>86</v>
      </c>
      <c r="CJ324" s="114">
        <f>O324</f>
        <v>118</v>
      </c>
      <c r="CK324" s="114">
        <f>S324</f>
        <v>122</v>
      </c>
      <c r="CL324" s="114">
        <f>W324</f>
        <v>157</v>
      </c>
      <c r="CM324" s="114" t="str">
        <f>AA324</f>
        <v>-</v>
      </c>
      <c r="CN324" s="114">
        <f>AE324</f>
        <v>191</v>
      </c>
      <c r="CO324" s="114">
        <f>AI324</f>
        <v>212</v>
      </c>
      <c r="CP324" s="114">
        <f>AM324</f>
        <v>252</v>
      </c>
      <c r="CQ324" s="114">
        <f>AQ324</f>
        <v>330</v>
      </c>
      <c r="CR324" s="114">
        <f>AU324</f>
        <v>367</v>
      </c>
      <c r="CS324" s="114">
        <f>AY324</f>
        <v>384</v>
      </c>
      <c r="CT324" s="109">
        <f>M324-K324</f>
        <v>1</v>
      </c>
    </row>
    <row r="325" spans="1:1029" x14ac:dyDescent="0.2">
      <c r="A325" s="3" t="str">
        <f t="shared" si="1982"/>
        <v>p2ry1_human__wt</v>
      </c>
      <c r="B325" s="3" t="s">
        <v>345</v>
      </c>
      <c r="C325" s="3" t="s">
        <v>100</v>
      </c>
      <c r="D325" s="3" t="str">
        <f>IFERROR(MID(VLOOKUP($B325,Seqs!$A:$B,2,0),E325,1),"")</f>
        <v>F</v>
      </c>
      <c r="E325" s="3">
        <v>49</v>
      </c>
      <c r="F325" s="3" t="str">
        <f>IFERROR(MID(VLOOKUP($B325,Seqs!$A:$B,2,0),G325,1),"")</f>
        <v>H</v>
      </c>
      <c r="G325" s="3">
        <v>79</v>
      </c>
      <c r="H325" s="3" t="str">
        <f>IFERROR(MID(VLOOKUP($B325,Seqs!$A:$B,2,0),I325,1),"")</f>
        <v/>
      </c>
      <c r="I325" s="23" t="s">
        <v>23</v>
      </c>
      <c r="J325" s="3" t="str">
        <f>IFERROR(MID(VLOOKUP($B325,Seqs!$A:$B,2,0),K325,1),"")</f>
        <v/>
      </c>
      <c r="K325" s="23" t="s">
        <v>23</v>
      </c>
      <c r="L325" s="3" t="str">
        <f>IFERROR(MID(VLOOKUP($B325,Seqs!$A:$B,2,0),M325,1),"")</f>
        <v>S</v>
      </c>
      <c r="M325" s="3">
        <v>84</v>
      </c>
      <c r="N325" s="3" t="str">
        <f>IFERROR(MID(VLOOKUP($B325,Seqs!$A:$B,2,0),O325,1),"")</f>
        <v>N</v>
      </c>
      <c r="O325" s="3">
        <v>113</v>
      </c>
      <c r="P325" s="3" t="str">
        <f>IFERROR(MID(VLOOKUP($B325,Seqs!$A:$B,2,0),Q325,1),"")</f>
        <v>D</v>
      </c>
      <c r="Q325" s="3">
        <v>116</v>
      </c>
      <c r="R325" s="3" t="str">
        <f>IFERROR(MID(VLOOKUP($B325,Seqs!$A:$B,2,0),S325,1),"")</f>
        <v>F</v>
      </c>
      <c r="S325" s="3">
        <v>119</v>
      </c>
      <c r="T325" s="3" t="str">
        <f>IFERROR(MID(VLOOKUP($B325,Seqs!$A:$B,2,0),U325,1),"")</f>
        <v>G</v>
      </c>
      <c r="U325" s="3">
        <v>120</v>
      </c>
      <c r="V325" s="3" t="str">
        <f>IFERROR(MID(VLOOKUP($B325,Seqs!$A:$B,2,0),W325,1),"")</f>
        <v>Y</v>
      </c>
      <c r="W325" s="3">
        <v>155</v>
      </c>
      <c r="X325" s="3" t="str">
        <f>IFERROR(MID(VLOOKUP($B325,Seqs!$A:$B,2,0),Y325,1),"")</f>
        <v>P</v>
      </c>
      <c r="Y325" s="3">
        <v>156</v>
      </c>
      <c r="Z325" s="3" t="str">
        <f>IFERROR(MID(VLOOKUP($B325,Seqs!$A:$B,2,0),AA325,1),"")</f>
        <v>L</v>
      </c>
      <c r="AA325" s="3">
        <v>163</v>
      </c>
      <c r="AB325" s="3" t="str">
        <f>IFERROR(MID(VLOOKUP($B325,Seqs!$A:$B,2,0),AC325,1),"")</f>
        <v>K</v>
      </c>
      <c r="AC325" s="3">
        <v>164</v>
      </c>
      <c r="AD325" s="3" t="str">
        <f>IFERROR(MID(VLOOKUP($B325,Seqs!$A:$B,2,0),AE325,1),"")</f>
        <v>S</v>
      </c>
      <c r="AE325" s="3">
        <v>190</v>
      </c>
      <c r="AF325" s="3" t="str">
        <f>IFERROR(MID(VLOOKUP($B325,Seqs!$A:$B,2,0),AG325,1),"")</f>
        <v>C</v>
      </c>
      <c r="AG325" s="3">
        <v>202</v>
      </c>
      <c r="AH325" s="3" t="str">
        <f>IFERROR(MID(VLOOKUP($B325,Seqs!$A:$B,2,0),AI325,1),"")</f>
        <v>D</v>
      </c>
      <c r="AI325" s="3">
        <v>204</v>
      </c>
      <c r="AJ325" s="3" t="str">
        <f>IFERROR(MID(VLOOKUP($B325,Seqs!$A:$B,2,0),AK325,1),"")</f>
        <v>L</v>
      </c>
      <c r="AK325" s="3">
        <v>211</v>
      </c>
      <c r="AL325" s="3" t="str">
        <f>IFERROR(MID(VLOOKUP($B325,Seqs!$A:$B,2,0),AM325,1),"")</f>
        <v>K</v>
      </c>
      <c r="AM325" s="3">
        <v>247</v>
      </c>
      <c r="AN325" s="3" t="str">
        <f>IFERROR(MID(VLOOKUP($B325,Seqs!$A:$B,2,0),AO325,1),"")</f>
        <v>P</v>
      </c>
      <c r="AO325" s="3">
        <v>253</v>
      </c>
      <c r="AP325" s="3" t="str">
        <f>IFERROR(MID(VLOOKUP($B325,Seqs!$A:$B,2,0),AQ325,1),"")</f>
        <v>D</v>
      </c>
      <c r="AQ325" s="3">
        <v>289</v>
      </c>
      <c r="AR325" s="3" t="str">
        <f>IFERROR(MID(VLOOKUP($B325,Seqs!$A:$B,2,0),AS325,1),"")</f>
        <v>M</v>
      </c>
      <c r="AS325" s="3">
        <v>295</v>
      </c>
      <c r="AT325" s="3" t="str">
        <f>IFERROR(MID(VLOOKUP($B325,Seqs!$A:$B,2,0),AU325,1),"")</f>
        <v>A</v>
      </c>
      <c r="AU325" s="3">
        <v>327</v>
      </c>
      <c r="AV325" s="3" t="str">
        <f>IFERROR(MID(VLOOKUP($B325,Seqs!$A:$B,2,0),AW325,1),"")</f>
        <v>G</v>
      </c>
      <c r="AW325" s="3">
        <v>328</v>
      </c>
      <c r="AX325" s="3" t="str">
        <f>IFERROR(MID(VLOOKUP($B325,Seqs!$A:$B,2,0),AY325,1),"")</f>
        <v>R</v>
      </c>
      <c r="AY325" s="3">
        <v>340</v>
      </c>
      <c r="AZ325" s="77" t="str">
        <f>VLOOKUP(B325,Classification!A:D,2,0)</f>
        <v>A</v>
      </c>
      <c r="BA325" s="94" t="str">
        <f>VLOOKUP(B325,Classification!A:D,4,0)</f>
        <v>P2Y</v>
      </c>
      <c r="BB325" s="27" t="b">
        <f t="shared" si="1983"/>
        <v>1</v>
      </c>
      <c r="BC325" s="23">
        <f t="shared" si="1956"/>
        <v>260</v>
      </c>
      <c r="BD325" s="56" t="s">
        <v>23</v>
      </c>
      <c r="BE325" s="3" t="s">
        <v>23</v>
      </c>
      <c r="BF325" s="118" t="s">
        <v>23</v>
      </c>
      <c r="BG325" s="49" t="s">
        <v>1372</v>
      </c>
      <c r="BH325" s="49" t="s">
        <v>1377</v>
      </c>
      <c r="BI325" s="1"/>
      <c r="BJ325" s="70" t="s">
        <v>1287</v>
      </c>
      <c r="BK325" s="57" t="s">
        <v>1287</v>
      </c>
      <c r="BL325" s="57" t="s">
        <v>1287</v>
      </c>
      <c r="BM325" s="57" t="s">
        <v>1287</v>
      </c>
      <c r="BN325" s="57" t="s">
        <v>1287</v>
      </c>
      <c r="BO325" s="57" t="s">
        <v>1287</v>
      </c>
      <c r="BP325" s="57" t="s">
        <v>1287</v>
      </c>
      <c r="BQ325" s="57" t="s">
        <v>1287</v>
      </c>
      <c r="BR325" s="57" t="s">
        <v>1287</v>
      </c>
      <c r="BS325" s="57" t="s">
        <v>1287</v>
      </c>
      <c r="BT325" s="57" t="s">
        <v>1287</v>
      </c>
      <c r="BU325" s="57" t="s">
        <v>1287</v>
      </c>
      <c r="BV325" s="70">
        <f t="shared" si="1957"/>
        <v>49</v>
      </c>
      <c r="BW325" s="71" t="str">
        <f t="shared" si="1958"/>
        <v>-</v>
      </c>
      <c r="BX325" s="72">
        <f t="shared" si="1959"/>
        <v>84</v>
      </c>
      <c r="BY325" s="71">
        <f t="shared" si="1960"/>
        <v>116</v>
      </c>
      <c r="BZ325" s="72">
        <f t="shared" si="1961"/>
        <v>120</v>
      </c>
      <c r="CA325" s="71">
        <f t="shared" si="1962"/>
        <v>156</v>
      </c>
      <c r="CB325" s="72">
        <f t="shared" si="1963"/>
        <v>164</v>
      </c>
      <c r="CC325" s="71">
        <f t="shared" si="1964"/>
        <v>202</v>
      </c>
      <c r="CD325" s="72">
        <f t="shared" si="1965"/>
        <v>211</v>
      </c>
      <c r="CE325" s="71">
        <f t="shared" si="1966"/>
        <v>253</v>
      </c>
      <c r="CF325" s="72">
        <f t="shared" si="1967"/>
        <v>295</v>
      </c>
      <c r="CG325" s="71">
        <f t="shared" si="1968"/>
        <v>328</v>
      </c>
      <c r="CH325" s="70">
        <f t="shared" si="1969"/>
        <v>79</v>
      </c>
      <c r="CI325" s="71" t="str">
        <f t="shared" si="1970"/>
        <v>-</v>
      </c>
      <c r="CJ325" s="72">
        <f t="shared" si="1971"/>
        <v>113</v>
      </c>
      <c r="CK325" s="72">
        <f t="shared" si="1972"/>
        <v>119</v>
      </c>
      <c r="CL325" s="72">
        <f t="shared" si="1973"/>
        <v>155</v>
      </c>
      <c r="CM325" s="72">
        <f t="shared" si="1974"/>
        <v>163</v>
      </c>
      <c r="CN325" s="72">
        <f t="shared" si="1975"/>
        <v>190</v>
      </c>
      <c r="CO325" s="72">
        <f t="shared" si="1976"/>
        <v>204</v>
      </c>
      <c r="CP325" s="72">
        <f t="shared" si="1977"/>
        <v>247</v>
      </c>
      <c r="CQ325" s="72">
        <f t="shared" si="1978"/>
        <v>289</v>
      </c>
      <c r="CR325" s="72">
        <f t="shared" si="1979"/>
        <v>327</v>
      </c>
      <c r="CS325" s="72">
        <f t="shared" si="1980"/>
        <v>340</v>
      </c>
      <c r="CT325" s="23" t="e">
        <f t="shared" si="1981"/>
        <v>#VALUE!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29" x14ac:dyDescent="0.2">
      <c r="A326" s="3" t="str">
        <f t="shared" si="1982"/>
        <v>p2ry1_human_4XNV</v>
      </c>
      <c r="B326" s="3" t="s">
        <v>345</v>
      </c>
      <c r="C326" s="3" t="s">
        <v>1151</v>
      </c>
      <c r="D326" s="3" t="str">
        <f>IFERROR(MID(VLOOKUP($B326,Seqs!$A:$B,2,0),E326,1),"")</f>
        <v>F</v>
      </c>
      <c r="E326" s="3">
        <v>49</v>
      </c>
      <c r="F326" s="3" t="str">
        <f>IFERROR(MID(VLOOKUP($B326,Seqs!$A:$B,2,0),G326,1),"")</f>
        <v>H</v>
      </c>
      <c r="G326" s="3">
        <v>79</v>
      </c>
      <c r="H326" s="3" t="str">
        <f>IFERROR(MID(VLOOKUP($B326,Seqs!$A:$B,2,0),I326,1),"")</f>
        <v/>
      </c>
      <c r="I326" s="23" t="s">
        <v>23</v>
      </c>
      <c r="J326" s="3" t="str">
        <f>IFERROR(MID(VLOOKUP($B326,Seqs!$A:$B,2,0),K326,1),"")</f>
        <v/>
      </c>
      <c r="K326" s="23" t="s">
        <v>23</v>
      </c>
      <c r="L326" s="3" t="str">
        <f>IFERROR(MID(VLOOKUP($B326,Seqs!$A:$B,2,0),M326,1),"")</f>
        <v>S</v>
      </c>
      <c r="M326" s="3">
        <v>84</v>
      </c>
      <c r="N326" s="3" t="str">
        <f>IFERROR(MID(VLOOKUP($B326,Seqs!$A:$B,2,0),O326,1),"")</f>
        <v>N</v>
      </c>
      <c r="O326" s="3">
        <v>113</v>
      </c>
      <c r="P326" s="3" t="str">
        <f>IFERROR(MID(VLOOKUP($B326,Seqs!$A:$B,2,0),Q326,1),"")</f>
        <v>D</v>
      </c>
      <c r="Q326" s="3">
        <v>116</v>
      </c>
      <c r="R326" s="3" t="str">
        <f>IFERROR(MID(VLOOKUP($B326,Seqs!$A:$B,2,0),S326,1),"")</f>
        <v>F</v>
      </c>
      <c r="S326" s="3">
        <v>119</v>
      </c>
      <c r="T326" s="3" t="str">
        <f>IFERROR(MID(VLOOKUP($B326,Seqs!$A:$B,2,0),U326,1),"")</f>
        <v>G</v>
      </c>
      <c r="U326" s="3">
        <v>120</v>
      </c>
      <c r="V326" s="3" t="str">
        <f>IFERROR(MID(VLOOKUP($B326,Seqs!$A:$B,2,0),W326,1),"")</f>
        <v>Y</v>
      </c>
      <c r="W326" s="3">
        <v>155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G</v>
      </c>
      <c r="AC326" s="9">
        <v>161</v>
      </c>
      <c r="AD326" s="3" t="str">
        <f>IFERROR(MID(VLOOKUP($B326,Seqs!$A:$B,2,0),AE326,1),"")</f>
        <v>S</v>
      </c>
      <c r="AE326" s="3">
        <v>190</v>
      </c>
      <c r="AF326" s="3" t="str">
        <f>IFERROR(MID(VLOOKUP($B326,Seqs!$A:$B,2,0),AG326,1),"")</f>
        <v>C</v>
      </c>
      <c r="AG326" s="3">
        <v>202</v>
      </c>
      <c r="AH326" s="3" t="str">
        <f>IFERROR(MID(VLOOKUP($B326,Seqs!$A:$B,2,0),AI326,1),"")</f>
        <v>D</v>
      </c>
      <c r="AI326" s="3">
        <v>204</v>
      </c>
      <c r="AJ326" s="3" t="str">
        <f>IFERROR(MID(VLOOKUP($B326,Seqs!$A:$B,2,0),AK326,1),"")</f>
        <v>L</v>
      </c>
      <c r="AK326" s="3">
        <v>211</v>
      </c>
      <c r="AL326" s="3" t="str">
        <f>IFERROR(MID(VLOOKUP($B326,Seqs!$A:$B,2,0),AM326,1),"")</f>
        <v>K</v>
      </c>
      <c r="AM326" s="3">
        <v>247</v>
      </c>
      <c r="AN326" s="3" t="str">
        <f>IFERROR(MID(VLOOKUP($B326,Seqs!$A:$B,2,0),AO326,1),"")</f>
        <v>P</v>
      </c>
      <c r="AO326" s="3">
        <v>253</v>
      </c>
      <c r="AP326" s="3" t="str">
        <f>IFERROR(MID(VLOOKUP($B326,Seqs!$A:$B,2,0),AQ326,1),"")</f>
        <v>D</v>
      </c>
      <c r="AQ326" s="3">
        <v>289</v>
      </c>
      <c r="AR326" s="3" t="str">
        <f>IFERROR(MID(VLOOKUP($B326,Seqs!$A:$B,2,0),AS326,1),"")</f>
        <v>M</v>
      </c>
      <c r="AS326" s="3">
        <v>295</v>
      </c>
      <c r="AT326" s="3" t="str">
        <f>IFERROR(MID(VLOOKUP($B326,Seqs!$A:$B,2,0),AU326,1),"")</f>
        <v>L</v>
      </c>
      <c r="AU326" s="3">
        <v>326</v>
      </c>
      <c r="AV326" s="3" t="str">
        <f>IFERROR(MID(VLOOKUP($B326,Seqs!$A:$B,2,0),AW326,1),"")</f>
        <v/>
      </c>
      <c r="AW326" s="3" t="s">
        <v>23</v>
      </c>
      <c r="AX326" s="3" t="str">
        <f>IFERROR(MID(VLOOKUP($B326,Seqs!$A:$B,2,0),AY326,1),"")</f>
        <v/>
      </c>
      <c r="AY326" s="3" t="s">
        <v>23</v>
      </c>
      <c r="AZ326" s="77" t="str">
        <f>VLOOKUP(B326,Classification!A:D,2,0)</f>
        <v>A</v>
      </c>
      <c r="BA326" s="94" t="str">
        <f>VLOOKUP(B326,Classification!A:D,4,0)</f>
        <v>P2Y</v>
      </c>
      <c r="BB326" s="27" t="b">
        <f t="shared" si="1983"/>
        <v>1</v>
      </c>
      <c r="BC326" s="23">
        <f t="shared" si="1956"/>
        <v>243</v>
      </c>
      <c r="BD326" s="4" t="s">
        <v>23</v>
      </c>
      <c r="BE326" s="3" t="s">
        <v>1428</v>
      </c>
      <c r="BF326" s="118">
        <v>2.2000000000000002</v>
      </c>
      <c r="BG326" s="49" t="s">
        <v>1377</v>
      </c>
      <c r="BH326" s="49" t="s">
        <v>1377</v>
      </c>
      <c r="BI326" s="3" t="s">
        <v>1168</v>
      </c>
      <c r="BJ326" s="70" t="s">
        <v>1287</v>
      </c>
      <c r="BK326" s="57" t="s">
        <v>1287</v>
      </c>
      <c r="BL326" s="57" t="s">
        <v>1287</v>
      </c>
      <c r="BM326" s="57" t="s">
        <v>1287</v>
      </c>
      <c r="BN326" s="57" t="s">
        <v>1287</v>
      </c>
      <c r="BO326" s="57" t="s">
        <v>1287</v>
      </c>
      <c r="BP326" s="57" t="s">
        <v>1287</v>
      </c>
      <c r="BQ326" s="57" t="s">
        <v>1287</v>
      </c>
      <c r="BR326" s="57" t="s">
        <v>1287</v>
      </c>
      <c r="BS326" s="57" t="s">
        <v>1287</v>
      </c>
      <c r="BT326" s="57" t="s">
        <v>1287</v>
      </c>
      <c r="BU326" s="57" t="s">
        <v>1287</v>
      </c>
      <c r="BV326" s="70">
        <f t="shared" si="1957"/>
        <v>49</v>
      </c>
      <c r="BW326" s="71" t="str">
        <f t="shared" si="1958"/>
        <v>-</v>
      </c>
      <c r="BX326" s="72">
        <f t="shared" si="1959"/>
        <v>84</v>
      </c>
      <c r="BY326" s="71">
        <f t="shared" si="1960"/>
        <v>116</v>
      </c>
      <c r="BZ326" s="72">
        <f t="shared" si="1961"/>
        <v>120</v>
      </c>
      <c r="CA326" s="71" t="str">
        <f t="shared" si="1962"/>
        <v>-</v>
      </c>
      <c r="CB326" s="72">
        <f t="shared" si="1963"/>
        <v>161</v>
      </c>
      <c r="CC326" s="71">
        <f t="shared" si="1964"/>
        <v>202</v>
      </c>
      <c r="CD326" s="72">
        <f t="shared" si="1965"/>
        <v>211</v>
      </c>
      <c r="CE326" s="71">
        <f t="shared" si="1966"/>
        <v>253</v>
      </c>
      <c r="CF326" s="72">
        <f t="shared" si="1967"/>
        <v>295</v>
      </c>
      <c r="CG326" s="71" t="str">
        <f t="shared" si="1968"/>
        <v>-</v>
      </c>
      <c r="CH326" s="70">
        <f t="shared" si="1969"/>
        <v>79</v>
      </c>
      <c r="CI326" s="71" t="str">
        <f t="shared" si="1970"/>
        <v>-</v>
      </c>
      <c r="CJ326" s="72">
        <f t="shared" si="1971"/>
        <v>113</v>
      </c>
      <c r="CK326" s="72">
        <f t="shared" si="1972"/>
        <v>119</v>
      </c>
      <c r="CL326" s="72">
        <f t="shared" si="1973"/>
        <v>155</v>
      </c>
      <c r="CM326" s="72" t="str">
        <f t="shared" si="1974"/>
        <v>-</v>
      </c>
      <c r="CN326" s="72">
        <f t="shared" si="1975"/>
        <v>190</v>
      </c>
      <c r="CO326" s="72">
        <f t="shared" si="1976"/>
        <v>204</v>
      </c>
      <c r="CP326" s="72">
        <f t="shared" si="1977"/>
        <v>247</v>
      </c>
      <c r="CQ326" s="72">
        <f t="shared" si="1978"/>
        <v>289</v>
      </c>
      <c r="CR326" s="72">
        <f t="shared" si="1979"/>
        <v>326</v>
      </c>
      <c r="CS326" s="72" t="str">
        <f t="shared" si="1980"/>
        <v>-</v>
      </c>
      <c r="CT326" s="23" t="e">
        <f t="shared" si="1981"/>
        <v>#VALUE!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29" x14ac:dyDescent="0.2">
      <c r="A327" s="3" t="str">
        <f t="shared" si="1982"/>
        <v>p2ry1_human_4XNW</v>
      </c>
      <c r="B327" s="3" t="s">
        <v>345</v>
      </c>
      <c r="C327" s="3" t="s">
        <v>1055</v>
      </c>
      <c r="D327" s="3" t="str">
        <f>IFERROR(MID(VLOOKUP($B327,Seqs!$A:$B,2,0),E327,1),"")</f>
        <v>F</v>
      </c>
      <c r="E327" s="3">
        <v>49</v>
      </c>
      <c r="F327" s="3" t="str">
        <f>IFERROR(MID(VLOOKUP($B327,Seqs!$A:$B,2,0),G327,1),"")</f>
        <v>H</v>
      </c>
      <c r="G327" s="3">
        <v>79</v>
      </c>
      <c r="H327" s="3" t="str">
        <f>IFERROR(MID(VLOOKUP($B327,Seqs!$A:$B,2,0),I327,1),"")</f>
        <v/>
      </c>
      <c r="I327" s="23" t="s">
        <v>23</v>
      </c>
      <c r="J327" s="3" t="str">
        <f>IFERROR(MID(VLOOKUP($B327,Seqs!$A:$B,2,0),K327,1),"")</f>
        <v/>
      </c>
      <c r="K327" s="23" t="s">
        <v>23</v>
      </c>
      <c r="L327" s="3" t="str">
        <f>IFERROR(MID(VLOOKUP($B327,Seqs!$A:$B,2,0),M327,1),"")</f>
        <v>S</v>
      </c>
      <c r="M327" s="3">
        <v>84</v>
      </c>
      <c r="N327" s="3" t="str">
        <f>IFERROR(MID(VLOOKUP($B327,Seqs!$A:$B,2,0),O327,1),"")</f>
        <v>N</v>
      </c>
      <c r="O327" s="3">
        <v>113</v>
      </c>
      <c r="P327" s="3" t="str">
        <f>IFERROR(MID(VLOOKUP($B327,Seqs!$A:$B,2,0),Q327,1),"")</f>
        <v>D</v>
      </c>
      <c r="Q327" s="3">
        <v>116</v>
      </c>
      <c r="R327" s="3" t="str">
        <f>IFERROR(MID(VLOOKUP($B327,Seqs!$A:$B,2,0),S327,1),"")</f>
        <v>F</v>
      </c>
      <c r="S327" s="3">
        <v>119</v>
      </c>
      <c r="T327" s="3" t="str">
        <f>IFERROR(MID(VLOOKUP($B327,Seqs!$A:$B,2,0),U327,1),"")</f>
        <v>G</v>
      </c>
      <c r="U327" s="3">
        <v>120</v>
      </c>
      <c r="V327" s="3" t="str">
        <f>IFERROR(MID(VLOOKUP($B327,Seqs!$A:$B,2,0),W327,1),"")</f>
        <v>Y</v>
      </c>
      <c r="W327" s="3">
        <v>155</v>
      </c>
      <c r="X327" s="3" t="str">
        <f>IFERROR(MID(VLOOKUP($B327,Seqs!$A:$B,2,0),Y327,1),"")</f>
        <v>P</v>
      </c>
      <c r="Y327" s="3">
        <v>156</v>
      </c>
      <c r="Z327" s="3" t="str">
        <f>IFERROR(MID(VLOOKUP($B327,Seqs!$A:$B,2,0),AA327,1),"")</f>
        <v>L</v>
      </c>
      <c r="AA327" s="3">
        <v>163</v>
      </c>
      <c r="AB327" s="3" t="str">
        <f>IFERROR(MID(VLOOKUP($B327,Seqs!$A:$B,2,0),AC327,1),"")</f>
        <v>K</v>
      </c>
      <c r="AC327" s="9">
        <v>164</v>
      </c>
      <c r="AD327" s="3" t="str">
        <f>IFERROR(MID(VLOOKUP($B327,Seqs!$A:$B,2,0),AE327,1),"")</f>
        <v>S</v>
      </c>
      <c r="AE327" s="3">
        <v>190</v>
      </c>
      <c r="AF327" s="3" t="str">
        <f>IFERROR(MID(VLOOKUP($B327,Seqs!$A:$B,2,0),AG327,1),"")</f>
        <v>C</v>
      </c>
      <c r="AG327" s="3">
        <v>202</v>
      </c>
      <c r="AH327" s="3" t="str">
        <f>IFERROR(MID(VLOOKUP($B327,Seqs!$A:$B,2,0),AI327,1),"")</f>
        <v>D</v>
      </c>
      <c r="AI327" s="3">
        <v>204</v>
      </c>
      <c r="AJ327" s="3" t="str">
        <f>IFERROR(MID(VLOOKUP($B327,Seqs!$A:$B,2,0),AK327,1),"")</f>
        <v>L</v>
      </c>
      <c r="AK327" s="3">
        <v>211</v>
      </c>
      <c r="AL327" s="3" t="str">
        <f>IFERROR(MID(VLOOKUP($B327,Seqs!$A:$B,2,0),AM327,1),"")</f>
        <v>K</v>
      </c>
      <c r="AM327" s="3">
        <v>247</v>
      </c>
      <c r="AN327" s="3" t="str">
        <f>IFERROR(MID(VLOOKUP($B327,Seqs!$A:$B,2,0),AO327,1),"")</f>
        <v>P</v>
      </c>
      <c r="AO327" s="3">
        <v>253</v>
      </c>
      <c r="AP327" s="3" t="str">
        <f>IFERROR(MID(VLOOKUP($B327,Seqs!$A:$B,2,0),AQ327,1),"")</f>
        <v>D</v>
      </c>
      <c r="AQ327" s="3">
        <v>289</v>
      </c>
      <c r="AR327" s="3" t="str">
        <f>IFERROR(MID(VLOOKUP($B327,Seqs!$A:$B,2,0),AS327,1),"")</f>
        <v>M</v>
      </c>
      <c r="AS327" s="3">
        <v>295</v>
      </c>
      <c r="AT327" s="3" t="str">
        <f>IFERROR(MID(VLOOKUP($B327,Seqs!$A:$B,2,0),AU327,1),"")</f>
        <v>L</v>
      </c>
      <c r="AU327" s="3">
        <v>326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A</v>
      </c>
      <c r="BA327" s="94" t="str">
        <f>VLOOKUP(B327,Classification!A:D,4,0)</f>
        <v>P2Y</v>
      </c>
      <c r="BB327" s="27" t="b">
        <f t="shared" si="1983"/>
        <v>1</v>
      </c>
      <c r="BC327" s="23">
        <f t="shared" si="1956"/>
        <v>247</v>
      </c>
      <c r="BD327" s="2" t="s">
        <v>1429</v>
      </c>
      <c r="BE327" s="3" t="s">
        <v>1428</v>
      </c>
      <c r="BF327" s="118">
        <v>2.7</v>
      </c>
      <c r="BG327" s="49" t="s">
        <v>1377</v>
      </c>
      <c r="BH327" s="49" t="s">
        <v>1377</v>
      </c>
      <c r="BI327" s="1"/>
      <c r="BJ327" s="70" t="s">
        <v>1287</v>
      </c>
      <c r="BK327" s="57" t="s">
        <v>1287</v>
      </c>
      <c r="BL327" s="57" t="s">
        <v>1287</v>
      </c>
      <c r="BM327" s="57" t="s">
        <v>1287</v>
      </c>
      <c r="BN327" s="57" t="s">
        <v>1287</v>
      </c>
      <c r="BO327" s="57" t="s">
        <v>1287</v>
      </c>
      <c r="BP327" s="57" t="s">
        <v>1287</v>
      </c>
      <c r="BQ327" s="57" t="s">
        <v>1287</v>
      </c>
      <c r="BR327" s="57" t="s">
        <v>1287</v>
      </c>
      <c r="BS327" s="57" t="s">
        <v>1287</v>
      </c>
      <c r="BT327" s="57" t="s">
        <v>1287</v>
      </c>
      <c r="BU327" s="57" t="s">
        <v>1287</v>
      </c>
      <c r="BV327" s="70">
        <f t="shared" si="1957"/>
        <v>49</v>
      </c>
      <c r="BW327" s="71" t="str">
        <f t="shared" si="1958"/>
        <v>-</v>
      </c>
      <c r="BX327" s="72">
        <f t="shared" si="1959"/>
        <v>84</v>
      </c>
      <c r="BY327" s="71">
        <f t="shared" si="1960"/>
        <v>116</v>
      </c>
      <c r="BZ327" s="72">
        <f t="shared" si="1961"/>
        <v>120</v>
      </c>
      <c r="CA327" s="71">
        <f t="shared" si="1962"/>
        <v>156</v>
      </c>
      <c r="CB327" s="72">
        <f t="shared" si="1963"/>
        <v>164</v>
      </c>
      <c r="CC327" s="71">
        <f t="shared" si="1964"/>
        <v>202</v>
      </c>
      <c r="CD327" s="72">
        <f t="shared" si="1965"/>
        <v>211</v>
      </c>
      <c r="CE327" s="71">
        <f t="shared" si="1966"/>
        <v>253</v>
      </c>
      <c r="CF327" s="72">
        <f t="shared" si="1967"/>
        <v>295</v>
      </c>
      <c r="CG327" s="71" t="str">
        <f t="shared" si="1968"/>
        <v>-</v>
      </c>
      <c r="CH327" s="70">
        <f t="shared" si="1969"/>
        <v>79</v>
      </c>
      <c r="CI327" s="71" t="str">
        <f t="shared" si="1970"/>
        <v>-</v>
      </c>
      <c r="CJ327" s="72">
        <f t="shared" si="1971"/>
        <v>113</v>
      </c>
      <c r="CK327" s="72">
        <f t="shared" si="1972"/>
        <v>119</v>
      </c>
      <c r="CL327" s="72">
        <f t="shared" si="1973"/>
        <v>155</v>
      </c>
      <c r="CM327" s="72">
        <f t="shared" si="1974"/>
        <v>163</v>
      </c>
      <c r="CN327" s="72">
        <f t="shared" si="1975"/>
        <v>190</v>
      </c>
      <c r="CO327" s="72">
        <f t="shared" si="1976"/>
        <v>204</v>
      </c>
      <c r="CP327" s="72">
        <f t="shared" si="1977"/>
        <v>247</v>
      </c>
      <c r="CQ327" s="72">
        <f t="shared" si="1978"/>
        <v>289</v>
      </c>
      <c r="CR327" s="72">
        <f t="shared" si="1979"/>
        <v>326</v>
      </c>
      <c r="CS327" s="72" t="str">
        <f t="shared" si="1980"/>
        <v>-</v>
      </c>
      <c r="CT327" s="23" t="e">
        <f t="shared" si="1981"/>
        <v>#VALUE!</v>
      </c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</row>
    <row r="328" spans="1:1029" x14ac:dyDescent="0.2">
      <c r="A328" s="3" t="str">
        <f t="shared" si="1982"/>
        <v>p2y12_human__wt</v>
      </c>
      <c r="B328" s="3" t="s">
        <v>352</v>
      </c>
      <c r="C328" s="3" t="s">
        <v>100</v>
      </c>
      <c r="D328" s="3" t="str">
        <f>IFERROR(MID(VLOOKUP($B328,Seqs!$A:$B,2,0),E328,1),"")</f>
        <v>Y</v>
      </c>
      <c r="E328" s="3">
        <v>21</v>
      </c>
      <c r="F328" s="3" t="str">
        <f>IFERROR(MID(VLOOKUP($B328,Seqs!$A:$B,2,0),G328,1),"")</f>
        <v>I</v>
      </c>
      <c r="G328" s="3">
        <v>53</v>
      </c>
      <c r="H328" s="3" t="str">
        <f>IFERROR(MID(VLOOKUP($B328,Seqs!$A:$B,2,0),I328,1),"")</f>
        <v/>
      </c>
      <c r="I328" s="23" t="s">
        <v>23</v>
      </c>
      <c r="J328" s="3" t="str">
        <f>IFERROR(MID(VLOOKUP($B328,Seqs!$A:$B,2,0),K328,1),"")</f>
        <v/>
      </c>
      <c r="K328" s="23" t="s">
        <v>23</v>
      </c>
      <c r="L328" s="3" t="str">
        <f>IFERROR(MID(VLOOKUP($B328,Seqs!$A:$B,2,0),M328,1),"")</f>
        <v>S</v>
      </c>
      <c r="M328" s="3">
        <v>57</v>
      </c>
      <c r="N328" s="3" t="str">
        <f>IFERROR(MID(VLOOKUP($B328,Seqs!$A:$B,2,0),O328,1),"")</f>
        <v>K</v>
      </c>
      <c r="O328" s="3">
        <v>86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G</v>
      </c>
      <c r="U328" s="3">
        <v>90</v>
      </c>
      <c r="V328" s="3" t="str">
        <f>IFERROR(MID(VLOOKUP($B328,Seqs!$A:$B,2,0),W328,1),"")</f>
        <v>R</v>
      </c>
      <c r="W328" s="3">
        <v>128</v>
      </c>
      <c r="X328" s="3" t="str">
        <f>IFERROR(MID(VLOOKUP($B328,Seqs!$A:$B,2,0),Y328,1),"")</f>
        <v>P</v>
      </c>
      <c r="Y328" s="3">
        <v>129</v>
      </c>
      <c r="Z328" s="3" t="str">
        <f>IFERROR(MID(VLOOKUP($B328,Seqs!$A:$B,2,0),AA328,1),"")</f>
        <v>K</v>
      </c>
      <c r="AA328" s="73">
        <v>136</v>
      </c>
      <c r="AB328" s="3" t="str">
        <f>IFERROR(MID(VLOOKUP($B328,Seqs!$A:$B,2,0),AC328,1),"")</f>
        <v>N</v>
      </c>
      <c r="AC328" s="9">
        <v>137</v>
      </c>
      <c r="AD328" s="3" t="str">
        <f>IFERROR(MID(VLOOKUP($B328,Seqs!$A:$B,2,0),AE328,1),"")</f>
        <v>T</v>
      </c>
      <c r="AE328" s="3">
        <v>163</v>
      </c>
      <c r="AF328" s="3" t="str">
        <f>IFERROR(MID(VLOOKUP($B328,Seqs!$A:$B,2,0),AG328,1),"")</f>
        <v>C</v>
      </c>
      <c r="AG328" s="3">
        <v>175</v>
      </c>
      <c r="AH328" s="3" t="str">
        <f>IFERROR(MID(VLOOKUP($B328,Seqs!$A:$B,2,0),AI328,1),"")</f>
        <v>F</v>
      </c>
      <c r="AI328" s="3">
        <v>177</v>
      </c>
      <c r="AJ328" s="3" t="str">
        <f>IFERROR(MID(VLOOKUP($B328,Seqs!$A:$B,2,0),AK328,1),"")</f>
        <v>E</v>
      </c>
      <c r="AK328" s="3">
        <v>181</v>
      </c>
      <c r="AL328" s="3" t="str">
        <f>IFERROR(MID(VLOOKUP($B328,Seqs!$A:$B,2,0),AM328,1),"")</f>
        <v>T</v>
      </c>
      <c r="AM328" s="3">
        <v>223</v>
      </c>
      <c r="AN328" s="3" t="str">
        <f>IFERROR(MID(VLOOKUP($B328,Seqs!$A:$B,2,0),AO328,1),"")</f>
        <v>P</v>
      </c>
      <c r="AO328" s="3">
        <v>230</v>
      </c>
      <c r="AP328" s="3" t="str">
        <f>IFERROR(MID(VLOOKUP($B328,Seqs!$A:$B,2,0),AQ328,1),"")</f>
        <v>R</v>
      </c>
      <c r="AQ328" s="3">
        <v>265</v>
      </c>
      <c r="AR328" s="3" t="str">
        <f>IFERROR(MID(VLOOKUP($B328,Seqs!$A:$B,2,0),AS328,1),"")</f>
        <v>D</v>
      </c>
      <c r="AS328" s="3">
        <v>269</v>
      </c>
      <c r="AT328" s="3" t="str">
        <f>IFERROR(MID(VLOOKUP($B328,Seqs!$A:$B,2,0),AU328,1),"")</f>
        <v>L</v>
      </c>
      <c r="AU328" s="3">
        <v>301</v>
      </c>
      <c r="AV328" s="3" t="str">
        <f>IFERROR(MID(VLOOKUP($B328,Seqs!$A:$B,2,0),AW328,1),"")</f>
        <v>C</v>
      </c>
      <c r="AW328" s="3">
        <v>302</v>
      </c>
      <c r="AX328" s="3" t="str">
        <f>IFERROR(MID(VLOOKUP($B328,Seqs!$A:$B,2,0),AY328,1),"")</f>
        <v>M</v>
      </c>
      <c r="AY328" s="3">
        <v>312</v>
      </c>
      <c r="AZ328" s="77" t="str">
        <f>VLOOKUP(B328,Classification!A:D,2,0)</f>
        <v>A</v>
      </c>
      <c r="BA328" s="94" t="str">
        <f>VLOOKUP(B328,Classification!A:D,4,0)</f>
        <v>P2Y</v>
      </c>
      <c r="BB328" s="27" t="b">
        <f t="shared" si="1983"/>
        <v>1</v>
      </c>
      <c r="BC328" s="23">
        <f t="shared" si="1956"/>
        <v>265</v>
      </c>
      <c r="BD328" s="56" t="s">
        <v>23</v>
      </c>
      <c r="BE328" s="3" t="s">
        <v>23</v>
      </c>
      <c r="BF328" s="118" t="s">
        <v>23</v>
      </c>
      <c r="BG328" s="49" t="s">
        <v>1372</v>
      </c>
      <c r="BH328" s="49" t="s">
        <v>1377</v>
      </c>
      <c r="BI328" s="1"/>
      <c r="BJ328" s="70" t="s">
        <v>1287</v>
      </c>
      <c r="BK328" s="57" t="s">
        <v>1287</v>
      </c>
      <c r="BL328" s="57" t="s">
        <v>1287</v>
      </c>
      <c r="BM328" s="57" t="s">
        <v>1287</v>
      </c>
      <c r="BN328" s="57" t="s">
        <v>1287</v>
      </c>
      <c r="BO328" s="57" t="s">
        <v>1287</v>
      </c>
      <c r="BP328" s="57" t="s">
        <v>1287</v>
      </c>
      <c r="BQ328" s="57" t="s">
        <v>1287</v>
      </c>
      <c r="BR328" s="57" t="s">
        <v>1287</v>
      </c>
      <c r="BS328" s="57" t="s">
        <v>1287</v>
      </c>
      <c r="BT328" s="57" t="s">
        <v>1287</v>
      </c>
      <c r="BU328" s="57" t="s">
        <v>1287</v>
      </c>
      <c r="BV328" s="70">
        <f t="shared" si="1957"/>
        <v>21</v>
      </c>
      <c r="BW328" s="71" t="str">
        <f t="shared" si="1958"/>
        <v>-</v>
      </c>
      <c r="BX328" s="72">
        <f t="shared" si="1959"/>
        <v>57</v>
      </c>
      <c r="BY328" s="71" t="str">
        <f t="shared" si="1960"/>
        <v>-</v>
      </c>
      <c r="BZ328" s="72">
        <f t="shared" si="1961"/>
        <v>90</v>
      </c>
      <c r="CA328" s="71">
        <f t="shared" si="1962"/>
        <v>129</v>
      </c>
      <c r="CB328" s="72">
        <f t="shared" si="1963"/>
        <v>137</v>
      </c>
      <c r="CC328" s="71">
        <f t="shared" si="1964"/>
        <v>175</v>
      </c>
      <c r="CD328" s="72">
        <f t="shared" si="1965"/>
        <v>181</v>
      </c>
      <c r="CE328" s="71">
        <f t="shared" si="1966"/>
        <v>230</v>
      </c>
      <c r="CF328" s="72">
        <f t="shared" si="1967"/>
        <v>269</v>
      </c>
      <c r="CG328" s="71">
        <f t="shared" si="1968"/>
        <v>302</v>
      </c>
      <c r="CH328" s="70">
        <f t="shared" si="1969"/>
        <v>53</v>
      </c>
      <c r="CI328" s="71" t="str">
        <f t="shared" si="1970"/>
        <v>-</v>
      </c>
      <c r="CJ328" s="72">
        <f t="shared" si="1971"/>
        <v>86</v>
      </c>
      <c r="CK328" s="72" t="str">
        <f t="shared" si="1972"/>
        <v>-</v>
      </c>
      <c r="CL328" s="72">
        <f t="shared" si="1973"/>
        <v>128</v>
      </c>
      <c r="CM328" s="72">
        <f t="shared" si="1974"/>
        <v>136</v>
      </c>
      <c r="CN328" s="72">
        <f t="shared" si="1975"/>
        <v>163</v>
      </c>
      <c r="CO328" s="72">
        <f t="shared" si="1976"/>
        <v>177</v>
      </c>
      <c r="CP328" s="72">
        <f t="shared" si="1977"/>
        <v>223</v>
      </c>
      <c r="CQ328" s="72">
        <f t="shared" si="1978"/>
        <v>265</v>
      </c>
      <c r="CR328" s="72">
        <f t="shared" si="1979"/>
        <v>301</v>
      </c>
      <c r="CS328" s="72">
        <f t="shared" si="1980"/>
        <v>312</v>
      </c>
      <c r="CT328" s="23" t="e">
        <f t="shared" si="1981"/>
        <v>#VALUE!</v>
      </c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  <c r="AMK328" s="1"/>
      <c r="AML328" s="1"/>
      <c r="AMM328" s="1"/>
      <c r="AMN328" s="1"/>
      <c r="AMO328" s="1"/>
    </row>
    <row r="329" spans="1:1029" x14ac:dyDescent="0.2">
      <c r="A329" s="3" t="str">
        <f t="shared" si="1982"/>
        <v>p2y12_human_4NTJ</v>
      </c>
      <c r="B329" s="3" t="s">
        <v>352</v>
      </c>
      <c r="C329" s="3" t="s">
        <v>1048</v>
      </c>
      <c r="D329" s="3" t="str">
        <f>IFERROR(MID(VLOOKUP($B329,Seqs!$A:$B,2,0),E329,1),"")</f>
        <v>Y</v>
      </c>
      <c r="E329" s="3">
        <v>21</v>
      </c>
      <c r="F329" s="3" t="str">
        <f>IFERROR(MID(VLOOKUP($B329,Seqs!$A:$B,2,0),G329,1),"")</f>
        <v>I</v>
      </c>
      <c r="G329" s="3">
        <v>53</v>
      </c>
      <c r="H329" s="3" t="str">
        <f>IFERROR(MID(VLOOKUP($B329,Seqs!$A:$B,2,0),I329,1),"")</f>
        <v/>
      </c>
      <c r="I329" s="23" t="s">
        <v>23</v>
      </c>
      <c r="J329" s="3" t="str">
        <f>IFERROR(MID(VLOOKUP($B329,Seqs!$A:$B,2,0),K329,1),"")</f>
        <v/>
      </c>
      <c r="K329" s="23" t="s">
        <v>23</v>
      </c>
      <c r="L329" s="3" t="str">
        <f>IFERROR(MID(VLOOKUP($B329,Seqs!$A:$B,2,0),M329,1),"")</f>
        <v>S</v>
      </c>
      <c r="M329" s="3">
        <v>57</v>
      </c>
      <c r="N329" s="3" t="str">
        <f>IFERROR(MID(VLOOKUP($B329,Seqs!$A:$B,2,0),O329,1),"")</f>
        <v>K</v>
      </c>
      <c r="O329" s="3">
        <v>86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L</v>
      </c>
      <c r="U329" s="3">
        <v>92</v>
      </c>
      <c r="V329" s="3" t="str">
        <f>IFERROR(MID(VLOOKUP($B329,Seqs!$A:$B,2,0),W329,1),"")</f>
        <v>R</v>
      </c>
      <c r="W329" s="3">
        <v>128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N</v>
      </c>
      <c r="AC329" s="9">
        <v>137</v>
      </c>
      <c r="AD329" s="3" t="str">
        <f>IFERROR(MID(VLOOKUP($B329,Seqs!$A:$B,2,0),AE329,1),"")</f>
        <v>L</v>
      </c>
      <c r="AE329" s="3">
        <v>162</v>
      </c>
      <c r="AF329" s="3" t="str">
        <f>IFERROR(MID(VLOOKUP($B329,Seqs!$A:$B,2,0),AG329,1),"")</f>
        <v>C</v>
      </c>
      <c r="AG329" s="3">
        <v>175</v>
      </c>
      <c r="AH329" s="3" t="str">
        <f>IFERROR(MID(VLOOKUP($B329,Seqs!$A:$B,2,0),AI329,1),"")</f>
        <v>F</v>
      </c>
      <c r="AI329" s="3">
        <v>177</v>
      </c>
      <c r="AJ329" s="3" t="str">
        <f>IFERROR(MID(VLOOKUP($B329,Seqs!$A:$B,2,0),AK329,1),"")</f>
        <v>E</v>
      </c>
      <c r="AK329" s="3">
        <v>181</v>
      </c>
      <c r="AL329" s="3" t="str">
        <f>IFERROR(MID(VLOOKUP($B329,Seqs!$A:$B,2,0),AM329,1),"")</f>
        <v>T</v>
      </c>
      <c r="AM329" s="3">
        <v>223</v>
      </c>
      <c r="AN329" s="3" t="str">
        <f>IFERROR(MID(VLOOKUP($B329,Seqs!$A:$B,2,0),AO329,1),"")</f>
        <v>I</v>
      </c>
      <c r="AO329" s="3">
        <v>240</v>
      </c>
      <c r="AP329" s="3" t="str">
        <f>IFERROR(MID(VLOOKUP($B329,Seqs!$A:$B,2,0),AQ329,1),"")</f>
        <v>L</v>
      </c>
      <c r="AQ329" s="3">
        <v>261</v>
      </c>
      <c r="AR329" s="3" t="str">
        <f>IFERROR(MID(VLOOKUP($B329,Seqs!$A:$B,2,0),AS329,1),"")</f>
        <v>D</v>
      </c>
      <c r="AS329" s="3">
        <v>269</v>
      </c>
      <c r="AT329" s="3" t="str">
        <f>IFERROR(MID(VLOOKUP($B329,Seqs!$A:$B,2,0),AU329,1),"")</f>
        <v>L</v>
      </c>
      <c r="AU329" s="3">
        <v>301</v>
      </c>
      <c r="AV329" s="3" t="str">
        <f>IFERROR(MID(VLOOKUP($B329,Seqs!$A:$B,2,0),AW329,1),"")</f>
        <v>C</v>
      </c>
      <c r="AW329" s="3">
        <v>302</v>
      </c>
      <c r="AX329" s="3" t="str">
        <f>IFERROR(MID(VLOOKUP($B329,Seqs!$A:$B,2,0),AY329,1),"")</f>
        <v>M</v>
      </c>
      <c r="AY329" s="3">
        <v>312</v>
      </c>
      <c r="AZ329" s="77" t="str">
        <f>VLOOKUP(B329,Classification!A:D,2,0)</f>
        <v>A</v>
      </c>
      <c r="BA329" s="94" t="str">
        <f>VLOOKUP(B329,Classification!A:D,4,0)</f>
        <v>P2Y</v>
      </c>
      <c r="BB329" s="27" t="b">
        <f t="shared" si="1983"/>
        <v>1</v>
      </c>
      <c r="BC329" s="23">
        <f t="shared" si="1956"/>
        <v>241</v>
      </c>
      <c r="BD329" s="2" t="s">
        <v>1429</v>
      </c>
      <c r="BE329" s="3" t="s">
        <v>1428</v>
      </c>
      <c r="BF329" s="118">
        <v>2.62</v>
      </c>
      <c r="BG329" s="49" t="s">
        <v>1377</v>
      </c>
      <c r="BH329" s="49" t="s">
        <v>1377</v>
      </c>
      <c r="BI329" s="3" t="s">
        <v>1170</v>
      </c>
      <c r="BJ329" s="70" t="s">
        <v>1287</v>
      </c>
      <c r="BK329" s="57" t="s">
        <v>1287</v>
      </c>
      <c r="BL329" s="57" t="s">
        <v>1287</v>
      </c>
      <c r="BM329" s="57" t="s">
        <v>1287</v>
      </c>
      <c r="BN329" s="57" t="s">
        <v>1287</v>
      </c>
      <c r="BO329" s="57" t="s">
        <v>1287</v>
      </c>
      <c r="BP329" s="57" t="s">
        <v>1287</v>
      </c>
      <c r="BQ329" s="57" t="s">
        <v>1287</v>
      </c>
      <c r="BR329" s="57" t="s">
        <v>1287</v>
      </c>
      <c r="BS329" s="57" t="s">
        <v>1287</v>
      </c>
      <c r="BT329" s="57" t="s">
        <v>1287</v>
      </c>
      <c r="BU329" s="57" t="s">
        <v>1287</v>
      </c>
      <c r="BV329" s="70">
        <f t="shared" si="1957"/>
        <v>21</v>
      </c>
      <c r="BW329" s="71" t="str">
        <f t="shared" si="1958"/>
        <v>-</v>
      </c>
      <c r="BX329" s="72">
        <f t="shared" si="1959"/>
        <v>57</v>
      </c>
      <c r="BY329" s="71" t="str">
        <f t="shared" si="1960"/>
        <v>-</v>
      </c>
      <c r="BZ329" s="72">
        <f t="shared" si="1961"/>
        <v>92</v>
      </c>
      <c r="CA329" s="71" t="str">
        <f t="shared" si="1962"/>
        <v>-</v>
      </c>
      <c r="CB329" s="72">
        <f t="shared" si="1963"/>
        <v>137</v>
      </c>
      <c r="CC329" s="71">
        <f t="shared" si="1964"/>
        <v>175</v>
      </c>
      <c r="CD329" s="72">
        <f t="shared" si="1965"/>
        <v>181</v>
      </c>
      <c r="CE329" s="71">
        <f t="shared" si="1966"/>
        <v>240</v>
      </c>
      <c r="CF329" s="72">
        <f t="shared" si="1967"/>
        <v>269</v>
      </c>
      <c r="CG329" s="71">
        <f t="shared" si="1968"/>
        <v>302</v>
      </c>
      <c r="CH329" s="70">
        <f t="shared" si="1969"/>
        <v>53</v>
      </c>
      <c r="CI329" s="71" t="str">
        <f t="shared" si="1970"/>
        <v>-</v>
      </c>
      <c r="CJ329" s="72">
        <f t="shared" si="1971"/>
        <v>86</v>
      </c>
      <c r="CK329" s="72" t="str">
        <f t="shared" si="1972"/>
        <v>-</v>
      </c>
      <c r="CL329" s="72">
        <f t="shared" si="1973"/>
        <v>128</v>
      </c>
      <c r="CM329" s="72" t="str">
        <f t="shared" si="1974"/>
        <v>-</v>
      </c>
      <c r="CN329" s="72">
        <f t="shared" si="1975"/>
        <v>162</v>
      </c>
      <c r="CO329" s="72">
        <f t="shared" si="1976"/>
        <v>177</v>
      </c>
      <c r="CP329" s="72">
        <f t="shared" si="1977"/>
        <v>223</v>
      </c>
      <c r="CQ329" s="72">
        <f t="shared" si="1978"/>
        <v>261</v>
      </c>
      <c r="CR329" s="72">
        <f t="shared" si="1979"/>
        <v>301</v>
      </c>
      <c r="CS329" s="72">
        <f t="shared" si="1980"/>
        <v>312</v>
      </c>
      <c r="CT329" s="23" t="e">
        <f t="shared" si="1981"/>
        <v>#VALUE!</v>
      </c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</row>
    <row r="330" spans="1:1029" x14ac:dyDescent="0.2">
      <c r="A330" s="3" t="str">
        <f t="shared" si="1982"/>
        <v>p2y12_human_4PXZ</v>
      </c>
      <c r="B330" s="3" t="s">
        <v>352</v>
      </c>
      <c r="C330" s="3" t="s">
        <v>1152</v>
      </c>
      <c r="D330" s="3" t="str">
        <f>IFERROR(MID(VLOOKUP($B330,Seqs!$A:$B,2,0),E330,1),"")</f>
        <v>I</v>
      </c>
      <c r="E330" s="3">
        <v>23</v>
      </c>
      <c r="F330" s="3" t="str">
        <f>IFERROR(MID(VLOOKUP($B330,Seqs!$A:$B,2,0),G330,1),"")</f>
        <v>I</v>
      </c>
      <c r="G330" s="3">
        <v>53</v>
      </c>
      <c r="H330" s="3" t="str">
        <f>IFERROR(MID(VLOOKUP($B330,Seqs!$A:$B,2,0),I330,1),"")</f>
        <v/>
      </c>
      <c r="I330" s="23" t="s">
        <v>23</v>
      </c>
      <c r="J330" s="3" t="str">
        <f>IFERROR(MID(VLOOKUP($B330,Seqs!$A:$B,2,0),K330,1),"")</f>
        <v/>
      </c>
      <c r="K330" s="23" t="s">
        <v>23</v>
      </c>
      <c r="L330" s="3" t="str">
        <f>IFERROR(MID(VLOOKUP($B330,Seqs!$A:$B,2,0),M330,1),"")</f>
        <v>S</v>
      </c>
      <c r="M330" s="3">
        <v>57</v>
      </c>
      <c r="N330" s="3" t="str">
        <f>IFERROR(MID(VLOOKUP($B330,Seqs!$A:$B,2,0),O330,1),"")</f>
        <v>K</v>
      </c>
      <c r="O330" s="3">
        <v>86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G</v>
      </c>
      <c r="U330" s="3">
        <v>90</v>
      </c>
      <c r="V330" s="3" t="str">
        <f>IFERROR(MID(VLOOKUP($B330,Seqs!$A:$B,2,0),W330,1),"")</f>
        <v>R</v>
      </c>
      <c r="W330" s="3">
        <v>128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N</v>
      </c>
      <c r="AC330" s="9">
        <v>137</v>
      </c>
      <c r="AD330" s="3" t="str">
        <f>IFERROR(MID(VLOOKUP($B330,Seqs!$A:$B,2,0),AE330,1),"")</f>
        <v>T</v>
      </c>
      <c r="AE330" s="3">
        <v>163</v>
      </c>
      <c r="AF330" s="3" t="str">
        <f>IFERROR(MID(VLOOKUP($B330,Seqs!$A:$B,2,0),AG330,1),"")</f>
        <v>C</v>
      </c>
      <c r="AG330" s="3">
        <v>175</v>
      </c>
      <c r="AH330" s="3" t="str">
        <f>IFERROR(MID(VLOOKUP($B330,Seqs!$A:$B,2,0),AI330,1),"")</f>
        <v>F</v>
      </c>
      <c r="AI330" s="3">
        <v>177</v>
      </c>
      <c r="AJ330" s="3" t="str">
        <f>IFERROR(MID(VLOOKUP($B330,Seqs!$A:$B,2,0),AK330,1),"")</f>
        <v>E</v>
      </c>
      <c r="AK330" s="3">
        <v>181</v>
      </c>
      <c r="AL330" s="3" t="str">
        <f>IFERROR(MID(VLOOKUP($B330,Seqs!$A:$B,2,0),AM330,1),"")</f>
        <v>S</v>
      </c>
      <c r="AM330" s="3">
        <v>219</v>
      </c>
      <c r="AN330" s="3" t="str">
        <f>IFERROR(MID(VLOOKUP($B330,Seqs!$A:$B,2,0),AO330,1),"")</f>
        <v>V</v>
      </c>
      <c r="AO330" s="3">
        <v>236</v>
      </c>
      <c r="AP330" s="3" t="str">
        <f>IFERROR(MID(VLOOKUP($B330,Seqs!$A:$B,2,0),AQ330,1),"")</f>
        <v>R</v>
      </c>
      <c r="AQ330" s="3">
        <v>265</v>
      </c>
      <c r="AR330" s="3" t="str">
        <f>IFERROR(MID(VLOOKUP($B330,Seqs!$A:$B,2,0),AS330,1),"")</f>
        <v>D</v>
      </c>
      <c r="AS330" s="3">
        <v>269</v>
      </c>
      <c r="AT330" s="3" t="str">
        <f>IFERROR(MID(VLOOKUP($B330,Seqs!$A:$B,2,0),AU330,1),"")</f>
        <v>C</v>
      </c>
      <c r="AU330" s="3">
        <v>292</v>
      </c>
      <c r="AV330" s="3" t="str">
        <f>IFERROR(MID(VLOOKUP($B330,Seqs!$A:$B,2,0),AW330,1),"")</f>
        <v/>
      </c>
      <c r="AW330" s="3" t="s">
        <v>23</v>
      </c>
      <c r="AX330" s="3" t="str">
        <f>IFERROR(MID(VLOOKUP($B330,Seqs!$A:$B,2,0),AY330,1),"")</f>
        <v/>
      </c>
      <c r="AY330" s="3" t="s">
        <v>23</v>
      </c>
      <c r="AZ330" s="77" t="str">
        <f>VLOOKUP(B330,Classification!A:D,2,0)</f>
        <v>A</v>
      </c>
      <c r="BA330" s="94" t="str">
        <f>VLOOKUP(B330,Classification!A:D,4,0)</f>
        <v>P2Y</v>
      </c>
      <c r="BB330" s="27" t="b">
        <f t="shared" si="1983"/>
        <v>1</v>
      </c>
      <c r="BC330" s="23">
        <f t="shared" si="1956"/>
        <v>227</v>
      </c>
      <c r="BD330" s="4" t="s">
        <v>23</v>
      </c>
      <c r="BE330" s="3" t="s">
        <v>1428</v>
      </c>
      <c r="BF330" s="118">
        <v>2.5</v>
      </c>
      <c r="BG330" s="49" t="s">
        <v>1377</v>
      </c>
      <c r="BH330" s="49" t="s">
        <v>1377</v>
      </c>
      <c r="BI330" s="1"/>
      <c r="BJ330" s="70" t="s">
        <v>1287</v>
      </c>
      <c r="BK330" s="57" t="s">
        <v>1287</v>
      </c>
      <c r="BL330" s="57" t="s">
        <v>1287</v>
      </c>
      <c r="BM330" s="57" t="s">
        <v>1287</v>
      </c>
      <c r="BN330" s="57" t="s">
        <v>1287</v>
      </c>
      <c r="BO330" s="57" t="s">
        <v>1287</v>
      </c>
      <c r="BP330" s="57" t="s">
        <v>1287</v>
      </c>
      <c r="BQ330" s="57" t="s">
        <v>1287</v>
      </c>
      <c r="BR330" s="57" t="s">
        <v>1287</v>
      </c>
      <c r="BS330" s="57" t="s">
        <v>1287</v>
      </c>
      <c r="BT330" s="57" t="s">
        <v>1287</v>
      </c>
      <c r="BU330" s="57" t="s">
        <v>1287</v>
      </c>
      <c r="BV330" s="70">
        <f t="shared" si="1957"/>
        <v>23</v>
      </c>
      <c r="BW330" s="71" t="str">
        <f t="shared" si="1958"/>
        <v>-</v>
      </c>
      <c r="BX330" s="72">
        <f t="shared" si="1959"/>
        <v>57</v>
      </c>
      <c r="BY330" s="71" t="str">
        <f t="shared" si="1960"/>
        <v>-</v>
      </c>
      <c r="BZ330" s="72">
        <f t="shared" si="1961"/>
        <v>90</v>
      </c>
      <c r="CA330" s="71" t="str">
        <f t="shared" si="1962"/>
        <v>-</v>
      </c>
      <c r="CB330" s="72">
        <f t="shared" si="1963"/>
        <v>137</v>
      </c>
      <c r="CC330" s="71">
        <f t="shared" si="1964"/>
        <v>175</v>
      </c>
      <c r="CD330" s="72">
        <f t="shared" si="1965"/>
        <v>181</v>
      </c>
      <c r="CE330" s="71">
        <f t="shared" si="1966"/>
        <v>236</v>
      </c>
      <c r="CF330" s="72">
        <f t="shared" si="1967"/>
        <v>269</v>
      </c>
      <c r="CG330" s="71" t="str">
        <f t="shared" si="1968"/>
        <v>-</v>
      </c>
      <c r="CH330" s="70">
        <f t="shared" si="1969"/>
        <v>53</v>
      </c>
      <c r="CI330" s="71" t="str">
        <f t="shared" si="1970"/>
        <v>-</v>
      </c>
      <c r="CJ330" s="72">
        <f t="shared" si="1971"/>
        <v>86</v>
      </c>
      <c r="CK330" s="72" t="str">
        <f t="shared" si="1972"/>
        <v>-</v>
      </c>
      <c r="CL330" s="72">
        <f t="shared" si="1973"/>
        <v>128</v>
      </c>
      <c r="CM330" s="72" t="str">
        <f t="shared" si="1974"/>
        <v>-</v>
      </c>
      <c r="CN330" s="72">
        <f t="shared" si="1975"/>
        <v>163</v>
      </c>
      <c r="CO330" s="72">
        <f t="shared" si="1976"/>
        <v>177</v>
      </c>
      <c r="CP330" s="72">
        <f t="shared" si="1977"/>
        <v>219</v>
      </c>
      <c r="CQ330" s="72">
        <f t="shared" si="1978"/>
        <v>265</v>
      </c>
      <c r="CR330" s="72">
        <f t="shared" si="1979"/>
        <v>292</v>
      </c>
      <c r="CS330" s="72" t="str">
        <f t="shared" si="1980"/>
        <v>-</v>
      </c>
      <c r="CT330" s="23" t="e">
        <f t="shared" si="1981"/>
        <v>#VALUE!</v>
      </c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  <c r="AMK330" s="1"/>
      <c r="AML330" s="1"/>
      <c r="AMM330" s="1"/>
      <c r="AMN330" s="1"/>
      <c r="AMO330" s="1"/>
    </row>
    <row r="331" spans="1:1029" x14ac:dyDescent="0.2">
      <c r="A331" s="3" t="str">
        <f t="shared" si="1982"/>
        <v>p2y12_human_4PY0</v>
      </c>
      <c r="B331" s="3" t="s">
        <v>352</v>
      </c>
      <c r="C331" s="3" t="s">
        <v>1050</v>
      </c>
      <c r="D331" s="3" t="str">
        <f>IFERROR(MID(VLOOKUP($B331,Seqs!$A:$B,2,0),E331,1),"")</f>
        <v>I</v>
      </c>
      <c r="E331" s="3">
        <v>23</v>
      </c>
      <c r="F331" s="3" t="str">
        <f>IFERROR(MID(VLOOKUP($B331,Seqs!$A:$B,2,0),G331,1),"")</f>
        <v>I</v>
      </c>
      <c r="G331" s="3">
        <v>53</v>
      </c>
      <c r="H331" s="3" t="str">
        <f>IFERROR(MID(VLOOKUP($B331,Seqs!$A:$B,2,0),I331,1),"")</f>
        <v/>
      </c>
      <c r="I331" s="23" t="s">
        <v>23</v>
      </c>
      <c r="J331" s="3" t="str">
        <f>IFERROR(MID(VLOOKUP($B331,Seqs!$A:$B,2,0),K331,1),"")</f>
        <v/>
      </c>
      <c r="K331" s="23" t="s">
        <v>23</v>
      </c>
      <c r="L331" s="3" t="str">
        <f>IFERROR(MID(VLOOKUP($B331,Seqs!$A:$B,2,0),M331,1),"")</f>
        <v>S</v>
      </c>
      <c r="M331" s="3">
        <v>57</v>
      </c>
      <c r="N331" s="3" t="str">
        <f>IFERROR(MID(VLOOKUP($B331,Seqs!$A:$B,2,0),O331,1),"")</f>
        <v>K</v>
      </c>
      <c r="O331" s="3">
        <v>86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G</v>
      </c>
      <c r="U331" s="3">
        <v>90</v>
      </c>
      <c r="V331" s="3" t="str">
        <f>IFERROR(MID(VLOOKUP($B331,Seqs!$A:$B,2,0),W331,1),"")</f>
        <v>R</v>
      </c>
      <c r="W331" s="3">
        <v>128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N</v>
      </c>
      <c r="AC331" s="9">
        <v>137</v>
      </c>
      <c r="AD331" s="3" t="str">
        <f>IFERROR(MID(VLOOKUP($B331,Seqs!$A:$B,2,0),AE331,1),"")</f>
        <v>T</v>
      </c>
      <c r="AE331" s="3">
        <v>163</v>
      </c>
      <c r="AF331" s="3" t="str">
        <f>IFERROR(MID(VLOOKUP($B331,Seqs!$A:$B,2,0),AG331,1),"")</f>
        <v>C</v>
      </c>
      <c r="AG331" s="3">
        <v>175</v>
      </c>
      <c r="AH331" s="3" t="str">
        <f>IFERROR(MID(VLOOKUP($B331,Seqs!$A:$B,2,0),AI331,1),"")</f>
        <v>F</v>
      </c>
      <c r="AI331" s="3">
        <v>177</v>
      </c>
      <c r="AJ331" s="3" t="str">
        <f>IFERROR(MID(VLOOKUP($B331,Seqs!$A:$B,2,0),AK331,1),"")</f>
        <v>E</v>
      </c>
      <c r="AK331" s="3">
        <v>181</v>
      </c>
      <c r="AL331" s="3" t="str">
        <f>IFERROR(MID(VLOOKUP($B331,Seqs!$A:$B,2,0),AM331,1),"")</f>
        <v>S</v>
      </c>
      <c r="AM331" s="3">
        <v>219</v>
      </c>
      <c r="AN331" s="3" t="str">
        <f>IFERROR(MID(VLOOKUP($B331,Seqs!$A:$B,2,0),AO331,1),"")</f>
        <v>V</v>
      </c>
      <c r="AO331" s="3">
        <v>236</v>
      </c>
      <c r="AP331" s="3" t="str">
        <f>IFERROR(MID(VLOOKUP($B331,Seqs!$A:$B,2,0),AQ331,1),"")</f>
        <v>R</v>
      </c>
      <c r="AQ331" s="3">
        <v>265</v>
      </c>
      <c r="AR331" s="3" t="str">
        <f>IFERROR(MID(VLOOKUP($B331,Seqs!$A:$B,2,0),AS331,1),"")</f>
        <v>D</v>
      </c>
      <c r="AS331" s="3">
        <v>269</v>
      </c>
      <c r="AT331" s="3" t="str">
        <f>IFERROR(MID(VLOOKUP($B331,Seqs!$A:$B,2,0),AU331,1),"")</f>
        <v>C</v>
      </c>
      <c r="AU331" s="3">
        <v>292</v>
      </c>
      <c r="AV331" s="3" t="str">
        <f>IFERROR(MID(VLOOKUP($B331,Seqs!$A:$B,2,0),AW331,1),"")</f>
        <v/>
      </c>
      <c r="AW331" s="3" t="s">
        <v>23</v>
      </c>
      <c r="AX331" s="3" t="str">
        <f>IFERROR(MID(VLOOKUP($B331,Seqs!$A:$B,2,0),AY331,1),"")</f>
        <v/>
      </c>
      <c r="AY331" s="3" t="s">
        <v>23</v>
      </c>
      <c r="AZ331" s="77" t="str">
        <f>VLOOKUP(B331,Classification!A:D,2,0)</f>
        <v>A</v>
      </c>
      <c r="BA331" s="94" t="str">
        <f>VLOOKUP(B331,Classification!A:D,4,0)</f>
        <v>P2Y</v>
      </c>
      <c r="BB331" s="27" t="b">
        <f t="shared" si="1983"/>
        <v>1</v>
      </c>
      <c r="BC331" s="23">
        <f t="shared" si="1956"/>
        <v>227</v>
      </c>
      <c r="BD331" s="4" t="s">
        <v>23</v>
      </c>
      <c r="BE331" s="3" t="s">
        <v>1428</v>
      </c>
      <c r="BF331" s="118">
        <v>3.1</v>
      </c>
      <c r="BG331" s="49" t="s">
        <v>1377</v>
      </c>
      <c r="BH331" s="49" t="s">
        <v>1377</v>
      </c>
      <c r="BI331" s="1"/>
      <c r="BJ331" s="70" t="s">
        <v>1287</v>
      </c>
      <c r="BK331" s="57" t="s">
        <v>1287</v>
      </c>
      <c r="BL331" s="57" t="s">
        <v>1287</v>
      </c>
      <c r="BM331" s="57" t="s">
        <v>1287</v>
      </c>
      <c r="BN331" s="57" t="s">
        <v>1287</v>
      </c>
      <c r="BO331" s="57" t="s">
        <v>1287</v>
      </c>
      <c r="BP331" s="57" t="s">
        <v>1287</v>
      </c>
      <c r="BQ331" s="57" t="s">
        <v>1287</v>
      </c>
      <c r="BR331" s="57" t="s">
        <v>1287</v>
      </c>
      <c r="BS331" s="57" t="s">
        <v>1287</v>
      </c>
      <c r="BT331" s="57" t="s">
        <v>1287</v>
      </c>
      <c r="BU331" s="57" t="s">
        <v>1287</v>
      </c>
      <c r="BV331" s="70">
        <f t="shared" si="1957"/>
        <v>23</v>
      </c>
      <c r="BW331" s="71" t="str">
        <f t="shared" si="1958"/>
        <v>-</v>
      </c>
      <c r="BX331" s="72">
        <f t="shared" si="1959"/>
        <v>57</v>
      </c>
      <c r="BY331" s="71" t="str">
        <f t="shared" si="1960"/>
        <v>-</v>
      </c>
      <c r="BZ331" s="72">
        <f t="shared" si="1961"/>
        <v>90</v>
      </c>
      <c r="CA331" s="71" t="str">
        <f t="shared" si="1962"/>
        <v>-</v>
      </c>
      <c r="CB331" s="72">
        <f t="shared" si="1963"/>
        <v>137</v>
      </c>
      <c r="CC331" s="71">
        <f t="shared" si="1964"/>
        <v>175</v>
      </c>
      <c r="CD331" s="72">
        <f t="shared" si="1965"/>
        <v>181</v>
      </c>
      <c r="CE331" s="71">
        <f t="shared" si="1966"/>
        <v>236</v>
      </c>
      <c r="CF331" s="72">
        <f t="shared" si="1967"/>
        <v>269</v>
      </c>
      <c r="CG331" s="71" t="str">
        <f t="shared" si="1968"/>
        <v>-</v>
      </c>
      <c r="CH331" s="70">
        <f t="shared" si="1969"/>
        <v>53</v>
      </c>
      <c r="CI331" s="71" t="str">
        <f t="shared" si="1970"/>
        <v>-</v>
      </c>
      <c r="CJ331" s="72">
        <f t="shared" si="1971"/>
        <v>86</v>
      </c>
      <c r="CK331" s="72" t="str">
        <f t="shared" si="1972"/>
        <v>-</v>
      </c>
      <c r="CL331" s="72">
        <f t="shared" si="1973"/>
        <v>128</v>
      </c>
      <c r="CM331" s="72" t="str">
        <f t="shared" si="1974"/>
        <v>-</v>
      </c>
      <c r="CN331" s="72">
        <f t="shared" si="1975"/>
        <v>163</v>
      </c>
      <c r="CO331" s="72">
        <f t="shared" si="1976"/>
        <v>177</v>
      </c>
      <c r="CP331" s="72">
        <f t="shared" si="1977"/>
        <v>219</v>
      </c>
      <c r="CQ331" s="72">
        <f t="shared" si="1978"/>
        <v>265</v>
      </c>
      <c r="CR331" s="72">
        <f t="shared" si="1979"/>
        <v>292</v>
      </c>
      <c r="CS331" s="72" t="str">
        <f t="shared" si="1980"/>
        <v>-</v>
      </c>
      <c r="CT331" s="23" t="e">
        <f t="shared" si="1981"/>
        <v>#VALUE!</v>
      </c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  <c r="AMK331" s="1"/>
      <c r="AML331" s="1"/>
      <c r="AMM331" s="1"/>
      <c r="AMN331" s="1"/>
      <c r="AMO331" s="1"/>
    </row>
    <row r="332" spans="1:1029" x14ac:dyDescent="0.2">
      <c r="A332" s="3" t="str">
        <f t="shared" si="1982"/>
        <v>par1_human__wt</v>
      </c>
      <c r="B332" s="3" t="s">
        <v>355</v>
      </c>
      <c r="C332" s="3" t="s">
        <v>100</v>
      </c>
      <c r="D332" s="3" t="str">
        <f>IFERROR(MID(VLOOKUP($B332,Seqs!$A:$B,2,0),E332,1),"")</f>
        <v>S</v>
      </c>
      <c r="E332" s="3">
        <v>99</v>
      </c>
      <c r="F332" s="3" t="str">
        <f>IFERROR(MID(VLOOKUP($B332,Seqs!$A:$B,2,0),G332,1),"")</f>
        <v>K</v>
      </c>
      <c r="G332" s="3">
        <v>130</v>
      </c>
      <c r="H332" s="3" t="str">
        <f>IFERROR(MID(VLOOKUP($B332,Seqs!$A:$B,2,0),I332,1),"")</f>
        <v>M</v>
      </c>
      <c r="I332" s="23">
        <v>131</v>
      </c>
      <c r="J332" s="3" t="str">
        <f>IFERROR(MID(VLOOKUP($B332,Seqs!$A:$B,2,0),K332,1),"")</f>
        <v>K</v>
      </c>
      <c r="K332" s="23">
        <v>134</v>
      </c>
      <c r="L332" s="3" t="str">
        <f>IFERROR(MID(VLOOKUP($B332,Seqs!$A:$B,2,0),M332,1),"")</f>
        <v>K</v>
      </c>
      <c r="M332" s="3">
        <v>135</v>
      </c>
      <c r="N332" s="3" t="str">
        <f>IFERROR(MID(VLOOKUP($B332,Seqs!$A:$B,2,0),O332,1),"")</f>
        <v>S</v>
      </c>
      <c r="O332" s="3">
        <v>164</v>
      </c>
      <c r="P332" s="3" t="str">
        <f>IFERROR(MID(VLOOKUP($B332,Seqs!$A:$B,2,0),Q332,1),"")</f>
        <v>D</v>
      </c>
      <c r="Q332" s="3">
        <v>167</v>
      </c>
      <c r="R332" s="3" t="str">
        <f>IFERROR(MID(VLOOKUP($B332,Seqs!$A:$B,2,0),S332,1),"")</f>
        <v>F</v>
      </c>
      <c r="S332" s="3">
        <v>170</v>
      </c>
      <c r="T332" s="3" t="str">
        <f>IFERROR(MID(VLOOKUP($B332,Seqs!$A:$B,2,0),U332,1),"")</f>
        <v>G</v>
      </c>
      <c r="U332" s="3">
        <v>171</v>
      </c>
      <c r="V332" s="3" t="str">
        <f>IFERROR(MID(VLOOKUP($B332,Seqs!$A:$B,2,0),W332,1),"")</f>
        <v>Y</v>
      </c>
      <c r="W332" s="3">
        <v>206</v>
      </c>
      <c r="X332" s="3" t="str">
        <f>IFERROR(MID(VLOOKUP($B332,Seqs!$A:$B,2,0),Y332,1),"")</f>
        <v>P</v>
      </c>
      <c r="Y332" s="3">
        <v>207</v>
      </c>
      <c r="Z332" s="3" t="str">
        <f>IFERROR(MID(VLOOKUP($B332,Seqs!$A:$B,2,0),AA332,1),"")</f>
        <v>R</v>
      </c>
      <c r="AA332" s="3">
        <v>214</v>
      </c>
      <c r="AB332" s="3" t="str">
        <f>IFERROR(MID(VLOOKUP($B332,Seqs!$A:$B,2,0),AC332,1),"")</f>
        <v>T</v>
      </c>
      <c r="AC332" s="9">
        <v>215</v>
      </c>
      <c r="AD332" s="3" t="str">
        <f>IFERROR(MID(VLOOKUP($B332,Seqs!$A:$B,2,0),AE332,1),"")</f>
        <v>K</v>
      </c>
      <c r="AE332" s="3">
        <v>240</v>
      </c>
      <c r="AF332" s="3" t="str">
        <f>IFERROR(MID(VLOOKUP($B332,Seqs!$A:$B,2,0),AG332,1),"")</f>
        <v>C</v>
      </c>
      <c r="AG332" s="3">
        <v>254</v>
      </c>
      <c r="AH332" s="3" t="str">
        <f>IFERROR(MID(VLOOKUP($B332,Seqs!$A:$B,2,0),AI332,1),"")</f>
        <v>D</v>
      </c>
      <c r="AI332" s="3">
        <v>256</v>
      </c>
      <c r="AJ332" s="3" t="str">
        <f>IFERROR(MID(VLOOKUP($B332,Seqs!$A:$B,2,0),AK332,1),"")</f>
        <v>E</v>
      </c>
      <c r="AK332" s="3">
        <v>264</v>
      </c>
      <c r="AL332" s="3" t="str">
        <f>IFERROR(MID(VLOOKUP($B332,Seqs!$A:$B,2,0),AM332,1),"")</f>
        <v>S</v>
      </c>
      <c r="AM332" s="3">
        <v>299</v>
      </c>
      <c r="AN332" s="3" t="str">
        <f>IFERROR(MID(VLOOKUP($B332,Seqs!$A:$B,2,0),AO332,1),"")</f>
        <v>N</v>
      </c>
      <c r="AO332" s="3">
        <v>304</v>
      </c>
      <c r="AP332" s="3" t="str">
        <f>IFERROR(MID(VLOOKUP($B332,Seqs!$A:$B,2,0),AQ332,1),"")</f>
        <v>L</v>
      </c>
      <c r="AQ332" s="3">
        <v>340</v>
      </c>
      <c r="AR332" s="3" t="str">
        <f>IFERROR(MID(VLOOKUP($B332,Seqs!$A:$B,2,0),AS332,1),"")</f>
        <v>T</v>
      </c>
      <c r="AS332" s="3">
        <v>346</v>
      </c>
      <c r="AT332" s="3" t="str">
        <f>IFERROR(MID(VLOOKUP($B332,Seqs!$A:$B,2,0),AU332,1),"")</f>
        <v>A</v>
      </c>
      <c r="AU332" s="3">
        <v>374</v>
      </c>
      <c r="AV332" s="3" t="str">
        <f>IFERROR(MID(VLOOKUP($B332,Seqs!$A:$B,2,0),AW332,1),"")</f>
        <v>S</v>
      </c>
      <c r="AW332" s="3">
        <v>375</v>
      </c>
      <c r="AX332" s="3" t="str">
        <f>IFERROR(MID(VLOOKUP($B332,Seqs!$A:$B,2,0),AY332,1),"")</f>
        <v>K</v>
      </c>
      <c r="AY332" s="3">
        <v>389</v>
      </c>
      <c r="AZ332" s="77" t="str">
        <f>VLOOKUP(B332,Classification!A:D,2,0)</f>
        <v>A</v>
      </c>
      <c r="BA332" s="94" t="str">
        <f>VLOOKUP(B332,Classification!A:D,4,0)</f>
        <v>Proteinase-activated</v>
      </c>
      <c r="BB332" s="27" t="b">
        <f t="shared" si="1983"/>
        <v>1</v>
      </c>
      <c r="BC332" s="23">
        <f t="shared" si="1956"/>
        <v>260</v>
      </c>
      <c r="BD332" s="56" t="s">
        <v>23</v>
      </c>
      <c r="BE332" s="3" t="s">
        <v>23</v>
      </c>
      <c r="BF332" s="118" t="s">
        <v>23</v>
      </c>
      <c r="BG332" s="49" t="s">
        <v>1372</v>
      </c>
      <c r="BH332" s="49" t="s">
        <v>1377</v>
      </c>
      <c r="BI332" s="1"/>
      <c r="BJ332" s="70" t="s">
        <v>1287</v>
      </c>
      <c r="BK332" s="57" t="s">
        <v>1287</v>
      </c>
      <c r="BL332" s="57" t="s">
        <v>1287</v>
      </c>
      <c r="BM332" s="57" t="s">
        <v>1287</v>
      </c>
      <c r="BN332" s="57" t="s">
        <v>1287</v>
      </c>
      <c r="BO332" s="57" t="s">
        <v>1287</v>
      </c>
      <c r="BP332" s="57" t="s">
        <v>1287</v>
      </c>
      <c r="BQ332" s="57" t="s">
        <v>1287</v>
      </c>
      <c r="BR332" s="57" t="s">
        <v>1287</v>
      </c>
      <c r="BS332" s="57" t="s">
        <v>1287</v>
      </c>
      <c r="BT332" s="57" t="s">
        <v>1287</v>
      </c>
      <c r="BU332" s="57" t="s">
        <v>1287</v>
      </c>
      <c r="BV332" s="70">
        <f t="shared" si="1957"/>
        <v>99</v>
      </c>
      <c r="BW332" s="71">
        <f t="shared" si="1958"/>
        <v>131</v>
      </c>
      <c r="BX332" s="72">
        <f t="shared" si="1959"/>
        <v>135</v>
      </c>
      <c r="BY332" s="71">
        <f t="shared" si="1960"/>
        <v>167</v>
      </c>
      <c r="BZ332" s="72">
        <f t="shared" si="1961"/>
        <v>171</v>
      </c>
      <c r="CA332" s="71">
        <f t="shared" si="1962"/>
        <v>207</v>
      </c>
      <c r="CB332" s="72">
        <f t="shared" si="1963"/>
        <v>215</v>
      </c>
      <c r="CC332" s="71">
        <f t="shared" si="1964"/>
        <v>254</v>
      </c>
      <c r="CD332" s="72">
        <f t="shared" si="1965"/>
        <v>264</v>
      </c>
      <c r="CE332" s="71">
        <f t="shared" si="1966"/>
        <v>304</v>
      </c>
      <c r="CF332" s="72">
        <f t="shared" si="1967"/>
        <v>346</v>
      </c>
      <c r="CG332" s="71">
        <f t="shared" si="1968"/>
        <v>375</v>
      </c>
      <c r="CH332" s="70">
        <f t="shared" si="1969"/>
        <v>130</v>
      </c>
      <c r="CI332" s="71">
        <f t="shared" si="1970"/>
        <v>134</v>
      </c>
      <c r="CJ332" s="72">
        <f t="shared" si="1971"/>
        <v>164</v>
      </c>
      <c r="CK332" s="72">
        <f t="shared" si="1972"/>
        <v>170</v>
      </c>
      <c r="CL332" s="72">
        <f t="shared" si="1973"/>
        <v>206</v>
      </c>
      <c r="CM332" s="72">
        <f t="shared" si="1974"/>
        <v>214</v>
      </c>
      <c r="CN332" s="72">
        <f t="shared" si="1975"/>
        <v>240</v>
      </c>
      <c r="CO332" s="72">
        <f t="shared" si="1976"/>
        <v>256</v>
      </c>
      <c r="CP332" s="72">
        <f t="shared" si="1977"/>
        <v>299</v>
      </c>
      <c r="CQ332" s="72">
        <f t="shared" si="1978"/>
        <v>340</v>
      </c>
      <c r="CR332" s="72">
        <f t="shared" si="1979"/>
        <v>374</v>
      </c>
      <c r="CS332" s="72">
        <f t="shared" si="1980"/>
        <v>389</v>
      </c>
      <c r="CT332" s="23">
        <f t="shared" si="1981"/>
        <v>1</v>
      </c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  <c r="AMK332" s="1"/>
      <c r="AML332" s="1"/>
      <c r="AMM332" s="1"/>
      <c r="AMN332" s="1"/>
      <c r="AMO332" s="1"/>
    </row>
    <row r="333" spans="1:1029" x14ac:dyDescent="0.2">
      <c r="A333" s="3" t="str">
        <f t="shared" si="1982"/>
        <v>par1_human_3VW7</v>
      </c>
      <c r="B333" s="3" t="s">
        <v>355</v>
      </c>
      <c r="C333" s="3" t="s">
        <v>93</v>
      </c>
      <c r="D333" s="3" t="str">
        <f>IFERROR(MID(VLOOKUP($B333,Seqs!$A:$B,2,0),E333,1),"")</f>
        <v>S</v>
      </c>
      <c r="E333" s="3">
        <v>99</v>
      </c>
      <c r="F333" s="3" t="str">
        <f>IFERROR(MID(VLOOKUP($B333,Seqs!$A:$B,2,0),G333,1),"")</f>
        <v>K</v>
      </c>
      <c r="G333" s="3">
        <v>130</v>
      </c>
      <c r="H333" s="3" t="str">
        <f>IFERROR(MID(VLOOKUP($B333,Seqs!$A:$B,2,0),I333,1),"")</f>
        <v/>
      </c>
      <c r="I333" s="23" t="s">
        <v>23</v>
      </c>
      <c r="J333" s="3" t="str">
        <f>IFERROR(MID(VLOOKUP($B333,Seqs!$A:$B,2,0),K333,1),"")</f>
        <v/>
      </c>
      <c r="K333" s="23" t="s">
        <v>23</v>
      </c>
      <c r="L333" s="3" t="str">
        <f>IFERROR(MID(VLOOKUP($B333,Seqs!$A:$B,2,0),M333,1),"")</f>
        <v>K</v>
      </c>
      <c r="M333" s="3">
        <v>135</v>
      </c>
      <c r="N333" s="3" t="str">
        <f>IFERROR(MID(VLOOKUP($B333,Seqs!$A:$B,2,0),O333,1),"")</f>
        <v>S</v>
      </c>
      <c r="O333" s="3">
        <v>164</v>
      </c>
      <c r="P333" s="3" t="str">
        <f>IFERROR(MID(VLOOKUP($B333,Seqs!$A:$B,2,0),Q333,1),"")</f>
        <v>D</v>
      </c>
      <c r="Q333" s="3">
        <v>167</v>
      </c>
      <c r="R333" s="3" t="str">
        <f>IFERROR(MID(VLOOKUP($B333,Seqs!$A:$B,2,0),S333,1),"")</f>
        <v>F</v>
      </c>
      <c r="S333" s="3">
        <v>170</v>
      </c>
      <c r="T333" s="3" t="str">
        <f>IFERROR(MID(VLOOKUP($B333,Seqs!$A:$B,2,0),U333,1),"")</f>
        <v>G</v>
      </c>
      <c r="U333" s="3">
        <v>171</v>
      </c>
      <c r="V333" s="3" t="str">
        <f>IFERROR(MID(VLOOKUP($B333,Seqs!$A:$B,2,0),W333,1),"")</f>
        <v>Y</v>
      </c>
      <c r="W333" s="3">
        <v>206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T</v>
      </c>
      <c r="AC333" s="9">
        <v>215</v>
      </c>
      <c r="AD333" s="3" t="str">
        <f>IFERROR(MID(VLOOKUP($B333,Seqs!$A:$B,2,0),AE333,1),"")</f>
        <v>K</v>
      </c>
      <c r="AE333" s="3">
        <v>240</v>
      </c>
      <c r="AF333" s="3" t="str">
        <f>IFERROR(MID(VLOOKUP($B333,Seqs!$A:$B,2,0),AG333,1),"")</f>
        <v>C</v>
      </c>
      <c r="AG333" s="3">
        <v>254</v>
      </c>
      <c r="AH333" s="3" t="str">
        <f>IFERROR(MID(VLOOKUP($B333,Seqs!$A:$B,2,0),AI333,1),"")</f>
        <v>D</v>
      </c>
      <c r="AI333" s="3">
        <v>256</v>
      </c>
      <c r="AJ333" s="3" t="str">
        <f>IFERROR(MID(VLOOKUP($B333,Seqs!$A:$B,2,0),AK333,1),"")</f>
        <v>E</v>
      </c>
      <c r="AK333" s="3">
        <v>264</v>
      </c>
      <c r="AL333" s="3" t="str">
        <f>IFERROR(MID(VLOOKUP($B333,Seqs!$A:$B,2,0),AM333,1),"")</f>
        <v>S</v>
      </c>
      <c r="AM333" s="3">
        <v>300</v>
      </c>
      <c r="AN333" s="3" t="str">
        <f>IFERROR(MID(VLOOKUP($B333,Seqs!$A:$B,2,0),AO333,1),"")</f>
        <v>N</v>
      </c>
      <c r="AO333" s="3">
        <v>304</v>
      </c>
      <c r="AP333" s="3" t="str">
        <f>IFERROR(MID(VLOOKUP($B333,Seqs!$A:$B,2,0),AQ333,1),"")</f>
        <v>L</v>
      </c>
      <c r="AQ333" s="3">
        <v>340</v>
      </c>
      <c r="AR333" s="3" t="str">
        <f>IFERROR(MID(VLOOKUP($B333,Seqs!$A:$B,2,0),AS333,1),"")</f>
        <v>T</v>
      </c>
      <c r="AS333" s="3">
        <v>346</v>
      </c>
      <c r="AT333" s="3" t="str">
        <f>IFERROR(MID(VLOOKUP($B333,Seqs!$A:$B,2,0),AU333,1),"")</f>
        <v>Y</v>
      </c>
      <c r="AU333" s="3">
        <v>372</v>
      </c>
      <c r="AV333" s="3" t="str">
        <f>IFERROR(MID(VLOOKUP($B333,Seqs!$A:$B,2,0),AW333,1),"")</f>
        <v/>
      </c>
      <c r="AW333" s="3" t="s">
        <v>23</v>
      </c>
      <c r="AX333" s="3" t="str">
        <f>IFERROR(MID(VLOOKUP($B333,Seqs!$A:$B,2,0),AY333,1),"")</f>
        <v/>
      </c>
      <c r="AY333" s="3" t="s">
        <v>23</v>
      </c>
      <c r="AZ333" s="77" t="str">
        <f>VLOOKUP(B333,Classification!A:D,2,0)</f>
        <v>A</v>
      </c>
      <c r="BA333" s="94" t="str">
        <f>VLOOKUP(B333,Classification!A:D,4,0)</f>
        <v>Proteinase-activated</v>
      </c>
      <c r="BB333" s="27" t="b">
        <f t="shared" si="1983"/>
        <v>1</v>
      </c>
      <c r="BC333" s="23">
        <f t="shared" si="1956"/>
        <v>235</v>
      </c>
      <c r="BD333" s="2" t="s">
        <v>1429</v>
      </c>
      <c r="BE333" s="3" t="s">
        <v>1428</v>
      </c>
      <c r="BF333" s="118">
        <v>2.2000000000000002</v>
      </c>
      <c r="BG333" s="49" t="s">
        <v>1377</v>
      </c>
      <c r="BH333" s="49" t="s">
        <v>1377</v>
      </c>
      <c r="BI333" s="1"/>
      <c r="BJ333" s="70" t="s">
        <v>1287</v>
      </c>
      <c r="BK333" s="57" t="s">
        <v>1287</v>
      </c>
      <c r="BL333" s="57" t="s">
        <v>1287</v>
      </c>
      <c r="BM333" s="57" t="s">
        <v>1287</v>
      </c>
      <c r="BN333" s="57" t="s">
        <v>1287</v>
      </c>
      <c r="BO333" s="57" t="s">
        <v>1287</v>
      </c>
      <c r="BP333" s="57" t="s">
        <v>1287</v>
      </c>
      <c r="BQ333" s="57" t="s">
        <v>1287</v>
      </c>
      <c r="BR333" s="57" t="s">
        <v>1287</v>
      </c>
      <c r="BS333" s="57" t="s">
        <v>1287</v>
      </c>
      <c r="BT333" s="57" t="s">
        <v>1287</v>
      </c>
      <c r="BU333" s="57" t="s">
        <v>1287</v>
      </c>
      <c r="BV333" s="70">
        <f t="shared" si="1957"/>
        <v>99</v>
      </c>
      <c r="BW333" s="71" t="str">
        <f t="shared" si="1958"/>
        <v>-</v>
      </c>
      <c r="BX333" s="72">
        <f t="shared" si="1959"/>
        <v>135</v>
      </c>
      <c r="BY333" s="71">
        <f t="shared" si="1960"/>
        <v>167</v>
      </c>
      <c r="BZ333" s="72">
        <f t="shared" si="1961"/>
        <v>171</v>
      </c>
      <c r="CA333" s="71" t="str">
        <f t="shared" si="1962"/>
        <v>-</v>
      </c>
      <c r="CB333" s="72">
        <f t="shared" si="1963"/>
        <v>215</v>
      </c>
      <c r="CC333" s="71">
        <f t="shared" si="1964"/>
        <v>254</v>
      </c>
      <c r="CD333" s="72">
        <f t="shared" si="1965"/>
        <v>264</v>
      </c>
      <c r="CE333" s="71">
        <f t="shared" si="1966"/>
        <v>304</v>
      </c>
      <c r="CF333" s="72">
        <f t="shared" si="1967"/>
        <v>346</v>
      </c>
      <c r="CG333" s="71" t="str">
        <f t="shared" si="1968"/>
        <v>-</v>
      </c>
      <c r="CH333" s="70">
        <f t="shared" si="1969"/>
        <v>130</v>
      </c>
      <c r="CI333" s="71" t="str">
        <f t="shared" si="1970"/>
        <v>-</v>
      </c>
      <c r="CJ333" s="72">
        <f t="shared" si="1971"/>
        <v>164</v>
      </c>
      <c r="CK333" s="72">
        <f t="shared" si="1972"/>
        <v>170</v>
      </c>
      <c r="CL333" s="72">
        <f t="shared" si="1973"/>
        <v>206</v>
      </c>
      <c r="CM333" s="72" t="str">
        <f t="shared" si="1974"/>
        <v>-</v>
      </c>
      <c r="CN333" s="72">
        <f t="shared" si="1975"/>
        <v>240</v>
      </c>
      <c r="CO333" s="72">
        <f t="shared" si="1976"/>
        <v>256</v>
      </c>
      <c r="CP333" s="72">
        <f t="shared" si="1977"/>
        <v>300</v>
      </c>
      <c r="CQ333" s="72">
        <f t="shared" si="1978"/>
        <v>340</v>
      </c>
      <c r="CR333" s="72">
        <f t="shared" si="1979"/>
        <v>372</v>
      </c>
      <c r="CS333" s="72" t="str">
        <f t="shared" si="1980"/>
        <v>-</v>
      </c>
      <c r="CT333" s="23" t="e">
        <f t="shared" si="1981"/>
        <v>#VALUE!</v>
      </c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  <c r="AMK333" s="1"/>
      <c r="AML333" s="1"/>
      <c r="AMM333" s="1"/>
      <c r="AMN333" s="1"/>
      <c r="AMO333" s="1"/>
    </row>
    <row r="334" spans="1:1029" x14ac:dyDescent="0.2">
      <c r="A334" s="3" t="str">
        <f t="shared" ref="A334:A353" si="2460">CONCATENATE(B334,"_",C334)</f>
        <v>par2_human__wt</v>
      </c>
      <c r="B334" s="3" t="s">
        <v>356</v>
      </c>
      <c r="C334" s="3" t="s">
        <v>100</v>
      </c>
      <c r="D334" s="3" t="str">
        <f>IFERROR(MID(VLOOKUP($B334,Seqs!$A:$B,2,0),E334,1),"")</f>
        <v>G</v>
      </c>
      <c r="E334" s="3">
        <v>71</v>
      </c>
      <c r="F334" s="3" t="str">
        <f>IFERROR(MID(VLOOKUP($B334,Seqs!$A:$B,2,0),G334,1),"")</f>
        <v>R</v>
      </c>
      <c r="G334" s="3">
        <v>103</v>
      </c>
      <c r="H334" s="3" t="str">
        <f>IFERROR(MID(VLOOKUP($B334,Seqs!$A:$B,2,0),I334,1),"")</f>
        <v/>
      </c>
      <c r="I334" s="23" t="s">
        <v>23</v>
      </c>
      <c r="J334" s="3" t="str">
        <f>IFERROR(MID(VLOOKUP($B334,Seqs!$A:$B,2,0),K334,1),"")</f>
        <v/>
      </c>
      <c r="K334" s="23" t="s">
        <v>23</v>
      </c>
      <c r="L334" s="3" t="str">
        <f>IFERROR(MID(VLOOKUP($B334,Seqs!$A:$B,2,0),M334,1),"")</f>
        <v>H</v>
      </c>
      <c r="M334" s="3">
        <v>108</v>
      </c>
      <c r="N334" s="3" t="str">
        <f>IFERROR(MID(VLOOKUP($B334,Seqs!$A:$B,2,0),O334,1),"")</f>
        <v>H</v>
      </c>
      <c r="O334" s="3">
        <v>137</v>
      </c>
      <c r="P334" s="3" t="str">
        <f>IFERROR(MID(VLOOKUP($B334,Seqs!$A:$B,2,0),Q334,1),"")</f>
        <v>G</v>
      </c>
      <c r="Q334" s="3">
        <v>138</v>
      </c>
      <c r="R334" s="3" t="str">
        <f>IFERROR(MID(VLOOKUP($B334,Seqs!$A:$B,2,0),S334,1),"")</f>
        <v>Y</v>
      </c>
      <c r="S334" s="3">
        <v>143</v>
      </c>
      <c r="T334" s="3" t="str">
        <f>IFERROR(MID(VLOOKUP($B334,Seqs!$A:$B,2,0),U334,1),"")</f>
        <v>G</v>
      </c>
      <c r="U334" s="3">
        <v>144</v>
      </c>
      <c r="V334" s="3" t="str">
        <f>IFERROR(MID(VLOOKUP($B334,Seqs!$A:$B,2,0),W334,1),"")</f>
        <v>N</v>
      </c>
      <c r="W334" s="3">
        <v>179</v>
      </c>
      <c r="X334" s="3" t="str">
        <f>IFERROR(MID(VLOOKUP($B334,Seqs!$A:$B,2,0),Y334,1),"")</f>
        <v>P</v>
      </c>
      <c r="Y334" s="3">
        <v>180</v>
      </c>
      <c r="Z334" s="3" t="str">
        <f>IFERROR(MID(VLOOKUP($B334,Seqs!$A:$B,2,0),AA334,1),"")</f>
        <v>K</v>
      </c>
      <c r="AA334" s="3">
        <v>186</v>
      </c>
      <c r="AB334" s="3" t="str">
        <f>IFERROR(MID(VLOOKUP($B334,Seqs!$A:$B,2,0),AC334,1),"")</f>
        <v>K</v>
      </c>
      <c r="AC334" s="3">
        <v>187</v>
      </c>
      <c r="AD334" s="3" t="str">
        <f>IFERROR(MID(VLOOKUP($B334,Seqs!$A:$B,2,0),AE334,1),"")</f>
        <v>V</v>
      </c>
      <c r="AE334" s="3">
        <v>211</v>
      </c>
      <c r="AF334" s="3" t="str">
        <f>IFERROR(MID(VLOOKUP($B334,Seqs!$A:$B,2,0),AG334,1),"")</f>
        <v>C</v>
      </c>
      <c r="AG334" s="3">
        <v>226</v>
      </c>
      <c r="AH334" s="3" t="str">
        <f>IFERROR(MID(VLOOKUP($B334,Seqs!$A:$B,2,0),AI334,1),"")</f>
        <v>D</v>
      </c>
      <c r="AI334" s="3">
        <v>228</v>
      </c>
      <c r="AJ334" s="3" t="str">
        <f>IFERROR(MID(VLOOKUP($B334,Seqs!$A:$B,2,0),AK334,1),"")</f>
        <v>L</v>
      </c>
      <c r="AK334" s="3">
        <v>235</v>
      </c>
      <c r="AL334" s="3" t="str">
        <f>IFERROR(MID(VLOOKUP($B334,Seqs!$A:$B,2,0),AM334,1),"")</f>
        <v>S</v>
      </c>
      <c r="AM334" s="3">
        <v>272</v>
      </c>
      <c r="AN334" s="3" t="str">
        <f>IFERROR(MID(VLOOKUP($B334,Seqs!$A:$B,2,0),AO334,1),"")</f>
        <v>S</v>
      </c>
      <c r="AO334" s="3">
        <v>278</v>
      </c>
      <c r="AP334" s="3" t="str">
        <f>IFERROR(MID(VLOOKUP($B334,Seqs!$A:$B,2,0),AQ334,1),"")</f>
        <v>Q</v>
      </c>
      <c r="AQ334" s="3">
        <v>317</v>
      </c>
      <c r="AR334" s="3" t="str">
        <f>IFERROR(MID(VLOOKUP($B334,Seqs!$A:$B,2,0),AS334,1),"")</f>
        <v>V</v>
      </c>
      <c r="AS334" s="3">
        <v>322</v>
      </c>
      <c r="AT334" s="3" t="str">
        <f>IFERROR(MID(VLOOKUP($B334,Seqs!$A:$B,2,0),AU334,1),"")</f>
        <v>V</v>
      </c>
      <c r="AU334" s="3">
        <v>347</v>
      </c>
      <c r="AV334" s="3" t="str">
        <f>IFERROR(MID(VLOOKUP($B334,Seqs!$A:$B,2,0),AW334,1),"")</f>
        <v>S</v>
      </c>
      <c r="AW334" s="3">
        <v>348</v>
      </c>
      <c r="AX334" s="3" t="str">
        <f>IFERROR(MID(VLOOKUP($B334,Seqs!$A:$B,2,0),AY334,1),"")</f>
        <v>R</v>
      </c>
      <c r="AY334" s="3">
        <v>362</v>
      </c>
      <c r="AZ334" s="77" t="str">
        <f>VLOOKUP(B334,Classification!A:D,2,0)</f>
        <v>A</v>
      </c>
      <c r="BA334" s="94" t="str">
        <f>VLOOKUP(B334,Classification!A:D,4,0)</f>
        <v>Proteinase-activated</v>
      </c>
      <c r="BB334" s="27" t="b">
        <f t="shared" ref="BB334:BB353" si="2461"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23">
        <f t="shared" ref="BC334:BC353" si="2462">_xlfn.AGGREGATE(9,6,CH334:CS334)-_xlfn.AGGREGATE(9,6,BV334:CG334)+12</f>
        <v>260</v>
      </c>
      <c r="BD334" s="2" t="s">
        <v>23</v>
      </c>
      <c r="BE334" s="3" t="s">
        <v>23</v>
      </c>
      <c r="BF334" s="118" t="s">
        <v>23</v>
      </c>
      <c r="BG334" s="49" t="s">
        <v>1377</v>
      </c>
      <c r="BH334" s="49" t="s">
        <v>1377</v>
      </c>
      <c r="BI334" s="1"/>
      <c r="BJ334" s="70" t="s">
        <v>1287</v>
      </c>
      <c r="BK334" s="57" t="s">
        <v>1287</v>
      </c>
      <c r="BL334" s="57" t="s">
        <v>1287</v>
      </c>
      <c r="BM334" s="57" t="s">
        <v>1287</v>
      </c>
      <c r="BN334" s="57" t="s">
        <v>1287</v>
      </c>
      <c r="BO334" s="57" t="s">
        <v>1287</v>
      </c>
      <c r="BP334" s="57" t="s">
        <v>1287</v>
      </c>
      <c r="BQ334" s="57" t="s">
        <v>1287</v>
      </c>
      <c r="BR334" s="57" t="s">
        <v>1287</v>
      </c>
      <c r="BS334" s="57" t="s">
        <v>1287</v>
      </c>
      <c r="BT334" s="57" t="s">
        <v>1287</v>
      </c>
      <c r="BU334" s="57" t="s">
        <v>1287</v>
      </c>
      <c r="BV334" s="70">
        <f t="shared" ref="BV334:BV353" si="2463">E334</f>
        <v>71</v>
      </c>
      <c r="BW334" s="71" t="str">
        <f t="shared" ref="BW334:BW353" si="2464">I334</f>
        <v>-</v>
      </c>
      <c r="BX334" s="72">
        <f t="shared" ref="BX334:BX353" si="2465">M334</f>
        <v>108</v>
      </c>
      <c r="BY334" s="71">
        <f t="shared" ref="BY334:BY353" si="2466">Q334</f>
        <v>138</v>
      </c>
      <c r="BZ334" s="72">
        <f t="shared" ref="BZ334:BZ353" si="2467">U334</f>
        <v>144</v>
      </c>
      <c r="CA334" s="71">
        <f t="shared" ref="CA334:CA353" si="2468">Y334</f>
        <v>180</v>
      </c>
      <c r="CB334" s="72">
        <f t="shared" ref="CB334:CB353" si="2469">AC334</f>
        <v>187</v>
      </c>
      <c r="CC334" s="71">
        <f t="shared" ref="CC334:CC353" si="2470">AG334</f>
        <v>226</v>
      </c>
      <c r="CD334" s="72">
        <f t="shared" ref="CD334:CD353" si="2471">AK334</f>
        <v>235</v>
      </c>
      <c r="CE334" s="71">
        <f t="shared" ref="CE334:CE353" si="2472">AO334</f>
        <v>278</v>
      </c>
      <c r="CF334" s="72">
        <f t="shared" ref="CF334:CF353" si="2473">AS334</f>
        <v>322</v>
      </c>
      <c r="CG334" s="71">
        <f t="shared" ref="CG334:CG353" si="2474">AW334</f>
        <v>348</v>
      </c>
      <c r="CH334" s="70">
        <f t="shared" ref="CH334:CH353" si="2475">G334</f>
        <v>103</v>
      </c>
      <c r="CI334" s="71" t="str">
        <f t="shared" ref="CI334:CI353" si="2476">K334</f>
        <v>-</v>
      </c>
      <c r="CJ334" s="72">
        <f t="shared" ref="CJ334:CJ353" si="2477">O334</f>
        <v>137</v>
      </c>
      <c r="CK334" s="72">
        <f t="shared" ref="CK334:CK353" si="2478">S334</f>
        <v>143</v>
      </c>
      <c r="CL334" s="72">
        <f t="shared" ref="CL334:CL353" si="2479">W334</f>
        <v>179</v>
      </c>
      <c r="CM334" s="72">
        <f t="shared" ref="CM334:CM353" si="2480">AA334</f>
        <v>186</v>
      </c>
      <c r="CN334" s="72">
        <f t="shared" ref="CN334:CN353" si="2481">AE334</f>
        <v>211</v>
      </c>
      <c r="CO334" s="72">
        <f t="shared" ref="CO334:CO353" si="2482">AI334</f>
        <v>228</v>
      </c>
      <c r="CP334" s="72">
        <f t="shared" ref="CP334:CP353" si="2483">AM334</f>
        <v>272</v>
      </c>
      <c r="CQ334" s="72">
        <f t="shared" ref="CQ334:CQ353" si="2484">AQ334</f>
        <v>317</v>
      </c>
      <c r="CR334" s="72">
        <f t="shared" ref="CR334:CR353" si="2485">AU334</f>
        <v>347</v>
      </c>
      <c r="CS334" s="72">
        <f t="shared" ref="CS334:CS353" si="2486">AY334</f>
        <v>362</v>
      </c>
      <c r="CT334" s="23" t="e">
        <f t="shared" ref="CT334:CT353" si="2487">M334-K334</f>
        <v>#VALUE!</v>
      </c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  <c r="AMK334" s="1"/>
      <c r="AML334" s="1"/>
      <c r="AMM334" s="1"/>
      <c r="AMN334" s="1"/>
      <c r="AMO334" s="1"/>
    </row>
    <row r="335" spans="1:1029" x14ac:dyDescent="0.2">
      <c r="A335" s="3" t="str">
        <f t="shared" si="2460"/>
        <v>par2_human_5NDD</v>
      </c>
      <c r="B335" s="3" t="s">
        <v>356</v>
      </c>
      <c r="C335" s="3" t="s">
        <v>1396</v>
      </c>
      <c r="D335" s="3" t="str">
        <f>IFERROR(MID(VLOOKUP($B335,Seqs!$A:$B,2,0),E335,1),"")</f>
        <v>G</v>
      </c>
      <c r="E335" s="3">
        <v>71</v>
      </c>
      <c r="F335" s="3" t="str">
        <f>IFERROR(MID(VLOOKUP($B335,Seqs!$A:$B,2,0),G335,1),"")</f>
        <v>R</v>
      </c>
      <c r="G335" s="3">
        <v>103</v>
      </c>
      <c r="H335" s="3" t="str">
        <f>IFERROR(MID(VLOOKUP($B335,Seqs!$A:$B,2,0),I335,1),"")</f>
        <v/>
      </c>
      <c r="I335" s="23" t="s">
        <v>23</v>
      </c>
      <c r="J335" s="3" t="str">
        <f>IFERROR(MID(VLOOKUP($B335,Seqs!$A:$B,2,0),K335,1),"")</f>
        <v/>
      </c>
      <c r="K335" s="23" t="s">
        <v>23</v>
      </c>
      <c r="L335" s="3" t="str">
        <f>IFERROR(MID(VLOOKUP($B335,Seqs!$A:$B,2,0),M335,1),"")</f>
        <v>H</v>
      </c>
      <c r="M335" s="3">
        <v>108</v>
      </c>
      <c r="N335" s="3" t="str">
        <f>IFERROR(MID(VLOOKUP($B335,Seqs!$A:$B,2,0),O335,1),"")</f>
        <v>H</v>
      </c>
      <c r="O335" s="3">
        <v>137</v>
      </c>
      <c r="P335" s="3" t="str">
        <f>IFERROR(MID(VLOOKUP($B335,Seqs!$A:$B,2,0),Q335,1),"")</f>
        <v>G</v>
      </c>
      <c r="Q335" s="3">
        <v>138</v>
      </c>
      <c r="R335" s="3" t="str">
        <f>IFERROR(MID(VLOOKUP($B335,Seqs!$A:$B,2,0),S335,1),"")</f>
        <v>Y</v>
      </c>
      <c r="S335" s="3">
        <v>143</v>
      </c>
      <c r="T335" s="3" t="str">
        <f>IFERROR(MID(VLOOKUP($B335,Seqs!$A:$B,2,0),U335,1),"")</f>
        <v>G</v>
      </c>
      <c r="U335" s="3">
        <v>144</v>
      </c>
      <c r="V335" s="3" t="str">
        <f>IFERROR(MID(VLOOKUP($B335,Seqs!$A:$B,2,0),W335,1),"")</f>
        <v>N</v>
      </c>
      <c r="W335" s="3">
        <v>179</v>
      </c>
      <c r="X335" s="3" t="str">
        <f>IFERROR(MID(VLOOKUP($B335,Seqs!$A:$B,2,0),Y335,1),"")</f>
        <v/>
      </c>
      <c r="Y335" s="3" t="s">
        <v>23</v>
      </c>
      <c r="Z335" s="3" t="str">
        <f>IFERROR(MID(VLOOKUP($B335,Seqs!$A:$B,2,0),AA335,1),"")</f>
        <v/>
      </c>
      <c r="AA335" s="3" t="s">
        <v>23</v>
      </c>
      <c r="AB335" s="3" t="str">
        <f>IFERROR(MID(VLOOKUP($B335,Seqs!$A:$B,2,0),AC335,1),"")</f>
        <v>H</v>
      </c>
      <c r="AC335" s="3">
        <v>183</v>
      </c>
      <c r="AD335" s="3" t="str">
        <f>IFERROR(MID(VLOOKUP($B335,Seqs!$A:$B,2,0),AE335,1),"")</f>
        <v>V</v>
      </c>
      <c r="AE335" s="3">
        <v>211</v>
      </c>
      <c r="AF335" s="3" t="str">
        <f>IFERROR(MID(VLOOKUP($B335,Seqs!$A:$B,2,0),AG335,1),"")</f>
        <v>C</v>
      </c>
      <c r="AG335" s="3">
        <v>226</v>
      </c>
      <c r="AH335" s="3" t="str">
        <f>IFERROR(MID(VLOOKUP($B335,Seqs!$A:$B,2,0),AI335,1),"")</f>
        <v>D</v>
      </c>
      <c r="AI335" s="3">
        <v>228</v>
      </c>
      <c r="AJ335" s="3" t="str">
        <f>IFERROR(MID(VLOOKUP($B335,Seqs!$A:$B,2,0),AK335,1),"")</f>
        <v>L</v>
      </c>
      <c r="AK335" s="3">
        <v>235</v>
      </c>
      <c r="AL335" s="3" t="str">
        <f>IFERROR(MID(VLOOKUP($B335,Seqs!$A:$B,2,0),AM335,1),"")</f>
        <v>L</v>
      </c>
      <c r="AM335" s="3">
        <v>269</v>
      </c>
      <c r="AN335" s="3" t="str">
        <f>IFERROR(MID(VLOOKUP($B335,Seqs!$A:$B,2,0),AO335,1),"")</f>
        <v>S</v>
      </c>
      <c r="AO335" s="3">
        <v>278</v>
      </c>
      <c r="AP335" s="3" t="str">
        <f>IFERROR(MID(VLOOKUP($B335,Seqs!$A:$B,2,0),AQ335,1),"")</f>
        <v>Q</v>
      </c>
      <c r="AQ335" s="3">
        <v>317</v>
      </c>
      <c r="AR335" s="3" t="str">
        <f>IFERROR(MID(VLOOKUP($B335,Seqs!$A:$B,2,0),AS335,1),"")</f>
        <v>V</v>
      </c>
      <c r="AS335" s="3">
        <v>322</v>
      </c>
      <c r="AT335" s="3" t="str">
        <f>IFERROR(MID(VLOOKUP($B335,Seqs!$A:$B,2,0),AU335,1),"")</f>
        <v>V</v>
      </c>
      <c r="AU335" s="3">
        <v>347</v>
      </c>
      <c r="AV335" s="3" t="str">
        <f>IFERROR(MID(VLOOKUP($B335,Seqs!$A:$B,2,0),AW335,1),"")</f>
        <v>S</v>
      </c>
      <c r="AW335" s="3">
        <v>348</v>
      </c>
      <c r="AX335" s="3" t="str">
        <f>IFERROR(MID(VLOOKUP($B335,Seqs!$A:$B,2,0),AY335,1),"")</f>
        <v>L</v>
      </c>
      <c r="AY335" s="3">
        <v>359</v>
      </c>
      <c r="AZ335" s="77" t="str">
        <f>VLOOKUP(B335,Classification!A:D,2,0)</f>
        <v>A</v>
      </c>
      <c r="BA335" s="94" t="str">
        <f>VLOOKUP(B335,Classification!A:D,4,0)</f>
        <v>Proteinase-activated</v>
      </c>
      <c r="BB335" s="27" t="b">
        <f t="shared" si="2461"/>
        <v>1</v>
      </c>
      <c r="BC335" s="23">
        <f t="shared" si="2462"/>
        <v>252</v>
      </c>
      <c r="BD335" s="2" t="s">
        <v>1429</v>
      </c>
      <c r="BE335" s="3" t="s">
        <v>1428</v>
      </c>
      <c r="BF335" s="118">
        <v>2.8</v>
      </c>
      <c r="BG335" s="49" t="s">
        <v>1</v>
      </c>
      <c r="BH335" s="49" t="s">
        <v>1377</v>
      </c>
      <c r="BI335" s="1"/>
      <c r="BJ335" s="70" t="s">
        <v>1287</v>
      </c>
      <c r="BK335" s="57" t="s">
        <v>1287</v>
      </c>
      <c r="BL335" s="57" t="s">
        <v>1287</v>
      </c>
      <c r="BM335" s="57" t="s">
        <v>1287</v>
      </c>
      <c r="BN335" s="57" t="s">
        <v>1287</v>
      </c>
      <c r="BO335" s="57" t="s">
        <v>1287</v>
      </c>
      <c r="BP335" s="57" t="s">
        <v>1287</v>
      </c>
      <c r="BQ335" s="57" t="s">
        <v>1287</v>
      </c>
      <c r="BR335" s="57" t="s">
        <v>1287</v>
      </c>
      <c r="BS335" s="57" t="s">
        <v>1287</v>
      </c>
      <c r="BT335" s="57" t="s">
        <v>1287</v>
      </c>
      <c r="BU335" s="57" t="s">
        <v>1287</v>
      </c>
      <c r="BV335" s="70">
        <f t="shared" si="2463"/>
        <v>71</v>
      </c>
      <c r="BW335" s="71" t="str">
        <f t="shared" si="2464"/>
        <v>-</v>
      </c>
      <c r="BX335" s="72">
        <f t="shared" si="2465"/>
        <v>108</v>
      </c>
      <c r="BY335" s="71">
        <f t="shared" si="2466"/>
        <v>138</v>
      </c>
      <c r="BZ335" s="72">
        <f t="shared" si="2467"/>
        <v>144</v>
      </c>
      <c r="CA335" s="71" t="str">
        <f t="shared" si="2468"/>
        <v>-</v>
      </c>
      <c r="CB335" s="72">
        <f t="shared" si="2469"/>
        <v>183</v>
      </c>
      <c r="CC335" s="71">
        <f t="shared" si="2470"/>
        <v>226</v>
      </c>
      <c r="CD335" s="72">
        <f t="shared" si="2471"/>
        <v>235</v>
      </c>
      <c r="CE335" s="71">
        <f t="shared" si="2472"/>
        <v>278</v>
      </c>
      <c r="CF335" s="72">
        <f t="shared" si="2473"/>
        <v>322</v>
      </c>
      <c r="CG335" s="71">
        <f t="shared" si="2474"/>
        <v>348</v>
      </c>
      <c r="CH335" s="70">
        <f t="shared" si="2475"/>
        <v>103</v>
      </c>
      <c r="CI335" s="71" t="str">
        <f t="shared" si="2476"/>
        <v>-</v>
      </c>
      <c r="CJ335" s="72">
        <f t="shared" si="2477"/>
        <v>137</v>
      </c>
      <c r="CK335" s="72">
        <f t="shared" si="2478"/>
        <v>143</v>
      </c>
      <c r="CL335" s="72">
        <f t="shared" si="2479"/>
        <v>179</v>
      </c>
      <c r="CM335" s="72" t="str">
        <f t="shared" si="2480"/>
        <v>-</v>
      </c>
      <c r="CN335" s="72">
        <f t="shared" si="2481"/>
        <v>211</v>
      </c>
      <c r="CO335" s="72">
        <f t="shared" si="2482"/>
        <v>228</v>
      </c>
      <c r="CP335" s="72">
        <f t="shared" si="2483"/>
        <v>269</v>
      </c>
      <c r="CQ335" s="72">
        <f t="shared" si="2484"/>
        <v>317</v>
      </c>
      <c r="CR335" s="72">
        <f t="shared" si="2485"/>
        <v>347</v>
      </c>
      <c r="CS335" s="72">
        <f t="shared" si="2486"/>
        <v>359</v>
      </c>
      <c r="CT335" s="23" t="e">
        <f t="shared" si="2487"/>
        <v>#VALUE!</v>
      </c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  <c r="AMK335" s="1"/>
      <c r="AML335" s="1"/>
      <c r="AMM335" s="1"/>
      <c r="AMN335" s="1"/>
      <c r="AMO335" s="1"/>
    </row>
    <row r="336" spans="1:1029" x14ac:dyDescent="0.2">
      <c r="A336" s="3" t="str">
        <f t="shared" si="2460"/>
        <v>par2_human_5NDZ</v>
      </c>
      <c r="B336" s="3" t="s">
        <v>356</v>
      </c>
      <c r="C336" s="3" t="s">
        <v>1397</v>
      </c>
      <c r="D336" s="3" t="str">
        <f>IFERROR(MID(VLOOKUP($B336,Seqs!$A:$B,2,0),E336,1),"")</f>
        <v>G</v>
      </c>
      <c r="E336" s="3">
        <v>71</v>
      </c>
      <c r="F336" s="3" t="str">
        <f>IFERROR(MID(VLOOKUP($B336,Seqs!$A:$B,2,0),G336,1),"")</f>
        <v>R</v>
      </c>
      <c r="G336" s="3">
        <v>103</v>
      </c>
      <c r="H336" s="3" t="str">
        <f>IFERROR(MID(VLOOKUP($B336,Seqs!$A:$B,2,0),I336,1),"")</f>
        <v/>
      </c>
      <c r="I336" s="23" t="s">
        <v>23</v>
      </c>
      <c r="J336" s="3" t="str">
        <f>IFERROR(MID(VLOOKUP($B336,Seqs!$A:$B,2,0),K336,1),"")</f>
        <v/>
      </c>
      <c r="K336" s="23" t="s">
        <v>23</v>
      </c>
      <c r="L336" s="3" t="str">
        <f>IFERROR(MID(VLOOKUP($B336,Seqs!$A:$B,2,0),M336,1),"")</f>
        <v>H</v>
      </c>
      <c r="M336" s="3">
        <v>108</v>
      </c>
      <c r="N336" s="3" t="str">
        <f>IFERROR(MID(VLOOKUP($B336,Seqs!$A:$B,2,0),O336,1),"")</f>
        <v>H</v>
      </c>
      <c r="O336" s="3">
        <v>137</v>
      </c>
      <c r="P336" s="3" t="str">
        <f>IFERROR(MID(VLOOKUP($B336,Seqs!$A:$B,2,0),Q336,1),"")</f>
        <v>G</v>
      </c>
      <c r="Q336" s="3">
        <v>138</v>
      </c>
      <c r="R336" s="3" t="str">
        <f>IFERROR(MID(VLOOKUP($B336,Seqs!$A:$B,2,0),S336,1),"")</f>
        <v>Y</v>
      </c>
      <c r="S336" s="3">
        <v>143</v>
      </c>
      <c r="T336" s="3" t="str">
        <f>IFERROR(MID(VLOOKUP($B336,Seqs!$A:$B,2,0),U336,1),"")</f>
        <v>G</v>
      </c>
      <c r="U336" s="3">
        <v>144</v>
      </c>
      <c r="V336" s="3" t="str">
        <f>IFERROR(MID(VLOOKUP($B336,Seqs!$A:$B,2,0),W336,1),"")</f>
        <v>N</v>
      </c>
      <c r="W336" s="3">
        <v>179</v>
      </c>
      <c r="X336" s="3" t="str">
        <f>IFERROR(MID(VLOOKUP($B336,Seqs!$A:$B,2,0),Y336,1),"")</f>
        <v/>
      </c>
      <c r="Y336" s="3" t="s">
        <v>23</v>
      </c>
      <c r="Z336" s="3" t="str">
        <f>IFERROR(MID(VLOOKUP($B336,Seqs!$A:$B,2,0),AA336,1),"")</f>
        <v/>
      </c>
      <c r="AA336" s="3" t="s">
        <v>23</v>
      </c>
      <c r="AB336" s="3" t="str">
        <f>IFERROR(MID(VLOOKUP($B336,Seqs!$A:$B,2,0),AC336,1),"")</f>
        <v>H</v>
      </c>
      <c r="AC336" s="3">
        <v>183</v>
      </c>
      <c r="AD336" s="3" t="str">
        <f>IFERROR(MID(VLOOKUP($B336,Seqs!$A:$B,2,0),AE336,1),"")</f>
        <v>V</v>
      </c>
      <c r="AE336" s="3">
        <v>211</v>
      </c>
      <c r="AF336" s="3" t="str">
        <f>IFERROR(MID(VLOOKUP($B336,Seqs!$A:$B,2,0),AG336,1),"")</f>
        <v>C</v>
      </c>
      <c r="AG336" s="3">
        <v>226</v>
      </c>
      <c r="AH336" s="3" t="str">
        <f>IFERROR(MID(VLOOKUP($B336,Seqs!$A:$B,2,0),AI336,1),"")</f>
        <v>D</v>
      </c>
      <c r="AI336" s="3">
        <v>228</v>
      </c>
      <c r="AJ336" s="3" t="str">
        <f>IFERROR(MID(VLOOKUP($B336,Seqs!$A:$B,2,0),AK336,1),"")</f>
        <v>L</v>
      </c>
      <c r="AK336" s="3">
        <v>235</v>
      </c>
      <c r="AL336" s="3" t="str">
        <f>IFERROR(MID(VLOOKUP($B336,Seqs!$A:$B,2,0),AM336,1),"")</f>
        <v>L</v>
      </c>
      <c r="AM336" s="3">
        <v>269</v>
      </c>
      <c r="AN336" s="3" t="str">
        <f>IFERROR(MID(VLOOKUP($B336,Seqs!$A:$B,2,0),AO336,1),"")</f>
        <v>S</v>
      </c>
      <c r="AO336" s="3">
        <v>278</v>
      </c>
      <c r="AP336" s="3" t="str">
        <f>IFERROR(MID(VLOOKUP($B336,Seqs!$A:$B,2,0),AQ336,1),"")</f>
        <v>Q</v>
      </c>
      <c r="AQ336" s="3">
        <v>317</v>
      </c>
      <c r="AR336" s="3" t="str">
        <f>IFERROR(MID(VLOOKUP($B336,Seqs!$A:$B,2,0),AS336,1),"")</f>
        <v>V</v>
      </c>
      <c r="AS336" s="3">
        <v>322</v>
      </c>
      <c r="AT336" s="3" t="str">
        <f>IFERROR(MID(VLOOKUP($B336,Seqs!$A:$B,2,0),AU336,1),"")</f>
        <v>S</v>
      </c>
      <c r="AU336" s="3">
        <v>348</v>
      </c>
      <c r="AV336" s="3" t="str">
        <f>IFERROR(MID(VLOOKUP($B336,Seqs!$A:$B,2,0),AW336,1),"")</f>
        <v>H</v>
      </c>
      <c r="AW336" s="3">
        <v>349</v>
      </c>
      <c r="AX336" s="3" t="str">
        <f>IFERROR(MID(VLOOKUP($B336,Seqs!$A:$B,2,0),AY336,1),"")</f>
        <v>L</v>
      </c>
      <c r="AY336" s="3">
        <v>359</v>
      </c>
      <c r="AZ336" s="77" t="str">
        <f>VLOOKUP(B336,Classification!A:D,2,0)</f>
        <v>A</v>
      </c>
      <c r="BA336" s="94" t="str">
        <f>VLOOKUP(B336,Classification!A:D,4,0)</f>
        <v>Proteinase-activated</v>
      </c>
      <c r="BB336" s="27" t="b">
        <f t="shared" si="2461"/>
        <v>1</v>
      </c>
      <c r="BC336" s="23">
        <f t="shared" si="2462"/>
        <v>252</v>
      </c>
      <c r="BD336" s="2" t="s">
        <v>23</v>
      </c>
      <c r="BE336" s="3" t="s">
        <v>1428</v>
      </c>
      <c r="BF336" s="118">
        <v>3.6</v>
      </c>
      <c r="BG336" s="49" t="s">
        <v>1</v>
      </c>
      <c r="BH336" s="49" t="s">
        <v>1377</v>
      </c>
      <c r="BI336" s="1"/>
      <c r="BJ336" s="70" t="s">
        <v>1287</v>
      </c>
      <c r="BK336" s="57" t="s">
        <v>1287</v>
      </c>
      <c r="BL336" s="57" t="s">
        <v>1287</v>
      </c>
      <c r="BM336" s="57" t="s">
        <v>1287</v>
      </c>
      <c r="BN336" s="57" t="s">
        <v>1287</v>
      </c>
      <c r="BO336" s="57" t="s">
        <v>1287</v>
      </c>
      <c r="BP336" s="57" t="s">
        <v>1287</v>
      </c>
      <c r="BQ336" s="57" t="s">
        <v>1287</v>
      </c>
      <c r="BR336" s="57" t="s">
        <v>1287</v>
      </c>
      <c r="BS336" s="57" t="s">
        <v>1287</v>
      </c>
      <c r="BT336" s="57" t="s">
        <v>1287</v>
      </c>
      <c r="BU336" s="57" t="s">
        <v>1287</v>
      </c>
      <c r="BV336" s="70">
        <f t="shared" si="2463"/>
        <v>71</v>
      </c>
      <c r="BW336" s="71" t="str">
        <f t="shared" si="2464"/>
        <v>-</v>
      </c>
      <c r="BX336" s="72">
        <f t="shared" si="2465"/>
        <v>108</v>
      </c>
      <c r="BY336" s="71">
        <f t="shared" si="2466"/>
        <v>138</v>
      </c>
      <c r="BZ336" s="72">
        <f t="shared" si="2467"/>
        <v>144</v>
      </c>
      <c r="CA336" s="71" t="str">
        <f t="shared" si="2468"/>
        <v>-</v>
      </c>
      <c r="CB336" s="72">
        <f t="shared" si="2469"/>
        <v>183</v>
      </c>
      <c r="CC336" s="71">
        <f t="shared" si="2470"/>
        <v>226</v>
      </c>
      <c r="CD336" s="72">
        <f t="shared" si="2471"/>
        <v>235</v>
      </c>
      <c r="CE336" s="71">
        <f t="shared" si="2472"/>
        <v>278</v>
      </c>
      <c r="CF336" s="72">
        <f t="shared" si="2473"/>
        <v>322</v>
      </c>
      <c r="CG336" s="71">
        <f t="shared" si="2474"/>
        <v>349</v>
      </c>
      <c r="CH336" s="70">
        <f t="shared" si="2475"/>
        <v>103</v>
      </c>
      <c r="CI336" s="71" t="str">
        <f t="shared" si="2476"/>
        <v>-</v>
      </c>
      <c r="CJ336" s="72">
        <f t="shared" si="2477"/>
        <v>137</v>
      </c>
      <c r="CK336" s="72">
        <f t="shared" si="2478"/>
        <v>143</v>
      </c>
      <c r="CL336" s="72">
        <f t="shared" si="2479"/>
        <v>179</v>
      </c>
      <c r="CM336" s="72" t="str">
        <f t="shared" si="2480"/>
        <v>-</v>
      </c>
      <c r="CN336" s="72">
        <f t="shared" si="2481"/>
        <v>211</v>
      </c>
      <c r="CO336" s="72">
        <f t="shared" si="2482"/>
        <v>228</v>
      </c>
      <c r="CP336" s="72">
        <f t="shared" si="2483"/>
        <v>269</v>
      </c>
      <c r="CQ336" s="72">
        <f t="shared" si="2484"/>
        <v>317</v>
      </c>
      <c r="CR336" s="72">
        <f t="shared" si="2485"/>
        <v>348</v>
      </c>
      <c r="CS336" s="72">
        <f t="shared" si="2486"/>
        <v>359</v>
      </c>
      <c r="CT336" s="23" t="e">
        <f t="shared" si="2487"/>
        <v>#VALUE!</v>
      </c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  <c r="AMK336" s="1"/>
      <c r="AML336" s="1"/>
      <c r="AMM336" s="1"/>
      <c r="AMN336" s="1"/>
      <c r="AMO336" s="1"/>
    </row>
    <row r="337" spans="1:1029" x14ac:dyDescent="0.2">
      <c r="A337" s="3" t="str">
        <f t="shared" si="2460"/>
        <v>par2_human_5NJ6</v>
      </c>
      <c r="B337" s="3" t="s">
        <v>356</v>
      </c>
      <c r="C337" s="3" t="s">
        <v>1398</v>
      </c>
      <c r="D337" s="3" t="str">
        <f>IFERROR(MID(VLOOKUP($B337,Seqs!$A:$B,2,0),E337,1),"")</f>
        <v>G</v>
      </c>
      <c r="E337" s="3">
        <v>71</v>
      </c>
      <c r="F337" s="3" t="str">
        <f>IFERROR(MID(VLOOKUP($B337,Seqs!$A:$B,2,0),G337,1),"")</f>
        <v>R</v>
      </c>
      <c r="G337" s="3">
        <v>103</v>
      </c>
      <c r="H337" s="3" t="str">
        <f>IFERROR(MID(VLOOKUP($B337,Seqs!$A:$B,2,0),I337,1),"")</f>
        <v/>
      </c>
      <c r="I337" s="23" t="s">
        <v>23</v>
      </c>
      <c r="J337" s="3" t="str">
        <f>IFERROR(MID(VLOOKUP($B337,Seqs!$A:$B,2,0),K337,1),"")</f>
        <v/>
      </c>
      <c r="K337" s="23" t="s">
        <v>23</v>
      </c>
      <c r="L337" s="3" t="str">
        <f>IFERROR(MID(VLOOKUP($B337,Seqs!$A:$B,2,0),M337,1),"")</f>
        <v>H</v>
      </c>
      <c r="M337" s="3">
        <v>108</v>
      </c>
      <c r="N337" s="3" t="str">
        <f>IFERROR(MID(VLOOKUP($B337,Seqs!$A:$B,2,0),O337,1),"")</f>
        <v>H</v>
      </c>
      <c r="O337" s="3">
        <v>137</v>
      </c>
      <c r="P337" s="3" t="str">
        <f>IFERROR(MID(VLOOKUP($B337,Seqs!$A:$B,2,0),Q337,1),"")</f>
        <v>G</v>
      </c>
      <c r="Q337" s="3">
        <v>138</v>
      </c>
      <c r="R337" s="3" t="str">
        <f>IFERROR(MID(VLOOKUP($B337,Seqs!$A:$B,2,0),S337,1),"")</f>
        <v>Y</v>
      </c>
      <c r="S337" s="3">
        <v>143</v>
      </c>
      <c r="T337" s="3" t="str">
        <f>IFERROR(MID(VLOOKUP($B337,Seqs!$A:$B,2,0),U337,1),"")</f>
        <v>G</v>
      </c>
      <c r="U337" s="3">
        <v>144</v>
      </c>
      <c r="V337" s="3" t="str">
        <f>IFERROR(MID(VLOOKUP($B337,Seqs!$A:$B,2,0),W337,1),"")</f>
        <v>N</v>
      </c>
      <c r="W337" s="3">
        <v>179</v>
      </c>
      <c r="X337" s="3" t="str">
        <f>IFERROR(MID(VLOOKUP($B337,Seqs!$A:$B,2,0),Y337,1),"")</f>
        <v/>
      </c>
      <c r="Y337" s="3" t="s">
        <v>23</v>
      </c>
      <c r="Z337" s="3" t="str">
        <f>IFERROR(MID(VLOOKUP($B337,Seqs!$A:$B,2,0),AA337,1),"")</f>
        <v/>
      </c>
      <c r="AA337" s="3" t="s">
        <v>23</v>
      </c>
      <c r="AB337" s="3" t="str">
        <f>IFERROR(MID(VLOOKUP($B337,Seqs!$A:$B,2,0),AC337,1),"")</f>
        <v>H</v>
      </c>
      <c r="AC337" s="3">
        <v>183</v>
      </c>
      <c r="AD337" s="3" t="str">
        <f>IFERROR(MID(VLOOKUP($B337,Seqs!$A:$B,2,0),AE337,1),"")</f>
        <v>V</v>
      </c>
      <c r="AE337" s="3">
        <v>211</v>
      </c>
      <c r="AF337" s="3" t="str">
        <f>IFERROR(MID(VLOOKUP($B337,Seqs!$A:$B,2,0),AG337,1),"")</f>
        <v>C</v>
      </c>
      <c r="AG337" s="3">
        <v>226</v>
      </c>
      <c r="AH337" s="3" t="str">
        <f>IFERROR(MID(VLOOKUP($B337,Seqs!$A:$B,2,0),AI337,1),"")</f>
        <v>D</v>
      </c>
      <c r="AI337" s="3">
        <v>228</v>
      </c>
      <c r="AJ337" s="3" t="str">
        <f>IFERROR(MID(VLOOKUP($B337,Seqs!$A:$B,2,0),AK337,1),"")</f>
        <v>L</v>
      </c>
      <c r="AK337" s="3">
        <v>235</v>
      </c>
      <c r="AL337" s="3" t="str">
        <f>IFERROR(MID(VLOOKUP($B337,Seqs!$A:$B,2,0),AM337,1),"")</f>
        <v>L</v>
      </c>
      <c r="AM337" s="3">
        <v>269</v>
      </c>
      <c r="AN337" s="3" t="str">
        <f>IFERROR(MID(VLOOKUP($B337,Seqs!$A:$B,2,0),AO337,1),"")</f>
        <v>S</v>
      </c>
      <c r="AO337" s="3">
        <v>278</v>
      </c>
      <c r="AP337" s="3" t="str">
        <f>IFERROR(MID(VLOOKUP($B337,Seqs!$A:$B,2,0),AQ337,1),"")</f>
        <v>Q</v>
      </c>
      <c r="AQ337" s="3">
        <v>317</v>
      </c>
      <c r="AR337" s="3" t="str">
        <f>IFERROR(MID(VLOOKUP($B337,Seqs!$A:$B,2,0),AS337,1),"")</f>
        <v>V</v>
      </c>
      <c r="AS337" s="3">
        <v>322</v>
      </c>
      <c r="AT337" s="3" t="str">
        <f>IFERROR(MID(VLOOKUP($B337,Seqs!$A:$B,2,0),AU337,1),"")</f>
        <v>S</v>
      </c>
      <c r="AU337" s="3">
        <v>348</v>
      </c>
      <c r="AV337" s="3" t="str">
        <f>IFERROR(MID(VLOOKUP($B337,Seqs!$A:$B,2,0),AW337,1),"")</f>
        <v>H</v>
      </c>
      <c r="AW337" s="3">
        <v>349</v>
      </c>
      <c r="AX337" s="3" t="str">
        <f>IFERROR(MID(VLOOKUP($B337,Seqs!$A:$B,2,0),AY337,1),"")</f>
        <v>L</v>
      </c>
      <c r="AY337" s="3">
        <v>359</v>
      </c>
      <c r="AZ337" s="77" t="str">
        <f>VLOOKUP(B337,Classification!A:D,2,0)</f>
        <v>A</v>
      </c>
      <c r="BA337" s="94" t="str">
        <f>VLOOKUP(B337,Classification!A:D,4,0)</f>
        <v>Proteinase-activated</v>
      </c>
      <c r="BB337" s="27" t="b">
        <f t="shared" si="2461"/>
        <v>1</v>
      </c>
      <c r="BC337" s="23">
        <f t="shared" si="2462"/>
        <v>252</v>
      </c>
      <c r="BD337" s="2" t="s">
        <v>23</v>
      </c>
      <c r="BE337" s="3" t="s">
        <v>1428</v>
      </c>
      <c r="BF337" s="118">
        <v>4</v>
      </c>
      <c r="BG337" s="49" t="s">
        <v>1</v>
      </c>
      <c r="BH337" s="49" t="s">
        <v>1377</v>
      </c>
      <c r="BI337" s="1"/>
      <c r="BJ337" s="70" t="s">
        <v>1287</v>
      </c>
      <c r="BK337" s="57" t="s">
        <v>1287</v>
      </c>
      <c r="BL337" s="57" t="s">
        <v>1287</v>
      </c>
      <c r="BM337" s="57" t="s">
        <v>1287</v>
      </c>
      <c r="BN337" s="57" t="s">
        <v>1287</v>
      </c>
      <c r="BO337" s="57" t="s">
        <v>1287</v>
      </c>
      <c r="BP337" s="57" t="s">
        <v>1287</v>
      </c>
      <c r="BQ337" s="57" t="s">
        <v>1287</v>
      </c>
      <c r="BR337" s="57" t="s">
        <v>1287</v>
      </c>
      <c r="BS337" s="57" t="s">
        <v>1287</v>
      </c>
      <c r="BT337" s="57" t="s">
        <v>1287</v>
      </c>
      <c r="BU337" s="57" t="s">
        <v>1287</v>
      </c>
      <c r="BV337" s="70">
        <f t="shared" si="2463"/>
        <v>71</v>
      </c>
      <c r="BW337" s="71" t="str">
        <f t="shared" si="2464"/>
        <v>-</v>
      </c>
      <c r="BX337" s="72">
        <f t="shared" si="2465"/>
        <v>108</v>
      </c>
      <c r="BY337" s="71">
        <f t="shared" si="2466"/>
        <v>138</v>
      </c>
      <c r="BZ337" s="72">
        <f t="shared" si="2467"/>
        <v>144</v>
      </c>
      <c r="CA337" s="71" t="str">
        <f t="shared" si="2468"/>
        <v>-</v>
      </c>
      <c r="CB337" s="72">
        <f t="shared" si="2469"/>
        <v>183</v>
      </c>
      <c r="CC337" s="71">
        <f t="shared" si="2470"/>
        <v>226</v>
      </c>
      <c r="CD337" s="72">
        <f t="shared" si="2471"/>
        <v>235</v>
      </c>
      <c r="CE337" s="71">
        <f t="shared" si="2472"/>
        <v>278</v>
      </c>
      <c r="CF337" s="72">
        <f t="shared" si="2473"/>
        <v>322</v>
      </c>
      <c r="CG337" s="71">
        <f t="shared" si="2474"/>
        <v>349</v>
      </c>
      <c r="CH337" s="70">
        <f t="shared" si="2475"/>
        <v>103</v>
      </c>
      <c r="CI337" s="71" t="str">
        <f t="shared" si="2476"/>
        <v>-</v>
      </c>
      <c r="CJ337" s="72">
        <f t="shared" si="2477"/>
        <v>137</v>
      </c>
      <c r="CK337" s="72">
        <f t="shared" si="2478"/>
        <v>143</v>
      </c>
      <c r="CL337" s="72">
        <f t="shared" si="2479"/>
        <v>179</v>
      </c>
      <c r="CM337" s="72" t="str">
        <f t="shared" si="2480"/>
        <v>-</v>
      </c>
      <c r="CN337" s="72">
        <f t="shared" si="2481"/>
        <v>211</v>
      </c>
      <c r="CO337" s="72">
        <f t="shared" si="2482"/>
        <v>228</v>
      </c>
      <c r="CP337" s="72">
        <f t="shared" si="2483"/>
        <v>269</v>
      </c>
      <c r="CQ337" s="72">
        <f t="shared" si="2484"/>
        <v>317</v>
      </c>
      <c r="CR337" s="72">
        <f t="shared" si="2485"/>
        <v>348</v>
      </c>
      <c r="CS337" s="72">
        <f t="shared" si="2486"/>
        <v>359</v>
      </c>
      <c r="CT337" s="23" t="e">
        <f t="shared" si="2487"/>
        <v>#VALUE!</v>
      </c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  <c r="AMK337" s="1"/>
      <c r="AML337" s="1"/>
      <c r="AMM337" s="1"/>
      <c r="AMN337" s="1"/>
      <c r="AMO337" s="1"/>
    </row>
    <row r="338" spans="1:1029" x14ac:dyDescent="0.2">
      <c r="A338" s="3" t="str">
        <f t="shared" ref="A338" si="2488">CONCATENATE(B338,"_",C338)</f>
        <v>pd2r2_human__wt</v>
      </c>
      <c r="B338" s="3" t="s">
        <v>360</v>
      </c>
      <c r="C338" s="3" t="s">
        <v>100</v>
      </c>
      <c r="D338" s="3" t="str">
        <f>IFERROR(MID(VLOOKUP($B338,Seqs!$A:$B,2,0),E338,1),"")</f>
        <v>D</v>
      </c>
      <c r="E338" s="3">
        <v>32</v>
      </c>
      <c r="F338" s="3" t="str">
        <f>IFERROR(MID(VLOOKUP($B338,Seqs!$A:$B,2,0),G338,1),"")</f>
        <v>R</v>
      </c>
      <c r="G338" s="3">
        <v>60</v>
      </c>
      <c r="H338" s="3" t="str">
        <f>IFERROR(MID(VLOOKUP($B338,Seqs!$A:$B,2,0),I338,1),"")</f>
        <v/>
      </c>
      <c r="I338" s="23" t="s">
        <v>23</v>
      </c>
      <c r="J338" s="3" t="str">
        <f>IFERROR(MID(VLOOKUP($B338,Seqs!$A:$B,2,0),K338,1),"")</f>
        <v/>
      </c>
      <c r="K338" s="23" t="s">
        <v>23</v>
      </c>
      <c r="L338" s="3" t="str">
        <f>IFERROR(MID(VLOOKUP($B338,Seqs!$A:$B,2,0),M338,1),"")</f>
        <v>T</v>
      </c>
      <c r="M338" s="3">
        <v>64</v>
      </c>
      <c r="N338" s="3" t="str">
        <f>IFERROR(MID(VLOOKUP($B338,Seqs!$A:$B,2,0),O338,1),"")</f>
        <v>G</v>
      </c>
      <c r="O338" s="3">
        <v>94</v>
      </c>
      <c r="P338" s="3" t="str">
        <f>IFERROR(MID(VLOOKUP($B338,Seqs!$A:$B,2,0),Q338,1),"")</f>
        <v>S</v>
      </c>
      <c r="Q338" s="3">
        <v>96</v>
      </c>
      <c r="R338" s="3" t="str">
        <f>IFERROR(MID(VLOOKUP($B338,Seqs!$A:$B,2,0),S338,1),"")</f>
        <v>L</v>
      </c>
      <c r="S338" s="3">
        <v>99</v>
      </c>
      <c r="T338" s="3" t="str">
        <f>IFERROR(MID(VLOOKUP($B338,Seqs!$A:$B,2,0),U338,1),"")</f>
        <v>G</v>
      </c>
      <c r="U338" s="3">
        <v>100</v>
      </c>
      <c r="V338" s="3" t="str">
        <f>IFERROR(MID(VLOOKUP($B338,Seqs!$A:$B,2,0),W338,1),"")</f>
        <v>R</v>
      </c>
      <c r="W338" s="3">
        <v>135</v>
      </c>
      <c r="X338" s="3" t="str">
        <f>IFERROR(MID(VLOOKUP($B338,Seqs!$A:$B,2,0),Y338,1),"")</f>
        <v>P</v>
      </c>
      <c r="Y338" s="3">
        <v>136</v>
      </c>
      <c r="Z338" s="3" t="str">
        <f>IFERROR(MID(VLOOKUP($B338,Seqs!$A:$B,2,0),AA338,1),"")</f>
        <v>R</v>
      </c>
      <c r="AA338" s="3">
        <v>143</v>
      </c>
      <c r="AB338" s="3" t="str">
        <f>IFERROR(MID(VLOOKUP($B338,Seqs!$A:$B,2,0),AC338,1),"")</f>
        <v>T</v>
      </c>
      <c r="AC338" s="3">
        <v>144</v>
      </c>
      <c r="AD338" s="3" t="str">
        <f>IFERROR(MID(VLOOKUP($B338,Seqs!$A:$B,2,0),AE338,1),"")</f>
        <v>R</v>
      </c>
      <c r="AE338" s="3">
        <v>170</v>
      </c>
      <c r="AF338" s="3" t="str">
        <f>IFERROR(MID(VLOOKUP($B338,Seqs!$A:$B,2,0),AG338,1),"")</f>
        <v>C</v>
      </c>
      <c r="AG338" s="3">
        <v>182</v>
      </c>
      <c r="AH338" s="3" t="str">
        <f>IFERROR(MID(VLOOKUP($B338,Seqs!$A:$B,2,0),AI338,1),"")</f>
        <v>Y</v>
      </c>
      <c r="AI338" s="3">
        <v>184</v>
      </c>
      <c r="AJ338" s="3" t="str">
        <f>IFERROR(MID(VLOOKUP($B338,Seqs!$A:$B,2,0),AK338,1),"")</f>
        <v>D</v>
      </c>
      <c r="AK338" s="3">
        <v>194</v>
      </c>
      <c r="AL338" s="3" t="str">
        <f>IFERROR(MID(VLOOKUP($B338,Seqs!$A:$B,2,0),AM338,1),"")</f>
        <v>R</v>
      </c>
      <c r="AM338" s="3">
        <v>236</v>
      </c>
      <c r="AN338" s="3" t="str">
        <f>IFERROR(MID(VLOOKUP($B338,Seqs!$A:$B,2,0),AO338,1),"")</f>
        <v>P</v>
      </c>
      <c r="AO338" s="3">
        <v>241</v>
      </c>
      <c r="AP338" s="3" t="str">
        <f>IFERROR(MID(VLOOKUP($B338,Seqs!$A:$B,2,0),AQ338,1),"")</f>
        <v>A</v>
      </c>
      <c r="AQ338" s="3">
        <v>272</v>
      </c>
      <c r="AR338" s="3" t="str">
        <f>IFERROR(MID(VLOOKUP($B338,Seqs!$A:$B,2,0),AS338,1),"")</f>
        <v>L</v>
      </c>
      <c r="AS338" s="3">
        <v>278</v>
      </c>
      <c r="AT338" s="3" t="str">
        <f>IFERROR(MID(VLOOKUP($B338,Seqs!$A:$B,2,0),AU338,1),"")</f>
        <v>T</v>
      </c>
      <c r="AU338" s="3">
        <v>307</v>
      </c>
      <c r="AV338" s="3" t="str">
        <f>IFERROR(MID(VLOOKUP($B338,Seqs!$A:$B,2,0),AW338,1),"")</f>
        <v>C</v>
      </c>
      <c r="AW338" s="3">
        <v>308</v>
      </c>
      <c r="AX338" s="3" t="str">
        <f>IFERROR(MID(VLOOKUP($B338,Seqs!$A:$B,2,0),AY338,1),"")</f>
        <v>S</v>
      </c>
      <c r="AY338" s="3">
        <v>325</v>
      </c>
      <c r="AZ338" s="77" t="str">
        <f>VLOOKUP(B338,Classification!A:D,2,0)</f>
        <v>A</v>
      </c>
      <c r="BA338" s="94" t="str">
        <f>VLOOKUP(B338,Classification!A:D,4,0)</f>
        <v>Prostanoid</v>
      </c>
      <c r="BB338" s="27" t="b">
        <f t="shared" ref="BB338" si="2489">AND(E338&lt;G338,OR(G338&lt;I338,I338="-"),OR(I338&lt;K338,I338="-"),OR(K338&lt;M338,K338="-"),M338&lt;O338,OR(O338&lt;Q338,Q338="-"),OR(Q338&lt;S338,Q338="-"),OR(S338&lt;U338,S338="-"),U338&lt;W338,OR(W338&lt;Y338,Y338="-"),OR(Y338&lt;AA338,Y338="-"),OR(AA338&lt;AC338,AA338="-"),AC338&lt;AE338,OR(AE338&lt;AG338,AG338="-"),OR(AG338&lt;AI338,AG338="-"),OR(AI338&lt;AK338,AI338="-"),AK338&lt;AM338,AM338&lt;AO338,AO338&lt;AQ338,AQ338&lt;AS338,AS338&lt;AU338,OR(AU338&lt;AW338,AW338="-"),OR(AW338&lt;AY338,AW338="-"))</f>
        <v>1</v>
      </c>
      <c r="BC338" s="23">
        <f t="shared" ref="BC338" si="2490">_xlfn.AGGREGATE(9,6,CH338:CS338)-_xlfn.AGGREGATE(9,6,BV338:CG338)+12</f>
        <v>262</v>
      </c>
      <c r="BD338" s="2" t="s">
        <v>23</v>
      </c>
      <c r="BE338" s="3" t="s">
        <v>23</v>
      </c>
      <c r="BF338" s="118" t="s">
        <v>23</v>
      </c>
      <c r="BG338" s="49" t="s">
        <v>23</v>
      </c>
      <c r="BH338" s="49" t="s">
        <v>23</v>
      </c>
      <c r="BI338" s="1"/>
      <c r="BJ338" s="70" t="s">
        <v>1287</v>
      </c>
      <c r="BK338" s="57" t="s">
        <v>1287</v>
      </c>
      <c r="BL338" s="57" t="s">
        <v>1287</v>
      </c>
      <c r="BM338" s="57" t="s">
        <v>1287</v>
      </c>
      <c r="BN338" s="57" t="s">
        <v>1287</v>
      </c>
      <c r="BO338" s="57" t="s">
        <v>1287</v>
      </c>
      <c r="BP338" s="57" t="s">
        <v>1287</v>
      </c>
      <c r="BQ338" s="57" t="s">
        <v>1287</v>
      </c>
      <c r="BR338" s="57" t="s">
        <v>1287</v>
      </c>
      <c r="BS338" s="57" t="s">
        <v>1287</v>
      </c>
      <c r="BT338" s="57" t="s">
        <v>1287</v>
      </c>
      <c r="BU338" s="57" t="s">
        <v>1287</v>
      </c>
      <c r="BV338" s="70">
        <f t="shared" ref="BV338" si="2491">E338</f>
        <v>32</v>
      </c>
      <c r="BW338" s="71" t="str">
        <f t="shared" ref="BW338" si="2492">I338</f>
        <v>-</v>
      </c>
      <c r="BX338" s="72">
        <f t="shared" ref="BX338" si="2493">M338</f>
        <v>64</v>
      </c>
      <c r="BY338" s="71">
        <f t="shared" ref="BY338" si="2494">Q338</f>
        <v>96</v>
      </c>
      <c r="BZ338" s="72">
        <f t="shared" ref="BZ338" si="2495">U338</f>
        <v>100</v>
      </c>
      <c r="CA338" s="71">
        <f t="shared" ref="CA338" si="2496">Y338</f>
        <v>136</v>
      </c>
      <c r="CB338" s="72">
        <f t="shared" ref="CB338" si="2497">AC338</f>
        <v>144</v>
      </c>
      <c r="CC338" s="71">
        <f t="shared" ref="CC338" si="2498">AG338</f>
        <v>182</v>
      </c>
      <c r="CD338" s="72">
        <f t="shared" ref="CD338" si="2499">AK338</f>
        <v>194</v>
      </c>
      <c r="CE338" s="71">
        <f t="shared" ref="CE338" si="2500">AO338</f>
        <v>241</v>
      </c>
      <c r="CF338" s="72">
        <f t="shared" ref="CF338" si="2501">AS338</f>
        <v>278</v>
      </c>
      <c r="CG338" s="71">
        <f t="shared" ref="CG338" si="2502">AW338</f>
        <v>308</v>
      </c>
      <c r="CH338" s="70">
        <f t="shared" ref="CH338" si="2503">G338</f>
        <v>60</v>
      </c>
      <c r="CI338" s="71" t="str">
        <f t="shared" ref="CI338" si="2504">K338</f>
        <v>-</v>
      </c>
      <c r="CJ338" s="72">
        <f t="shared" ref="CJ338" si="2505">O338</f>
        <v>94</v>
      </c>
      <c r="CK338" s="72">
        <f t="shared" ref="CK338" si="2506">S338</f>
        <v>99</v>
      </c>
      <c r="CL338" s="72">
        <f t="shared" ref="CL338" si="2507">W338</f>
        <v>135</v>
      </c>
      <c r="CM338" s="72">
        <f t="shared" ref="CM338" si="2508">AA338</f>
        <v>143</v>
      </c>
      <c r="CN338" s="72">
        <f t="shared" ref="CN338" si="2509">AE338</f>
        <v>170</v>
      </c>
      <c r="CO338" s="72">
        <f t="shared" ref="CO338" si="2510">AI338</f>
        <v>184</v>
      </c>
      <c r="CP338" s="72">
        <f t="shared" ref="CP338" si="2511">AM338</f>
        <v>236</v>
      </c>
      <c r="CQ338" s="72">
        <f t="shared" ref="CQ338" si="2512">AQ338</f>
        <v>272</v>
      </c>
      <c r="CR338" s="72">
        <f t="shared" ref="CR338" si="2513">AU338</f>
        <v>307</v>
      </c>
      <c r="CS338" s="72">
        <f t="shared" ref="CS338" si="2514">AY338</f>
        <v>325</v>
      </c>
      <c r="CT338" s="23" t="e">
        <f t="shared" ref="CT338" si="2515">M338-K338</f>
        <v>#VALUE!</v>
      </c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  <c r="AMK338" s="1"/>
      <c r="AML338" s="1"/>
      <c r="AMM338" s="1"/>
      <c r="AMN338" s="1"/>
      <c r="AMO338" s="1"/>
    </row>
    <row r="339" spans="1:1029" x14ac:dyDescent="0.2">
      <c r="A339" s="3" t="str">
        <f t="shared" ref="A339" si="2516">CONCATENATE(B339,"_",C339)</f>
        <v>pd2r2_human_6D26</v>
      </c>
      <c r="B339" s="3" t="s">
        <v>360</v>
      </c>
      <c r="C339" s="3" t="s">
        <v>1517</v>
      </c>
      <c r="D339" s="3" t="str">
        <f>IFERROR(MID(VLOOKUP($B339,Seqs!$A:$B,2,0),E339,1),"")</f>
        <v>D</v>
      </c>
      <c r="E339" s="3">
        <v>32</v>
      </c>
      <c r="F339" s="3" t="str">
        <f>IFERROR(MID(VLOOKUP($B339,Seqs!$A:$B,2,0),G339,1),"")</f>
        <v>R</v>
      </c>
      <c r="G339" s="3">
        <v>60</v>
      </c>
      <c r="H339" s="3" t="str">
        <f>IFERROR(MID(VLOOKUP($B339,Seqs!$A:$B,2,0),I339,1),"")</f>
        <v/>
      </c>
      <c r="I339" s="23" t="s">
        <v>23</v>
      </c>
      <c r="J339" s="3" t="str">
        <f>IFERROR(MID(VLOOKUP($B339,Seqs!$A:$B,2,0),K339,1),"")</f>
        <v/>
      </c>
      <c r="K339" s="23" t="s">
        <v>23</v>
      </c>
      <c r="L339" s="3" t="str">
        <f>IFERROR(MID(VLOOKUP($B339,Seqs!$A:$B,2,0),M339,1),"")</f>
        <v>T</v>
      </c>
      <c r="M339" s="3">
        <v>64</v>
      </c>
      <c r="N339" s="3" t="str">
        <f>IFERROR(MID(VLOOKUP($B339,Seqs!$A:$B,2,0),O339,1),"")</f>
        <v>G</v>
      </c>
      <c r="O339" s="3">
        <v>94</v>
      </c>
      <c r="P339" s="3" t="str">
        <f>IFERROR(MID(VLOOKUP($B339,Seqs!$A:$B,2,0),Q339,1),"")</f>
        <v>S</v>
      </c>
      <c r="Q339" s="3">
        <v>96</v>
      </c>
      <c r="R339" s="3" t="str">
        <f>IFERROR(MID(VLOOKUP($B339,Seqs!$A:$B,2,0),S339,1),"")</f>
        <v>L</v>
      </c>
      <c r="S339" s="3">
        <v>99</v>
      </c>
      <c r="T339" s="3" t="str">
        <f>IFERROR(MID(VLOOKUP($B339,Seqs!$A:$B,2,0),U339,1),"")</f>
        <v>T</v>
      </c>
      <c r="U339" s="3">
        <v>101</v>
      </c>
      <c r="V339" s="3" t="str">
        <f>IFERROR(MID(VLOOKUP($B339,Seqs!$A:$B,2,0),W339,1),"")</f>
        <v>R</v>
      </c>
      <c r="W339" s="3">
        <v>135</v>
      </c>
      <c r="X339" s="3" t="str">
        <f>IFERROR(MID(VLOOKUP($B339,Seqs!$A:$B,2,0),Y339,1),"")</f>
        <v>P</v>
      </c>
      <c r="Y339" s="3">
        <v>136</v>
      </c>
      <c r="Z339" s="3" t="str">
        <f>IFERROR(MID(VLOOKUP($B339,Seqs!$A:$B,2,0),AA339,1),"")</f>
        <v>R</v>
      </c>
      <c r="AA339" s="3">
        <v>143</v>
      </c>
      <c r="AB339" s="3" t="str">
        <f>IFERROR(MID(VLOOKUP($B339,Seqs!$A:$B,2,0),AC339,1),"")</f>
        <v>T</v>
      </c>
      <c r="AC339" s="3">
        <v>144</v>
      </c>
      <c r="AD339" s="3" t="str">
        <f>IFERROR(MID(VLOOKUP($B339,Seqs!$A:$B,2,0),AE339,1),"")</f>
        <v>R</v>
      </c>
      <c r="AE339" s="3">
        <v>170</v>
      </c>
      <c r="AF339" s="3" t="str">
        <f>IFERROR(MID(VLOOKUP($B339,Seqs!$A:$B,2,0),AG339,1),"")</f>
        <v>C</v>
      </c>
      <c r="AG339" s="3">
        <v>182</v>
      </c>
      <c r="AH339" s="3" t="str">
        <f>IFERROR(MID(VLOOKUP($B339,Seqs!$A:$B,2,0),AI339,1),"")</f>
        <v>Y</v>
      </c>
      <c r="AI339" s="3">
        <v>184</v>
      </c>
      <c r="AJ339" s="3" t="str">
        <f>IFERROR(MID(VLOOKUP($B339,Seqs!$A:$B,2,0),AK339,1),"")</f>
        <v>D</v>
      </c>
      <c r="AK339" s="3">
        <v>194</v>
      </c>
      <c r="AL339" s="3" t="str">
        <f>IFERROR(MID(VLOOKUP($B339,Seqs!$A:$B,2,0),AM339,1),"")</f>
        <v>R</v>
      </c>
      <c r="AM339" s="3">
        <v>236</v>
      </c>
      <c r="AN339" s="3" t="str">
        <f>IFERROR(MID(VLOOKUP($B339,Seqs!$A:$B,2,0),AO339,1),"")</f>
        <v/>
      </c>
      <c r="AO339" s="3">
        <v>2244</v>
      </c>
      <c r="AP339" s="3" t="str">
        <f>IFERROR(MID(VLOOKUP($B339,Seqs!$A:$B,2,0),AQ339,1),"")</f>
        <v/>
      </c>
      <c r="AQ339" s="3">
        <v>2271</v>
      </c>
      <c r="AR339" s="3" t="str">
        <f>IFERROR(MID(VLOOKUP($B339,Seqs!$A:$B,2,0),AS339,1),"")</f>
        <v/>
      </c>
      <c r="AS339" s="3">
        <v>2278</v>
      </c>
      <c r="AT339" s="3" t="str">
        <f>IFERROR(MID(VLOOKUP($B339,Seqs!$A:$B,2,0),AU339,1),"")</f>
        <v/>
      </c>
      <c r="AU339" s="3">
        <v>2307</v>
      </c>
      <c r="AV339" s="3" t="str">
        <f>IFERROR(MID(VLOOKUP($B339,Seqs!$A:$B,2,0),AW339,1),"")</f>
        <v/>
      </c>
      <c r="AW339" s="3">
        <v>2308</v>
      </c>
      <c r="AX339" s="3" t="str">
        <f>IFERROR(MID(VLOOKUP($B339,Seqs!$A:$B,2,0),AY339,1),"")</f>
        <v/>
      </c>
      <c r="AY339" s="3">
        <v>2325</v>
      </c>
      <c r="AZ339" s="77" t="str">
        <f>VLOOKUP(B339,Classification!A:D,2,0)</f>
        <v>A</v>
      </c>
      <c r="BA339" s="94" t="str">
        <f>VLOOKUP(B339,Classification!A:D,4,0)</f>
        <v>Prostanoid</v>
      </c>
      <c r="BB339" s="27" t="b">
        <f t="shared" ref="BB339" si="2517">AND(E339&lt;G339,OR(G339&lt;I339,I339="-"),OR(I339&lt;K339,I339="-"),OR(K339&lt;M339,K339="-"),M339&lt;O339,OR(O339&lt;Q339,Q339="-"),OR(Q339&lt;S339,Q339="-"),OR(S339&lt;U339,S339="-"),U339&lt;W339,OR(W339&lt;Y339,Y339="-"),OR(Y339&lt;AA339,Y339="-"),OR(AA339&lt;AC339,AA339="-"),AC339&lt;AE339,OR(AE339&lt;AG339,AG339="-"),OR(AG339&lt;AI339,AG339="-"),OR(AI339&lt;AK339,AI339="-"),AK339&lt;AM339,AM339&lt;AO339,AO339&lt;AQ339,AQ339&lt;AS339,AS339&lt;AU339,OR(AU339&lt;AW339,AW339="-"),OR(AW339&lt;AY339,AW339="-"))</f>
        <v>1</v>
      </c>
      <c r="BC339" s="23">
        <f t="shared" ref="BC339" si="2518">_xlfn.AGGREGATE(9,6,CH339:CS339)-_xlfn.AGGREGATE(9,6,BV339:CG339)+12</f>
        <v>257</v>
      </c>
      <c r="BD339" s="2" t="s">
        <v>23</v>
      </c>
      <c r="BE339" s="3" t="s">
        <v>1374</v>
      </c>
      <c r="BF339" s="118">
        <v>2.8</v>
      </c>
      <c r="BG339" s="49" t="s">
        <v>1</v>
      </c>
      <c r="BH339" s="49" t="s">
        <v>1</v>
      </c>
      <c r="BI339" s="1"/>
      <c r="BJ339" s="70" t="s">
        <v>1287</v>
      </c>
      <c r="BK339" s="57" t="s">
        <v>1287</v>
      </c>
      <c r="BL339" s="57" t="s">
        <v>1287</v>
      </c>
      <c r="BM339" s="57" t="s">
        <v>1287</v>
      </c>
      <c r="BN339" s="57" t="s">
        <v>1287</v>
      </c>
      <c r="BO339" s="57" t="s">
        <v>1287</v>
      </c>
      <c r="BP339" s="57" t="s">
        <v>1287</v>
      </c>
      <c r="BQ339" s="57" t="s">
        <v>1287</v>
      </c>
      <c r="BR339" s="57" t="s">
        <v>1287</v>
      </c>
      <c r="BS339" s="57" t="s">
        <v>1287</v>
      </c>
      <c r="BT339" s="57" t="s">
        <v>1287</v>
      </c>
      <c r="BU339" s="57" t="s">
        <v>1287</v>
      </c>
      <c r="BV339" s="70">
        <f t="shared" ref="BV339" si="2519">E339</f>
        <v>32</v>
      </c>
      <c r="BW339" s="71" t="str">
        <f t="shared" ref="BW339" si="2520">I339</f>
        <v>-</v>
      </c>
      <c r="BX339" s="72">
        <f t="shared" ref="BX339" si="2521">M339</f>
        <v>64</v>
      </c>
      <c r="BY339" s="71">
        <f t="shared" ref="BY339" si="2522">Q339</f>
        <v>96</v>
      </c>
      <c r="BZ339" s="72">
        <f t="shared" ref="BZ339" si="2523">U339</f>
        <v>101</v>
      </c>
      <c r="CA339" s="71">
        <f t="shared" ref="CA339" si="2524">Y339</f>
        <v>136</v>
      </c>
      <c r="CB339" s="72">
        <f t="shared" ref="CB339" si="2525">AC339</f>
        <v>144</v>
      </c>
      <c r="CC339" s="71">
        <f t="shared" ref="CC339" si="2526">AG339</f>
        <v>182</v>
      </c>
      <c r="CD339" s="72">
        <f t="shared" ref="CD339" si="2527">AK339</f>
        <v>194</v>
      </c>
      <c r="CE339" s="71">
        <f t="shared" ref="CE339" si="2528">AO339</f>
        <v>2244</v>
      </c>
      <c r="CF339" s="72">
        <f t="shared" ref="CF339" si="2529">AS339</f>
        <v>2278</v>
      </c>
      <c r="CG339" s="71">
        <f t="shared" ref="CG339" si="2530">AW339</f>
        <v>2308</v>
      </c>
      <c r="CH339" s="70">
        <f t="shared" ref="CH339" si="2531">G339</f>
        <v>60</v>
      </c>
      <c r="CI339" s="71" t="str">
        <f t="shared" ref="CI339" si="2532">K339</f>
        <v>-</v>
      </c>
      <c r="CJ339" s="72">
        <f t="shared" ref="CJ339" si="2533">O339</f>
        <v>94</v>
      </c>
      <c r="CK339" s="72">
        <f t="shared" ref="CK339" si="2534">S339</f>
        <v>99</v>
      </c>
      <c r="CL339" s="72">
        <f t="shared" ref="CL339" si="2535">W339</f>
        <v>135</v>
      </c>
      <c r="CM339" s="72">
        <f t="shared" ref="CM339" si="2536">AA339</f>
        <v>143</v>
      </c>
      <c r="CN339" s="72">
        <f t="shared" ref="CN339" si="2537">AE339</f>
        <v>170</v>
      </c>
      <c r="CO339" s="72">
        <f t="shared" ref="CO339" si="2538">AI339</f>
        <v>184</v>
      </c>
      <c r="CP339" s="72">
        <f t="shared" ref="CP339" si="2539">AM339</f>
        <v>236</v>
      </c>
      <c r="CQ339" s="72">
        <f t="shared" ref="CQ339" si="2540">AQ339</f>
        <v>2271</v>
      </c>
      <c r="CR339" s="72">
        <f t="shared" ref="CR339" si="2541">AU339</f>
        <v>2307</v>
      </c>
      <c r="CS339" s="72">
        <f t="shared" ref="CS339" si="2542">AY339</f>
        <v>2325</v>
      </c>
      <c r="CT339" s="23" t="e">
        <f t="shared" ref="CT339" si="2543">M339-K339</f>
        <v>#VALUE!</v>
      </c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  <c r="AMK339" s="1"/>
      <c r="AML339" s="1"/>
      <c r="AMM339" s="1"/>
      <c r="AMN339" s="1"/>
      <c r="AMO339" s="1"/>
    </row>
    <row r="340" spans="1:1029" x14ac:dyDescent="0.2">
      <c r="A340" s="3" t="str">
        <f t="shared" ref="A340" si="2544">CONCATENATE(B340,"_",C340)</f>
        <v>pd2r2_human_6D27</v>
      </c>
      <c r="B340" s="3" t="s">
        <v>360</v>
      </c>
      <c r="C340" s="3" t="s">
        <v>1542</v>
      </c>
      <c r="D340" s="3" t="str">
        <f>IFERROR(MID(VLOOKUP($B340,Seqs!$A:$B,2,0),E340,1),"")</f>
        <v>D</v>
      </c>
      <c r="E340" s="3">
        <v>32</v>
      </c>
      <c r="F340" s="3" t="str">
        <f>IFERROR(MID(VLOOKUP($B340,Seqs!$A:$B,2,0),G340,1),"")</f>
        <v>R</v>
      </c>
      <c r="G340" s="3">
        <v>60</v>
      </c>
      <c r="H340" s="3" t="str">
        <f>IFERROR(MID(VLOOKUP($B340,Seqs!$A:$B,2,0),I340,1),"")</f>
        <v/>
      </c>
      <c r="I340" s="23" t="s">
        <v>23</v>
      </c>
      <c r="J340" s="3" t="str">
        <f>IFERROR(MID(VLOOKUP($B340,Seqs!$A:$B,2,0),K340,1),"")</f>
        <v/>
      </c>
      <c r="K340" s="23" t="s">
        <v>23</v>
      </c>
      <c r="L340" s="3" t="str">
        <f>IFERROR(MID(VLOOKUP($B340,Seqs!$A:$B,2,0),M340,1),"")</f>
        <v>T</v>
      </c>
      <c r="M340" s="3">
        <v>64</v>
      </c>
      <c r="N340" s="3" t="str">
        <f>IFERROR(MID(VLOOKUP($B340,Seqs!$A:$B,2,0),O340,1),"")</f>
        <v>G</v>
      </c>
      <c r="O340" s="3">
        <v>94</v>
      </c>
      <c r="P340" s="3" t="str">
        <f>IFERROR(MID(VLOOKUP($B340,Seqs!$A:$B,2,0),Q340,1),"")</f>
        <v>S</v>
      </c>
      <c r="Q340" s="3">
        <v>96</v>
      </c>
      <c r="R340" s="3" t="str">
        <f>IFERROR(MID(VLOOKUP($B340,Seqs!$A:$B,2,0),S340,1),"")</f>
        <v>L</v>
      </c>
      <c r="S340" s="3">
        <v>99</v>
      </c>
      <c r="T340" s="3" t="str">
        <f>IFERROR(MID(VLOOKUP($B340,Seqs!$A:$B,2,0),U340,1),"")</f>
        <v>T</v>
      </c>
      <c r="U340" s="3">
        <v>101</v>
      </c>
      <c r="V340" s="3" t="str">
        <f>IFERROR(MID(VLOOKUP($B340,Seqs!$A:$B,2,0),W340,1),"")</f>
        <v>R</v>
      </c>
      <c r="W340" s="3">
        <v>135</v>
      </c>
      <c r="X340" s="3" t="str">
        <f>IFERROR(MID(VLOOKUP($B340,Seqs!$A:$B,2,0),Y340,1),"")</f>
        <v>P</v>
      </c>
      <c r="Y340" s="3">
        <v>136</v>
      </c>
      <c r="Z340" s="3" t="str">
        <f>IFERROR(MID(VLOOKUP($B340,Seqs!$A:$B,2,0),AA340,1),"")</f>
        <v>R</v>
      </c>
      <c r="AA340" s="3">
        <v>143</v>
      </c>
      <c r="AB340" s="3" t="str">
        <f>IFERROR(MID(VLOOKUP($B340,Seqs!$A:$B,2,0),AC340,1),"")</f>
        <v>T</v>
      </c>
      <c r="AC340" s="3">
        <v>144</v>
      </c>
      <c r="AD340" s="3" t="str">
        <f>IFERROR(MID(VLOOKUP($B340,Seqs!$A:$B,2,0),AE340,1),"")</f>
        <v>R</v>
      </c>
      <c r="AE340" s="3">
        <v>170</v>
      </c>
      <c r="AF340" s="3" t="str">
        <f>IFERROR(MID(VLOOKUP($B340,Seqs!$A:$B,2,0),AG340,1),"")</f>
        <v>C</v>
      </c>
      <c r="AG340" s="3">
        <v>182</v>
      </c>
      <c r="AH340" s="3" t="str">
        <f>IFERROR(MID(VLOOKUP($B340,Seqs!$A:$B,2,0),AI340,1),"")</f>
        <v>Y</v>
      </c>
      <c r="AI340" s="3">
        <v>184</v>
      </c>
      <c r="AJ340" s="3" t="str">
        <f>IFERROR(MID(VLOOKUP($B340,Seqs!$A:$B,2,0),AK340,1),"")</f>
        <v>D</v>
      </c>
      <c r="AK340" s="3">
        <v>194</v>
      </c>
      <c r="AL340" s="3" t="str">
        <f>IFERROR(MID(VLOOKUP($B340,Seqs!$A:$B,2,0),AM340,1),"")</f>
        <v>R</v>
      </c>
      <c r="AM340" s="3">
        <v>236</v>
      </c>
      <c r="AN340" s="3" t="str">
        <f>IFERROR(MID(VLOOKUP($B340,Seqs!$A:$B,2,0),AO340,1),"")</f>
        <v/>
      </c>
      <c r="AO340" s="3">
        <v>2244</v>
      </c>
      <c r="AP340" s="3" t="str">
        <f>IFERROR(MID(VLOOKUP($B340,Seqs!$A:$B,2,0),AQ340,1),"")</f>
        <v/>
      </c>
      <c r="AQ340" s="3">
        <v>2271</v>
      </c>
      <c r="AR340" s="3" t="str">
        <f>IFERROR(MID(VLOOKUP($B340,Seqs!$A:$B,2,0),AS340,1),"")</f>
        <v/>
      </c>
      <c r="AS340" s="3">
        <v>2278</v>
      </c>
      <c r="AT340" s="3" t="str">
        <f>IFERROR(MID(VLOOKUP($B340,Seqs!$A:$B,2,0),AU340,1),"")</f>
        <v/>
      </c>
      <c r="AU340" s="3">
        <v>2307</v>
      </c>
      <c r="AV340" s="3" t="str">
        <f>IFERROR(MID(VLOOKUP($B340,Seqs!$A:$B,2,0),AW340,1),"")</f>
        <v/>
      </c>
      <c r="AW340" s="3">
        <v>2308</v>
      </c>
      <c r="AX340" s="3" t="str">
        <f>IFERROR(MID(VLOOKUP($B340,Seqs!$A:$B,2,0),AY340,1),"")</f>
        <v/>
      </c>
      <c r="AY340" s="3">
        <v>2325</v>
      </c>
      <c r="AZ340" s="77" t="str">
        <f>VLOOKUP(B340,Classification!A:D,2,0)</f>
        <v>A</v>
      </c>
      <c r="BA340" s="94" t="str">
        <f>VLOOKUP(B340,Classification!A:D,4,0)</f>
        <v>Prostanoid</v>
      </c>
      <c r="BB340" s="27" t="b">
        <f t="shared" ref="BB340" si="2545">AND(E340&lt;G340,OR(G340&lt;I340,I340="-"),OR(I340&lt;K340,I340="-"),OR(K340&lt;M340,K340="-"),M340&lt;O340,OR(O340&lt;Q340,Q340="-"),OR(Q340&lt;S340,Q340="-"),OR(S340&lt;U340,S340="-"),U340&lt;W340,OR(W340&lt;Y340,Y340="-"),OR(Y340&lt;AA340,Y340="-"),OR(AA340&lt;AC340,AA340="-"),AC340&lt;AE340,OR(AE340&lt;AG340,AG340="-"),OR(AG340&lt;AI340,AG340="-"),OR(AI340&lt;AK340,AI340="-"),AK340&lt;AM340,AM340&lt;AO340,AO340&lt;AQ340,AQ340&lt;AS340,AS340&lt;AU340,OR(AU340&lt;AW340,AW340="-"),OR(AW340&lt;AY340,AW340="-"))</f>
        <v>1</v>
      </c>
      <c r="BC340" s="23">
        <f t="shared" ref="BC340" si="2546">_xlfn.AGGREGATE(9,6,CH340:CS340)-_xlfn.AGGREGATE(9,6,BV340:CG340)+12</f>
        <v>257</v>
      </c>
      <c r="BD340" s="2" t="s">
        <v>1376</v>
      </c>
      <c r="BE340" s="3" t="s">
        <v>1374</v>
      </c>
      <c r="BF340" s="118">
        <v>4.74</v>
      </c>
      <c r="BG340" s="49" t="s">
        <v>1</v>
      </c>
      <c r="BH340" s="49" t="s">
        <v>1</v>
      </c>
      <c r="BI340" s="1"/>
      <c r="BJ340" s="70" t="s">
        <v>1287</v>
      </c>
      <c r="BK340" s="57" t="s">
        <v>1287</v>
      </c>
      <c r="BL340" s="57" t="s">
        <v>1287</v>
      </c>
      <c r="BM340" s="57" t="s">
        <v>1287</v>
      </c>
      <c r="BN340" s="57" t="s">
        <v>1287</v>
      </c>
      <c r="BO340" s="57" t="s">
        <v>1287</v>
      </c>
      <c r="BP340" s="57" t="s">
        <v>1287</v>
      </c>
      <c r="BQ340" s="57" t="s">
        <v>1287</v>
      </c>
      <c r="BR340" s="57" t="s">
        <v>1287</v>
      </c>
      <c r="BS340" s="57" t="s">
        <v>1287</v>
      </c>
      <c r="BT340" s="57" t="s">
        <v>1287</v>
      </c>
      <c r="BU340" s="57" t="s">
        <v>1287</v>
      </c>
      <c r="BV340" s="70">
        <f t="shared" ref="BV340" si="2547">E340</f>
        <v>32</v>
      </c>
      <c r="BW340" s="71" t="str">
        <f t="shared" ref="BW340" si="2548">I340</f>
        <v>-</v>
      </c>
      <c r="BX340" s="72">
        <f t="shared" ref="BX340" si="2549">M340</f>
        <v>64</v>
      </c>
      <c r="BY340" s="71">
        <f t="shared" ref="BY340" si="2550">Q340</f>
        <v>96</v>
      </c>
      <c r="BZ340" s="72">
        <f t="shared" ref="BZ340" si="2551">U340</f>
        <v>101</v>
      </c>
      <c r="CA340" s="71">
        <f t="shared" ref="CA340" si="2552">Y340</f>
        <v>136</v>
      </c>
      <c r="CB340" s="72">
        <f t="shared" ref="CB340" si="2553">AC340</f>
        <v>144</v>
      </c>
      <c r="CC340" s="71">
        <f t="shared" ref="CC340" si="2554">AG340</f>
        <v>182</v>
      </c>
      <c r="CD340" s="72">
        <f t="shared" ref="CD340" si="2555">AK340</f>
        <v>194</v>
      </c>
      <c r="CE340" s="71">
        <f t="shared" ref="CE340" si="2556">AO340</f>
        <v>2244</v>
      </c>
      <c r="CF340" s="72">
        <f t="shared" ref="CF340" si="2557">AS340</f>
        <v>2278</v>
      </c>
      <c r="CG340" s="71">
        <f t="shared" ref="CG340" si="2558">AW340</f>
        <v>2308</v>
      </c>
      <c r="CH340" s="70">
        <f t="shared" ref="CH340" si="2559">G340</f>
        <v>60</v>
      </c>
      <c r="CI340" s="71" t="str">
        <f t="shared" ref="CI340" si="2560">K340</f>
        <v>-</v>
      </c>
      <c r="CJ340" s="72">
        <f t="shared" ref="CJ340" si="2561">O340</f>
        <v>94</v>
      </c>
      <c r="CK340" s="72">
        <f t="shared" ref="CK340" si="2562">S340</f>
        <v>99</v>
      </c>
      <c r="CL340" s="72">
        <f t="shared" ref="CL340" si="2563">W340</f>
        <v>135</v>
      </c>
      <c r="CM340" s="72">
        <f t="shared" ref="CM340" si="2564">AA340</f>
        <v>143</v>
      </c>
      <c r="CN340" s="72">
        <f t="shared" ref="CN340" si="2565">AE340</f>
        <v>170</v>
      </c>
      <c r="CO340" s="72">
        <f t="shared" ref="CO340" si="2566">AI340</f>
        <v>184</v>
      </c>
      <c r="CP340" s="72">
        <f t="shared" ref="CP340" si="2567">AM340</f>
        <v>236</v>
      </c>
      <c r="CQ340" s="72">
        <f t="shared" ref="CQ340" si="2568">AQ340</f>
        <v>2271</v>
      </c>
      <c r="CR340" s="72">
        <f t="shared" ref="CR340" si="2569">AU340</f>
        <v>2307</v>
      </c>
      <c r="CS340" s="72">
        <f t="shared" ref="CS340" si="2570">AY340</f>
        <v>2325</v>
      </c>
      <c r="CT340" s="23" t="e">
        <f t="shared" ref="CT340" si="2571">M340-K340</f>
        <v>#VALUE!</v>
      </c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</row>
    <row r="341" spans="1:1029" s="12" customFormat="1" x14ac:dyDescent="0.2">
      <c r="A341" s="9" t="str">
        <f t="shared" ref="A341:A343" si="2572">CONCATENATE(B341,"_",C341)</f>
        <v>pe2r3_human__wt</v>
      </c>
      <c r="B341" s="9" t="s">
        <v>363</v>
      </c>
      <c r="C341" s="9" t="s">
        <v>100</v>
      </c>
      <c r="D341" s="9" t="str">
        <f>IFERROR(MID(VLOOKUP($B341,Seqs!$A:$B,2,0),E341,1),"")</f>
        <v>V</v>
      </c>
      <c r="E341" s="9">
        <v>52</v>
      </c>
      <c r="F341" s="9" t="str">
        <f>IFERROR(MID(VLOOKUP($B341,Seqs!$A:$B,2,0),G341,1),"")</f>
        <v>R</v>
      </c>
      <c r="G341" s="9">
        <v>78</v>
      </c>
      <c r="H341" s="9" t="str">
        <f>IFERROR(MID(VLOOKUP($B341,Seqs!$A:$B,2,0),I341,1),"")</f>
        <v/>
      </c>
      <c r="I341" s="109" t="s">
        <v>23</v>
      </c>
      <c r="J341" s="9" t="str">
        <f>IFERROR(MID(VLOOKUP($B341,Seqs!$A:$B,2,0),K341,1),"")</f>
        <v/>
      </c>
      <c r="K341" s="109" t="s">
        <v>23</v>
      </c>
      <c r="L341" s="9" t="str">
        <f>IFERROR(MID(VLOOKUP($B341,Seqs!$A:$B,2,0),M341,1),"")</f>
        <v>K</v>
      </c>
      <c r="M341" s="9">
        <v>85</v>
      </c>
      <c r="N341" s="9" t="str">
        <f>IFERROR(MID(VLOOKUP($B341,Seqs!$A:$B,2,0),O341,1),"")</f>
        <v>K</v>
      </c>
      <c r="O341" s="9">
        <v>117</v>
      </c>
      <c r="P341" s="9" t="str">
        <f>IFERROR(MID(VLOOKUP($B341,Seqs!$A:$B,2,0),Q341,1),"")</f>
        <v>Q</v>
      </c>
      <c r="Q341" s="9">
        <v>118</v>
      </c>
      <c r="R341" s="9" t="str">
        <f>IFERROR(MID(VLOOKUP($B341,Seqs!$A:$B,2,0),S341,1),"")</f>
        <v>S</v>
      </c>
      <c r="S341" s="9">
        <v>126</v>
      </c>
      <c r="T341" s="9" t="str">
        <f>IFERROR(MID(VLOOKUP($B341,Seqs!$A:$B,2,0),U341,1),"")</f>
        <v>G</v>
      </c>
      <c r="U341" s="9">
        <v>127</v>
      </c>
      <c r="V341" s="9" t="str">
        <f>IFERROR(MID(VLOOKUP($B341,Seqs!$A:$B,2,0),W341,1),"")</f>
        <v>A</v>
      </c>
      <c r="W341" s="9">
        <v>161</v>
      </c>
      <c r="X341" s="9" t="str">
        <f>IFERROR(MID(VLOOKUP($B341,Seqs!$A:$B,2,0),Y341,1),"")</f>
        <v>P</v>
      </c>
      <c r="Y341" s="9">
        <v>162</v>
      </c>
      <c r="Z341" s="9" t="str">
        <f>IFERROR(MID(VLOOKUP($B341,Seqs!$A:$B,2,0),AA341,1),"")</f>
        <v>M</v>
      </c>
      <c r="AA341" s="9">
        <v>169</v>
      </c>
      <c r="AB341" s="9" t="str">
        <f>IFERROR(MID(VLOOKUP($B341,Seqs!$A:$B,2,0),AC341,1),"")</f>
        <v>K</v>
      </c>
      <c r="AC341" s="9">
        <v>170</v>
      </c>
      <c r="AD341" s="9" t="str">
        <f>IFERROR(MID(VLOOKUP($B341,Seqs!$A:$B,2,0),AE341,1),"")</f>
        <v>G</v>
      </c>
      <c r="AE341" s="9">
        <v>195</v>
      </c>
      <c r="AF341" s="9" t="str">
        <f>IFERROR(MID(VLOOKUP($B341,Seqs!$A:$B,2,0),AG341,1),"")</f>
        <v>C</v>
      </c>
      <c r="AG341" s="9">
        <v>208</v>
      </c>
      <c r="AH341" s="9" t="str">
        <f>IFERROR(MID(VLOOKUP($B341,Seqs!$A:$B,2,0),AI341,1),"")</f>
        <v>I</v>
      </c>
      <c r="AI341" s="9">
        <v>210</v>
      </c>
      <c r="AJ341" s="9" t="str">
        <f>IFERROR(MID(VLOOKUP($B341,Seqs!$A:$B,2,0),AK341,1),"")</f>
        <v>W</v>
      </c>
      <c r="AK341" s="9">
        <v>225</v>
      </c>
      <c r="AL341" s="9" t="str">
        <f>IFERROR(MID(VLOOKUP($B341,Seqs!$A:$B,2,0),AM341,1),"")</f>
        <v>T</v>
      </c>
      <c r="AM341" s="9">
        <v>265</v>
      </c>
      <c r="AN341" s="9" t="str">
        <f>IFERROR(MID(VLOOKUP($B341,Seqs!$A:$B,2,0),AO341,1),"")</f>
        <v>A</v>
      </c>
      <c r="AO341" s="9">
        <v>271</v>
      </c>
      <c r="AP341" s="9" t="str">
        <f>IFERROR(MID(VLOOKUP($B341,Seqs!$A:$B,2,0),AQ341,1),"")</f>
        <v>S</v>
      </c>
      <c r="AQ341" s="9">
        <v>311</v>
      </c>
      <c r="AR341" s="9" t="str">
        <f>IFERROR(MID(VLOOKUP($B341,Seqs!$A:$B,2,0),AS341,1),"")</f>
        <v>T</v>
      </c>
      <c r="AS341" s="9">
        <v>317</v>
      </c>
      <c r="AT341" s="9" t="str">
        <f>IFERROR(MID(VLOOKUP($B341,Seqs!$A:$B,2,0),AU341,1),"")</f>
        <v>Y</v>
      </c>
      <c r="AU341" s="9">
        <v>346</v>
      </c>
      <c r="AV341" s="9" t="str">
        <f>IFERROR(MID(VLOOKUP($B341,Seqs!$A:$B,2,0),AW341,1),"")</f>
        <v>L</v>
      </c>
      <c r="AW341" s="9">
        <v>347</v>
      </c>
      <c r="AX341" s="9" t="str">
        <f>IFERROR(MID(VLOOKUP($B341,Seqs!$A:$B,2,0),AY341,1),"")</f>
        <v>S</v>
      </c>
      <c r="AY341" s="9">
        <v>369</v>
      </c>
      <c r="AZ341" s="110" t="str">
        <f>VLOOKUP(B341,Classification!A:D,2,0)</f>
        <v>A</v>
      </c>
      <c r="BA341" s="98" t="str">
        <f>VLOOKUP(B341,Classification!A:D,4,0)</f>
        <v>Prostanoid</v>
      </c>
      <c r="BB341" s="36" t="b">
        <f t="shared" ref="BB341:BB343" si="2573">AND(E341&lt;G341,OR(G341&lt;I341,I341="-"),OR(I341&lt;K341,I341="-"),OR(K341&lt;M341,K341="-"),M341&lt;O341,OR(O341&lt;Q341,Q341="-"),OR(Q341&lt;S341,Q341="-"),OR(S341&lt;U341,S341="-"),U341&lt;W341,OR(W341&lt;Y341,Y341="-"),OR(Y341&lt;AA341,Y341="-"),OR(AA341&lt;AC341,AA341="-"),AC341&lt;AE341,OR(AE341&lt;AG341,AG341="-"),OR(AG341&lt;AI341,AG341="-"),OR(AI341&lt;AK341,AI341="-"),AK341&lt;AM341,AM341&lt;AO341,AO341&lt;AQ341,AQ341&lt;AS341,AS341&lt;AU341,OR(AU341&lt;AW341,AW341="-"),OR(AW341&lt;AY341,AW341="-"))</f>
        <v>1</v>
      </c>
      <c r="BC341" s="109">
        <f t="shared" ref="BC341:BC343" si="2574">_xlfn.AGGREGATE(9,6,CH341:CS341)-_xlfn.AGGREGATE(9,6,BV341:CG341)+12</f>
        <v>277</v>
      </c>
      <c r="BD341" s="40" t="s">
        <v>23</v>
      </c>
      <c r="BE341" s="9" t="s">
        <v>23</v>
      </c>
      <c r="BF341" s="119" t="s">
        <v>23</v>
      </c>
      <c r="BG341" s="51" t="s">
        <v>23</v>
      </c>
      <c r="BH341" s="51" t="s">
        <v>23</v>
      </c>
      <c r="BJ341" s="111" t="s">
        <v>1287</v>
      </c>
      <c r="BK341" s="112" t="s">
        <v>1287</v>
      </c>
      <c r="BL341" s="112" t="s">
        <v>1287</v>
      </c>
      <c r="BM341" s="112" t="s">
        <v>1287</v>
      </c>
      <c r="BN341" s="112" t="s">
        <v>1287</v>
      </c>
      <c r="BO341" s="112" t="s">
        <v>1287</v>
      </c>
      <c r="BP341" s="112" t="s">
        <v>1287</v>
      </c>
      <c r="BQ341" s="112" t="s">
        <v>1287</v>
      </c>
      <c r="BR341" s="112" t="s">
        <v>1287</v>
      </c>
      <c r="BS341" s="112" t="s">
        <v>1287</v>
      </c>
      <c r="BT341" s="112" t="s">
        <v>1287</v>
      </c>
      <c r="BU341" s="112" t="s">
        <v>1287</v>
      </c>
      <c r="BV341" s="111">
        <f t="shared" ref="BV341:BV343" si="2575">E341</f>
        <v>52</v>
      </c>
      <c r="BW341" s="113" t="str">
        <f t="shared" ref="BW341:BW343" si="2576">I341</f>
        <v>-</v>
      </c>
      <c r="BX341" s="114">
        <f t="shared" ref="BX341:BX343" si="2577">M341</f>
        <v>85</v>
      </c>
      <c r="BY341" s="113">
        <f t="shared" ref="BY341:BY343" si="2578">Q341</f>
        <v>118</v>
      </c>
      <c r="BZ341" s="114">
        <f t="shared" ref="BZ341:BZ343" si="2579">U341</f>
        <v>127</v>
      </c>
      <c r="CA341" s="113">
        <f t="shared" ref="CA341:CA343" si="2580">Y341</f>
        <v>162</v>
      </c>
      <c r="CB341" s="114">
        <f t="shared" ref="CB341:CB343" si="2581">AC341</f>
        <v>170</v>
      </c>
      <c r="CC341" s="113">
        <f t="shared" ref="CC341:CC343" si="2582">AG341</f>
        <v>208</v>
      </c>
      <c r="CD341" s="114">
        <f t="shared" ref="CD341:CD343" si="2583">AK341</f>
        <v>225</v>
      </c>
      <c r="CE341" s="113">
        <f t="shared" ref="CE341:CE343" si="2584">AO341</f>
        <v>271</v>
      </c>
      <c r="CF341" s="114">
        <f t="shared" ref="CF341:CF343" si="2585">AS341</f>
        <v>317</v>
      </c>
      <c r="CG341" s="113">
        <f t="shared" ref="CG341:CG343" si="2586">AW341</f>
        <v>347</v>
      </c>
      <c r="CH341" s="111">
        <f t="shared" ref="CH341:CH343" si="2587">G341</f>
        <v>78</v>
      </c>
      <c r="CI341" s="113" t="str">
        <f t="shared" ref="CI341:CI343" si="2588">K341</f>
        <v>-</v>
      </c>
      <c r="CJ341" s="114">
        <f t="shared" ref="CJ341:CJ343" si="2589">O341</f>
        <v>117</v>
      </c>
      <c r="CK341" s="114">
        <f t="shared" ref="CK341:CK343" si="2590">S341</f>
        <v>126</v>
      </c>
      <c r="CL341" s="114">
        <f t="shared" ref="CL341:CL343" si="2591">W341</f>
        <v>161</v>
      </c>
      <c r="CM341" s="114">
        <f t="shared" ref="CM341:CM343" si="2592">AA341</f>
        <v>169</v>
      </c>
      <c r="CN341" s="114">
        <f t="shared" ref="CN341:CN343" si="2593">AE341</f>
        <v>195</v>
      </c>
      <c r="CO341" s="114">
        <f t="shared" ref="CO341:CO343" si="2594">AI341</f>
        <v>210</v>
      </c>
      <c r="CP341" s="114">
        <f t="shared" ref="CP341:CP343" si="2595">AM341</f>
        <v>265</v>
      </c>
      <c r="CQ341" s="114">
        <f t="shared" ref="CQ341:CQ343" si="2596">AQ341</f>
        <v>311</v>
      </c>
      <c r="CR341" s="114">
        <f t="shared" ref="CR341:CR343" si="2597">AU341</f>
        <v>346</v>
      </c>
      <c r="CS341" s="114">
        <f t="shared" ref="CS341:CS343" si="2598">AY341</f>
        <v>369</v>
      </c>
      <c r="CT341" s="109" t="e">
        <f t="shared" ref="CT341:CT343" si="2599">M341-K341</f>
        <v>#VALUE!</v>
      </c>
    </row>
    <row r="342" spans="1:1029" s="12" customFormat="1" x14ac:dyDescent="0.2">
      <c r="A342" s="9" t="str">
        <f t="shared" ref="A342" si="2600">CONCATENATE(B342,"_",C342)</f>
        <v>pe2r3_human_6AK3</v>
      </c>
      <c r="B342" s="9" t="s">
        <v>363</v>
      </c>
      <c r="C342" s="9" t="s">
        <v>1539</v>
      </c>
      <c r="D342" s="9" t="str">
        <f>IFERROR(MID(VLOOKUP($B342,Seqs!$A:$B,2,0),E342,1),"")</f>
        <v>V</v>
      </c>
      <c r="E342" s="9">
        <v>52</v>
      </c>
      <c r="F342" s="9" t="str">
        <f>IFERROR(MID(VLOOKUP($B342,Seqs!$A:$B,2,0),G342,1),"")</f>
        <v>Y</v>
      </c>
      <c r="G342" s="9">
        <v>77</v>
      </c>
      <c r="H342" s="9" t="str">
        <f>IFERROR(MID(VLOOKUP($B342,Seqs!$A:$B,2,0),I342,1),"")</f>
        <v/>
      </c>
      <c r="I342" s="109" t="s">
        <v>23</v>
      </c>
      <c r="J342" s="9" t="str">
        <f>IFERROR(MID(VLOOKUP($B342,Seqs!$A:$B,2,0),K342,1),"")</f>
        <v/>
      </c>
      <c r="K342" s="109" t="s">
        <v>23</v>
      </c>
      <c r="L342" s="9" t="str">
        <f>IFERROR(MID(VLOOKUP($B342,Seqs!$A:$B,2,0),M342,1),"")</f>
        <v>K</v>
      </c>
      <c r="M342" s="9">
        <v>86</v>
      </c>
      <c r="N342" s="9" t="str">
        <f>IFERROR(MID(VLOOKUP($B342,Seqs!$A:$B,2,0),O342,1),"")</f>
        <v>K</v>
      </c>
      <c r="O342" s="9">
        <v>117</v>
      </c>
      <c r="P342" s="9" t="str">
        <f>IFERROR(MID(VLOOKUP($B342,Seqs!$A:$B,2,0),Q342,1),"")</f>
        <v/>
      </c>
      <c r="Q342" s="9" t="s">
        <v>23</v>
      </c>
      <c r="R342" s="9" t="str">
        <f>IFERROR(MID(VLOOKUP($B342,Seqs!$A:$B,2,0),S342,1),"")</f>
        <v/>
      </c>
      <c r="S342" s="9" t="s">
        <v>23</v>
      </c>
      <c r="T342" s="9" t="str">
        <f>IFERROR(MID(VLOOKUP($B342,Seqs!$A:$B,2,0),U342,1),"")</f>
        <v>G</v>
      </c>
      <c r="U342" s="9">
        <v>127</v>
      </c>
      <c r="V342" s="9" t="str">
        <f>IFERROR(MID(VLOOKUP($B342,Seqs!$A:$B,2,0),W342,1),"")</f>
        <v>A</v>
      </c>
      <c r="W342" s="9">
        <v>161</v>
      </c>
      <c r="X342" s="9" t="str">
        <f>IFERROR(MID(VLOOKUP($B342,Seqs!$A:$B,2,0),Y342,1),"")</f>
        <v>P</v>
      </c>
      <c r="Y342" s="9">
        <v>162</v>
      </c>
      <c r="Z342" s="9" t="str">
        <f>IFERROR(MID(VLOOKUP($B342,Seqs!$A:$B,2,0),AA342,1),"")</f>
        <v>M</v>
      </c>
      <c r="AA342" s="9">
        <v>169</v>
      </c>
      <c r="AB342" s="9" t="str">
        <f>IFERROR(MID(VLOOKUP($B342,Seqs!$A:$B,2,0),AC342,1),"")</f>
        <v>K</v>
      </c>
      <c r="AC342" s="9">
        <v>170</v>
      </c>
      <c r="AD342" s="9" t="str">
        <f>IFERROR(MID(VLOOKUP($B342,Seqs!$A:$B,2,0),AE342,1),"")</f>
        <v>G</v>
      </c>
      <c r="AE342" s="9">
        <v>195</v>
      </c>
      <c r="AF342" s="9" t="str">
        <f>IFERROR(MID(VLOOKUP($B342,Seqs!$A:$B,2,0),AG342,1),"")</f>
        <v>C</v>
      </c>
      <c r="AG342" s="9">
        <v>208</v>
      </c>
      <c r="AH342" s="9" t="str">
        <f>IFERROR(MID(VLOOKUP($B342,Seqs!$A:$B,2,0),AI342,1),"")</f>
        <v>I</v>
      </c>
      <c r="AI342" s="9">
        <v>210</v>
      </c>
      <c r="AJ342" s="9" t="str">
        <f>IFERROR(MID(VLOOKUP($B342,Seqs!$A:$B,2,0),AK342,1),"")</f>
        <v>G</v>
      </c>
      <c r="AK342" s="9">
        <v>226</v>
      </c>
      <c r="AL342" s="9" t="str">
        <f>IFERROR(MID(VLOOKUP($B342,Seqs!$A:$B,2,0),AM342,1),"")</f>
        <v>A</v>
      </c>
      <c r="AM342" s="9">
        <v>264</v>
      </c>
      <c r="AN342" s="9" t="str">
        <f>IFERROR(MID(VLOOKUP($B342,Seqs!$A:$B,2,0),AO342,1),"")</f>
        <v>A</v>
      </c>
      <c r="AO342" s="9">
        <v>271</v>
      </c>
      <c r="AP342" s="9" t="str">
        <f>IFERROR(MID(VLOOKUP($B342,Seqs!$A:$B,2,0),AQ342,1),"")</f>
        <v>F</v>
      </c>
      <c r="AQ342" s="9">
        <v>307</v>
      </c>
      <c r="AR342" s="9" t="str">
        <f>IFERROR(MID(VLOOKUP($B342,Seqs!$A:$B,2,0),AS342,1),"")</f>
        <v>K</v>
      </c>
      <c r="AS342" s="9">
        <v>323</v>
      </c>
      <c r="AT342" s="9" t="str">
        <f>IFERROR(MID(VLOOKUP($B342,Seqs!$A:$B,2,0),AU342,1),"")</f>
        <v>Y</v>
      </c>
      <c r="AU342" s="9">
        <v>346</v>
      </c>
      <c r="AV342" s="9" t="str">
        <f>IFERROR(MID(VLOOKUP($B342,Seqs!$A:$B,2,0),AW342,1),"")</f>
        <v>L</v>
      </c>
      <c r="AW342" s="9">
        <v>347</v>
      </c>
      <c r="AX342" s="9" t="str">
        <f>IFERROR(MID(VLOOKUP($B342,Seqs!$A:$B,2,0),AY342,1),"")</f>
        <v>L</v>
      </c>
      <c r="AY342" s="9">
        <v>353</v>
      </c>
      <c r="AZ342" s="110" t="str">
        <f>VLOOKUP(B342,Classification!A:D,2,0)</f>
        <v>A</v>
      </c>
      <c r="BA342" s="98" t="str">
        <f>VLOOKUP(B342,Classification!A:D,4,0)</f>
        <v>Prostanoid</v>
      </c>
      <c r="BB342" s="36" t="b">
        <f t="shared" ref="BB342" si="2601">AND(E342&lt;G342,OR(G342&lt;I342,I342="-"),OR(I342&lt;K342,I342="-"),OR(K342&lt;M342,K342="-"),M342&lt;O342,OR(O342&lt;Q342,Q342="-"),OR(Q342&lt;S342,Q342="-"),OR(S342&lt;U342,S342="-"),U342&lt;W342,OR(W342&lt;Y342,Y342="-"),OR(Y342&lt;AA342,Y342="-"),OR(AA342&lt;AC342,AA342="-"),AC342&lt;AE342,OR(AE342&lt;AG342,AG342="-"),OR(AG342&lt;AI342,AG342="-"),OR(AI342&lt;AK342,AI342="-"),AK342&lt;AM342,AM342&lt;AO342,AO342&lt;AQ342,AQ342&lt;AS342,AS342&lt;AU342,OR(AU342&lt;AW342,AW342="-"),OR(AW342&lt;AY342,AW342="-"))</f>
        <v>1</v>
      </c>
      <c r="BC342" s="109">
        <f t="shared" ref="BC342" si="2602">_xlfn.AGGREGATE(9,6,CH342:CS342)-_xlfn.AGGREGATE(9,6,BV342:CG342)+12</f>
        <v>239</v>
      </c>
      <c r="BD342" s="40" t="s">
        <v>1375</v>
      </c>
      <c r="BE342" s="9" t="s">
        <v>1291</v>
      </c>
      <c r="BF342" s="119">
        <v>2.9</v>
      </c>
      <c r="BG342" s="51" t="s">
        <v>1281</v>
      </c>
      <c r="BH342" s="51" t="s">
        <v>1281</v>
      </c>
      <c r="BJ342" s="111" t="s">
        <v>1287</v>
      </c>
      <c r="BK342" s="112" t="s">
        <v>1287</v>
      </c>
      <c r="BL342" s="112" t="s">
        <v>1287</v>
      </c>
      <c r="BM342" s="112" t="s">
        <v>1287</v>
      </c>
      <c r="BN342" s="112" t="s">
        <v>1287</v>
      </c>
      <c r="BO342" s="112" t="s">
        <v>1287</v>
      </c>
      <c r="BP342" s="112" t="s">
        <v>1287</v>
      </c>
      <c r="BQ342" s="112" t="s">
        <v>1287</v>
      </c>
      <c r="BR342" s="112" t="s">
        <v>1287</v>
      </c>
      <c r="BS342" s="112" t="s">
        <v>1287</v>
      </c>
      <c r="BT342" s="112" t="s">
        <v>1287</v>
      </c>
      <c r="BU342" s="112" t="s">
        <v>1287</v>
      </c>
      <c r="BV342" s="111">
        <f t="shared" ref="BV342" si="2603">E342</f>
        <v>52</v>
      </c>
      <c r="BW342" s="113" t="str">
        <f t="shared" ref="BW342" si="2604">I342</f>
        <v>-</v>
      </c>
      <c r="BX342" s="114">
        <f t="shared" ref="BX342" si="2605">M342</f>
        <v>86</v>
      </c>
      <c r="BY342" s="113" t="str">
        <f t="shared" ref="BY342" si="2606">Q342</f>
        <v>-</v>
      </c>
      <c r="BZ342" s="114">
        <f t="shared" ref="BZ342" si="2607">U342</f>
        <v>127</v>
      </c>
      <c r="CA342" s="113">
        <f t="shared" ref="CA342" si="2608">Y342</f>
        <v>162</v>
      </c>
      <c r="CB342" s="114">
        <f t="shared" ref="CB342" si="2609">AC342</f>
        <v>170</v>
      </c>
      <c r="CC342" s="113">
        <f t="shared" ref="CC342" si="2610">AG342</f>
        <v>208</v>
      </c>
      <c r="CD342" s="114">
        <f t="shared" ref="CD342" si="2611">AK342</f>
        <v>226</v>
      </c>
      <c r="CE342" s="113">
        <f t="shared" ref="CE342" si="2612">AO342</f>
        <v>271</v>
      </c>
      <c r="CF342" s="114">
        <f t="shared" ref="CF342" si="2613">AS342</f>
        <v>323</v>
      </c>
      <c r="CG342" s="113">
        <f t="shared" ref="CG342" si="2614">AW342</f>
        <v>347</v>
      </c>
      <c r="CH342" s="111">
        <f t="shared" ref="CH342" si="2615">G342</f>
        <v>77</v>
      </c>
      <c r="CI342" s="113" t="str">
        <f t="shared" ref="CI342" si="2616">K342</f>
        <v>-</v>
      </c>
      <c r="CJ342" s="114">
        <f t="shared" ref="CJ342" si="2617">O342</f>
        <v>117</v>
      </c>
      <c r="CK342" s="114" t="str">
        <f t="shared" ref="CK342" si="2618">S342</f>
        <v>-</v>
      </c>
      <c r="CL342" s="114">
        <f t="shared" ref="CL342" si="2619">W342</f>
        <v>161</v>
      </c>
      <c r="CM342" s="114">
        <f t="shared" ref="CM342" si="2620">AA342</f>
        <v>169</v>
      </c>
      <c r="CN342" s="114">
        <f t="shared" ref="CN342" si="2621">AE342</f>
        <v>195</v>
      </c>
      <c r="CO342" s="114">
        <f t="shared" ref="CO342" si="2622">AI342</f>
        <v>210</v>
      </c>
      <c r="CP342" s="114">
        <f t="shared" ref="CP342" si="2623">AM342</f>
        <v>264</v>
      </c>
      <c r="CQ342" s="114">
        <f t="shared" ref="CQ342" si="2624">AQ342</f>
        <v>307</v>
      </c>
      <c r="CR342" s="114">
        <f t="shared" ref="CR342" si="2625">AU342</f>
        <v>346</v>
      </c>
      <c r="CS342" s="114">
        <f t="shared" ref="CS342" si="2626">AY342</f>
        <v>353</v>
      </c>
      <c r="CT342" s="109" t="e">
        <f t="shared" ref="CT342" si="2627">M342-K342</f>
        <v>#VALUE!</v>
      </c>
    </row>
    <row r="343" spans="1:1029" s="12" customFormat="1" x14ac:dyDescent="0.2">
      <c r="A343" s="9" t="str">
        <f t="shared" si="2572"/>
        <v>pe2r3_human_6M9T</v>
      </c>
      <c r="B343" s="9" t="s">
        <v>363</v>
      </c>
      <c r="C343" s="9" t="s">
        <v>1538</v>
      </c>
      <c r="D343" s="9" t="str">
        <f>IFERROR(MID(VLOOKUP($B343,Seqs!$A:$B,2,0),E343,1),"")</f>
        <v>V</v>
      </c>
      <c r="E343" s="9">
        <v>52</v>
      </c>
      <c r="F343" s="9" t="str">
        <f>IFERROR(MID(VLOOKUP($B343,Seqs!$A:$B,2,0),G343,1),"")</f>
        <v>R</v>
      </c>
      <c r="G343" s="9">
        <v>78</v>
      </c>
      <c r="H343" s="9" t="str">
        <f>IFERROR(MID(VLOOKUP($B343,Seqs!$A:$B,2,0),I343,1),"")</f>
        <v/>
      </c>
      <c r="I343" s="109" t="s">
        <v>23</v>
      </c>
      <c r="J343" s="9" t="str">
        <f>IFERROR(MID(VLOOKUP($B343,Seqs!$A:$B,2,0),K343,1),"")</f>
        <v/>
      </c>
      <c r="K343" s="109" t="s">
        <v>23</v>
      </c>
      <c r="L343" s="9" t="str">
        <f>IFERROR(MID(VLOOKUP($B343,Seqs!$A:$B,2,0),M343,1),"")</f>
        <v>K</v>
      </c>
      <c r="M343" s="9">
        <v>85</v>
      </c>
      <c r="N343" s="9" t="str">
        <f>IFERROR(MID(VLOOKUP($B343,Seqs!$A:$B,2,0),O343,1),"")</f>
        <v>K</v>
      </c>
      <c r="O343" s="9">
        <v>117</v>
      </c>
      <c r="P343" s="9" t="str">
        <f>IFERROR(MID(VLOOKUP($B343,Seqs!$A:$B,2,0),Q343,1),"")</f>
        <v>Q</v>
      </c>
      <c r="Q343" s="9">
        <v>118</v>
      </c>
      <c r="R343" s="9" t="str">
        <f>IFERROR(MID(VLOOKUP($B343,Seqs!$A:$B,2,0),S343,1),"")</f>
        <v>S</v>
      </c>
      <c r="S343" s="9">
        <v>126</v>
      </c>
      <c r="T343" s="9" t="str">
        <f>IFERROR(MID(VLOOKUP($B343,Seqs!$A:$B,2,0),U343,1),"")</f>
        <v>G</v>
      </c>
      <c r="U343" s="9">
        <v>127</v>
      </c>
      <c r="V343" s="9" t="str">
        <f>IFERROR(MID(VLOOKUP($B343,Seqs!$A:$B,2,0),W343,1),"")</f>
        <v>A</v>
      </c>
      <c r="W343" s="9">
        <v>161</v>
      </c>
      <c r="X343" s="9" t="str">
        <f>IFERROR(MID(VLOOKUP($B343,Seqs!$A:$B,2,0),Y343,1),"")</f>
        <v>P</v>
      </c>
      <c r="Y343" s="9">
        <v>162</v>
      </c>
      <c r="Z343" s="9" t="str">
        <f>IFERROR(MID(VLOOKUP($B343,Seqs!$A:$B,2,0),AA343,1),"")</f>
        <v>M</v>
      </c>
      <c r="AA343" s="9">
        <v>169</v>
      </c>
      <c r="AB343" s="9" t="str">
        <f>IFERROR(MID(VLOOKUP($B343,Seqs!$A:$B,2,0),AC343,1),"")</f>
        <v>K</v>
      </c>
      <c r="AC343" s="9">
        <v>170</v>
      </c>
      <c r="AD343" s="9" t="str">
        <f>IFERROR(MID(VLOOKUP($B343,Seqs!$A:$B,2,0),AE343,1),"")</f>
        <v>G</v>
      </c>
      <c r="AE343" s="9">
        <v>195</v>
      </c>
      <c r="AF343" s="9" t="str">
        <f>IFERROR(MID(VLOOKUP($B343,Seqs!$A:$B,2,0),AG343,1),"")</f>
        <v>C</v>
      </c>
      <c r="AG343" s="9">
        <v>208</v>
      </c>
      <c r="AH343" s="9" t="str">
        <f>IFERROR(MID(VLOOKUP($B343,Seqs!$A:$B,2,0),AI343,1),"")</f>
        <v>I</v>
      </c>
      <c r="AI343" s="9">
        <v>210</v>
      </c>
      <c r="AJ343" s="9" t="str">
        <f>IFERROR(MID(VLOOKUP($B343,Seqs!$A:$B,2,0),AK343,1),"")</f>
        <v>W</v>
      </c>
      <c r="AK343" s="9">
        <v>225</v>
      </c>
      <c r="AL343" s="9" t="str">
        <f>IFERROR(MID(VLOOKUP($B343,Seqs!$A:$B,2,0),AM343,1),"")</f>
        <v>S</v>
      </c>
      <c r="AM343" s="9">
        <v>258</v>
      </c>
      <c r="AN343" s="9" t="str">
        <f>IFERROR(MID(VLOOKUP($B343,Seqs!$A:$B,2,0),AO343,1),"")</f>
        <v>R</v>
      </c>
      <c r="AO343" s="9">
        <v>275</v>
      </c>
      <c r="AP343" s="9" t="str">
        <f>IFERROR(MID(VLOOKUP($B343,Seqs!$A:$B,2,0),AQ343,1),"")</f>
        <v>F</v>
      </c>
      <c r="AQ343" s="9">
        <v>307</v>
      </c>
      <c r="AR343" s="9" t="str">
        <f>IFERROR(MID(VLOOKUP($B343,Seqs!$A:$B,2,0),AS343,1),"")</f>
        <v>K</v>
      </c>
      <c r="AS343" s="9">
        <v>323</v>
      </c>
      <c r="AT343" s="9" t="str">
        <f>IFERROR(MID(VLOOKUP($B343,Seqs!$A:$B,2,0),AU343,1),"")</f>
        <v>Y</v>
      </c>
      <c r="AU343" s="9">
        <v>346</v>
      </c>
      <c r="AV343" s="9" t="str">
        <f>IFERROR(MID(VLOOKUP($B343,Seqs!$A:$B,2,0),AW343,1),"")</f>
        <v>L</v>
      </c>
      <c r="AW343" s="9">
        <v>347</v>
      </c>
      <c r="AX343" s="9" t="str">
        <f>IFERROR(MID(VLOOKUP($B343,Seqs!$A:$B,2,0),AY343,1),"")</f>
        <v>L</v>
      </c>
      <c r="AY343" s="9">
        <v>353</v>
      </c>
      <c r="AZ343" s="110" t="str">
        <f>VLOOKUP(B343,Classification!A:D,2,0)</f>
        <v>A</v>
      </c>
      <c r="BA343" s="98" t="str">
        <f>VLOOKUP(B343,Classification!A:D,4,0)</f>
        <v>Prostanoid</v>
      </c>
      <c r="BB343" s="36" t="b">
        <f t="shared" si="2573"/>
        <v>1</v>
      </c>
      <c r="BC343" s="109">
        <f t="shared" si="2574"/>
        <v>240</v>
      </c>
      <c r="BD343" s="40" t="s">
        <v>1429</v>
      </c>
      <c r="BE343" s="9" t="s">
        <v>1471</v>
      </c>
      <c r="BF343" s="119">
        <v>2.5</v>
      </c>
      <c r="BG343" s="51" t="s">
        <v>1</v>
      </c>
      <c r="BH343" s="51" t="s">
        <v>1</v>
      </c>
      <c r="BJ343" s="111" t="s">
        <v>1287</v>
      </c>
      <c r="BK343" s="112" t="s">
        <v>1287</v>
      </c>
      <c r="BL343" s="112" t="s">
        <v>1287</v>
      </c>
      <c r="BM343" s="112" t="s">
        <v>1287</v>
      </c>
      <c r="BN343" s="112" t="s">
        <v>1287</v>
      </c>
      <c r="BO343" s="112" t="s">
        <v>1287</v>
      </c>
      <c r="BP343" s="112" t="s">
        <v>1287</v>
      </c>
      <c r="BQ343" s="112" t="s">
        <v>1287</v>
      </c>
      <c r="BR343" s="112" t="s">
        <v>1287</v>
      </c>
      <c r="BS343" s="112" t="s">
        <v>1287</v>
      </c>
      <c r="BT343" s="112" t="s">
        <v>1287</v>
      </c>
      <c r="BU343" s="112" t="s">
        <v>1287</v>
      </c>
      <c r="BV343" s="111">
        <f t="shared" si="2575"/>
        <v>52</v>
      </c>
      <c r="BW343" s="113" t="str">
        <f t="shared" si="2576"/>
        <v>-</v>
      </c>
      <c r="BX343" s="114">
        <f t="shared" si="2577"/>
        <v>85</v>
      </c>
      <c r="BY343" s="113">
        <f t="shared" si="2578"/>
        <v>118</v>
      </c>
      <c r="BZ343" s="114">
        <f t="shared" si="2579"/>
        <v>127</v>
      </c>
      <c r="CA343" s="113">
        <f t="shared" si="2580"/>
        <v>162</v>
      </c>
      <c r="CB343" s="114">
        <f t="shared" si="2581"/>
        <v>170</v>
      </c>
      <c r="CC343" s="113">
        <f t="shared" si="2582"/>
        <v>208</v>
      </c>
      <c r="CD343" s="114">
        <f t="shared" si="2583"/>
        <v>225</v>
      </c>
      <c r="CE343" s="113">
        <f t="shared" si="2584"/>
        <v>275</v>
      </c>
      <c r="CF343" s="114">
        <f t="shared" si="2585"/>
        <v>323</v>
      </c>
      <c r="CG343" s="113">
        <f t="shared" si="2586"/>
        <v>347</v>
      </c>
      <c r="CH343" s="111">
        <f t="shared" si="2587"/>
        <v>78</v>
      </c>
      <c r="CI343" s="113" t="str">
        <f t="shared" si="2588"/>
        <v>-</v>
      </c>
      <c r="CJ343" s="114">
        <f t="shared" si="2589"/>
        <v>117</v>
      </c>
      <c r="CK343" s="114">
        <f t="shared" si="2590"/>
        <v>126</v>
      </c>
      <c r="CL343" s="114">
        <f t="shared" si="2591"/>
        <v>161</v>
      </c>
      <c r="CM343" s="114">
        <f t="shared" si="2592"/>
        <v>169</v>
      </c>
      <c r="CN343" s="114">
        <f t="shared" si="2593"/>
        <v>195</v>
      </c>
      <c r="CO343" s="114">
        <f t="shared" si="2594"/>
        <v>210</v>
      </c>
      <c r="CP343" s="114">
        <f t="shared" si="2595"/>
        <v>258</v>
      </c>
      <c r="CQ343" s="114">
        <f t="shared" si="2596"/>
        <v>307</v>
      </c>
      <c r="CR343" s="114">
        <f t="shared" si="2597"/>
        <v>346</v>
      </c>
      <c r="CS343" s="114">
        <f t="shared" si="2598"/>
        <v>353</v>
      </c>
      <c r="CT343" s="109" t="e">
        <f t="shared" si="2599"/>
        <v>#VALUE!</v>
      </c>
    </row>
    <row r="344" spans="1:1029" x14ac:dyDescent="0.2">
      <c r="A344" s="9" t="str">
        <f t="shared" ref="A344" si="2628">CONCATENATE(B344,"_",C344)</f>
        <v>pe2r4_human__wt</v>
      </c>
      <c r="B344" s="9" t="s">
        <v>364</v>
      </c>
      <c r="C344" s="9" t="s">
        <v>100</v>
      </c>
      <c r="D344" s="9" t="str">
        <f>IFERROR(MID(VLOOKUP($B344,Seqs!$A:$B,2,0),E344,1),"")</f>
        <v>N</v>
      </c>
      <c r="E344" s="9">
        <v>18</v>
      </c>
      <c r="F344" s="9" t="str">
        <f>IFERROR(MID(VLOOKUP($B344,Seqs!$A:$B,2,0),G344,1),"")</f>
        <v>C</v>
      </c>
      <c r="G344" s="9">
        <v>43</v>
      </c>
      <c r="H344" s="9" t="str">
        <f>IFERROR(MID(VLOOKUP($B344,Seqs!$A:$B,2,0),I344,1),"")</f>
        <v/>
      </c>
      <c r="I344" s="109" t="s">
        <v>23</v>
      </c>
      <c r="J344" s="9" t="str">
        <f>IFERROR(MID(VLOOKUP($B344,Seqs!$A:$B,2,0),K344,1),"")</f>
        <v/>
      </c>
      <c r="K344" s="109" t="s">
        <v>23</v>
      </c>
      <c r="L344" s="9" t="str">
        <f>IFERROR(MID(VLOOKUP($B344,Seqs!$A:$B,2,0),M344,1),"")</f>
        <v>E</v>
      </c>
      <c r="M344" s="9">
        <v>51</v>
      </c>
      <c r="N344" s="9" t="str">
        <f>IFERROR(MID(VLOOKUP($B344,Seqs!$A:$B,2,0),O344,1),"")</f>
        <v>K</v>
      </c>
      <c r="O344" s="9">
        <v>82</v>
      </c>
      <c r="P344" s="9" t="str">
        <f>IFERROR(MID(VLOOKUP($B344,Seqs!$A:$B,2,0),Q344,1),"")</f>
        <v>Q</v>
      </c>
      <c r="Q344" s="9">
        <v>84</v>
      </c>
      <c r="R344" s="9" t="str">
        <f>IFERROR(MID(VLOOKUP($B344,Seqs!$A:$B,2,0),S344,1),"")</f>
        <v>G</v>
      </c>
      <c r="S344" s="9">
        <v>87</v>
      </c>
      <c r="T344" s="9" t="str">
        <f>IFERROR(MID(VLOOKUP($B344,Seqs!$A:$B,2,0),U344,1),"")</f>
        <v>G</v>
      </c>
      <c r="U344" s="9">
        <v>88</v>
      </c>
      <c r="V344" s="9" t="str">
        <f>IFERROR(MID(VLOOKUP($B344,Seqs!$A:$B,2,0),W344,1),"")</f>
        <v>H</v>
      </c>
      <c r="W344" s="9">
        <v>123</v>
      </c>
      <c r="X344" s="9" t="str">
        <f>IFERROR(MID(VLOOKUP($B344,Seqs!$A:$B,2,0),Y344,1),"")</f>
        <v>A</v>
      </c>
      <c r="Y344" s="9">
        <v>124</v>
      </c>
      <c r="Z344" s="9" t="str">
        <f>IFERROR(MID(VLOOKUP($B344,Seqs!$A:$B,2,0),AA344,1),"")</f>
        <v>V</v>
      </c>
      <c r="AA344" s="9">
        <v>131</v>
      </c>
      <c r="AB344" s="9" t="str">
        <f>IFERROR(MID(VLOOKUP($B344,Seqs!$A:$B,2,0),AC344,1),"")</f>
        <v>D</v>
      </c>
      <c r="AC344" s="9">
        <v>132</v>
      </c>
      <c r="AD344" s="9" t="str">
        <f>IFERROR(MID(VLOOKUP($B344,Seqs!$A:$B,2,0),AE344,1),"")</f>
        <v>G</v>
      </c>
      <c r="AE344" s="9">
        <v>157</v>
      </c>
      <c r="AF344" s="9" t="str">
        <f>IFERROR(MID(VLOOKUP($B344,Seqs!$A:$B,2,0),AG344,1),"")</f>
        <v>C</v>
      </c>
      <c r="AG344" s="9">
        <v>170</v>
      </c>
      <c r="AH344" s="9" t="str">
        <f>IFERROR(MID(VLOOKUP($B344,Seqs!$A:$B,2,0),AI344,1),"")</f>
        <v>I</v>
      </c>
      <c r="AI344" s="9">
        <v>172</v>
      </c>
      <c r="AJ344" s="9" t="str">
        <f>IFERROR(MID(VLOOKUP($B344,Seqs!$A:$B,2,0),AK344,1),"")</f>
        <v>V</v>
      </c>
      <c r="AK344" s="9">
        <v>178</v>
      </c>
      <c r="AL344" s="9" t="str">
        <f>IFERROR(MID(VLOOKUP($B344,Seqs!$A:$B,2,0),AM344,1),"")</f>
        <v>L</v>
      </c>
      <c r="AM344" s="9">
        <v>223</v>
      </c>
      <c r="AN344" s="9" t="str">
        <f>IFERROR(MID(VLOOKUP($B344,Seqs!$A:$B,2,0),AO344,1),"")</f>
        <v>R</v>
      </c>
      <c r="AO344" s="9">
        <v>261</v>
      </c>
      <c r="AP344" s="9" t="str">
        <f>IFERROR(MID(VLOOKUP($B344,Seqs!$A:$B,2,0),AQ344,1),"")</f>
        <v>Y</v>
      </c>
      <c r="AQ344" s="9">
        <v>298</v>
      </c>
      <c r="AR344" s="9" t="str">
        <f>IFERROR(MID(VLOOKUP($B344,Seqs!$A:$B,2,0),AS344,1),"")</f>
        <v>N</v>
      </c>
      <c r="AS344" s="9">
        <v>309</v>
      </c>
      <c r="AT344" s="9" t="str">
        <f>IFERROR(MID(VLOOKUP($B344,Seqs!$A:$B,2,0),AU344,1),"")</f>
        <v>L</v>
      </c>
      <c r="AU344" s="9">
        <v>332</v>
      </c>
      <c r="AV344" s="9" t="str">
        <f>IFERROR(MID(VLOOKUP($B344,Seqs!$A:$B,2,0),AW344,1),"")</f>
        <v>R</v>
      </c>
      <c r="AW344" s="9">
        <v>333</v>
      </c>
      <c r="AX344" s="9" t="str">
        <f>IFERROR(MID(VLOOKUP($B344,Seqs!$A:$B,2,0),AY344,1),"")</f>
        <v>C</v>
      </c>
      <c r="AY344" s="9">
        <v>346</v>
      </c>
      <c r="AZ344" s="110" t="str">
        <f>VLOOKUP(B344,Classification!A:D,2,0)</f>
        <v>A</v>
      </c>
      <c r="BA344" s="98" t="str">
        <f>VLOOKUP(B344,Classification!A:D,4,0)</f>
        <v>Prostanoid</v>
      </c>
      <c r="BB344" s="36" t="b">
        <f t="shared" ref="BB344" si="2629">AND(E344&lt;G344,OR(G344&lt;I344,I344="-"),OR(I344&lt;K344,I344="-"),OR(K344&lt;M344,K344="-"),M344&lt;O344,OR(O344&lt;Q344,Q344="-"),OR(Q344&lt;S344,Q344="-"),OR(S344&lt;U344,S344="-"),U344&lt;W344,OR(W344&lt;Y344,Y344="-"),OR(Y344&lt;AA344,Y344="-"),OR(AA344&lt;AC344,AA344="-"),AC344&lt;AE344,OR(AE344&lt;AG344,AG344="-"),OR(AG344&lt;AI344,AG344="-"),OR(AI344&lt;AK344,AI344="-"),AK344&lt;AM344,AM344&lt;AO344,AO344&lt;AQ344,AQ344&lt;AS344,AS344&lt;AU344,OR(AU344&lt;AW344,AW344="-"),OR(AW344&lt;AY344,AW344="-"))</f>
        <v>1</v>
      </c>
      <c r="BC344" s="109">
        <f t="shared" ref="BC344" si="2630">_xlfn.AGGREGATE(9,6,CH344:CS344)-_xlfn.AGGREGATE(9,6,BV344:CG344)+12</f>
        <v>258</v>
      </c>
      <c r="BD344" s="40" t="s">
        <v>23</v>
      </c>
      <c r="BE344" s="9" t="s">
        <v>23</v>
      </c>
      <c r="BF344" s="119" t="s">
        <v>23</v>
      </c>
      <c r="BG344" s="51" t="s">
        <v>23</v>
      </c>
      <c r="BH344" s="51" t="s">
        <v>23</v>
      </c>
      <c r="BI344" s="12"/>
      <c r="BJ344" s="111" t="s">
        <v>1287</v>
      </c>
      <c r="BK344" s="112" t="s">
        <v>1287</v>
      </c>
      <c r="BL344" s="112" t="s">
        <v>1287</v>
      </c>
      <c r="BM344" s="112" t="s">
        <v>1287</v>
      </c>
      <c r="BN344" s="112" t="s">
        <v>1287</v>
      </c>
      <c r="BO344" s="112" t="s">
        <v>1287</v>
      </c>
      <c r="BP344" s="112" t="s">
        <v>1287</v>
      </c>
      <c r="BQ344" s="112" t="s">
        <v>1287</v>
      </c>
      <c r="BR344" s="112" t="s">
        <v>1287</v>
      </c>
      <c r="BS344" s="112" t="s">
        <v>1287</v>
      </c>
      <c r="BT344" s="112" t="s">
        <v>1287</v>
      </c>
      <c r="BU344" s="112" t="s">
        <v>1287</v>
      </c>
      <c r="BV344" s="111">
        <f t="shared" ref="BV344" si="2631">E344</f>
        <v>18</v>
      </c>
      <c r="BW344" s="113" t="str">
        <f t="shared" ref="BW344" si="2632">I344</f>
        <v>-</v>
      </c>
      <c r="BX344" s="114">
        <f t="shared" ref="BX344" si="2633">M344</f>
        <v>51</v>
      </c>
      <c r="BY344" s="113">
        <f t="shared" ref="BY344" si="2634">Q344</f>
        <v>84</v>
      </c>
      <c r="BZ344" s="114">
        <f t="shared" ref="BZ344" si="2635">U344</f>
        <v>88</v>
      </c>
      <c r="CA344" s="113">
        <f t="shared" ref="CA344" si="2636">Y344</f>
        <v>124</v>
      </c>
      <c r="CB344" s="114">
        <f t="shared" ref="CB344" si="2637">AC344</f>
        <v>132</v>
      </c>
      <c r="CC344" s="113">
        <f t="shared" ref="CC344" si="2638">AG344</f>
        <v>170</v>
      </c>
      <c r="CD344" s="114">
        <f t="shared" ref="CD344" si="2639">AK344</f>
        <v>178</v>
      </c>
      <c r="CE344" s="113">
        <f t="shared" ref="CE344" si="2640">AO344</f>
        <v>261</v>
      </c>
      <c r="CF344" s="114">
        <f t="shared" ref="CF344" si="2641">AS344</f>
        <v>309</v>
      </c>
      <c r="CG344" s="113">
        <f t="shared" ref="CG344" si="2642">AW344</f>
        <v>333</v>
      </c>
      <c r="CH344" s="111">
        <f t="shared" ref="CH344" si="2643">G344</f>
        <v>43</v>
      </c>
      <c r="CI344" s="113" t="str">
        <f t="shared" ref="CI344" si="2644">K344</f>
        <v>-</v>
      </c>
      <c r="CJ344" s="114">
        <f t="shared" ref="CJ344" si="2645">O344</f>
        <v>82</v>
      </c>
      <c r="CK344" s="114">
        <f t="shared" ref="CK344" si="2646">S344</f>
        <v>87</v>
      </c>
      <c r="CL344" s="114">
        <f t="shared" ref="CL344" si="2647">W344</f>
        <v>123</v>
      </c>
      <c r="CM344" s="114">
        <f t="shared" ref="CM344" si="2648">AA344</f>
        <v>131</v>
      </c>
      <c r="CN344" s="114">
        <f t="shared" ref="CN344" si="2649">AE344</f>
        <v>157</v>
      </c>
      <c r="CO344" s="114">
        <f t="shared" ref="CO344" si="2650">AI344</f>
        <v>172</v>
      </c>
      <c r="CP344" s="114">
        <f t="shared" ref="CP344" si="2651">AM344</f>
        <v>223</v>
      </c>
      <c r="CQ344" s="114">
        <f t="shared" ref="CQ344" si="2652">AQ344</f>
        <v>298</v>
      </c>
      <c r="CR344" s="114">
        <f t="shared" ref="CR344" si="2653">AU344</f>
        <v>332</v>
      </c>
      <c r="CS344" s="114">
        <f t="shared" ref="CS344" si="2654">AY344</f>
        <v>346</v>
      </c>
      <c r="CT344" s="109" t="e">
        <f t="shared" ref="CT344" si="2655">M344-K344</f>
        <v>#VALUE!</v>
      </c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</row>
    <row r="345" spans="1:1029" x14ac:dyDescent="0.2">
      <c r="A345" s="9" t="str">
        <f>CONCATENATE(B345,"_",C345)</f>
        <v>pe2r4_human_5YWY</v>
      </c>
      <c r="B345" s="9" t="s">
        <v>364</v>
      </c>
      <c r="C345" s="9" t="s">
        <v>1536</v>
      </c>
      <c r="D345" s="9" t="str">
        <f>IFERROR(MID(VLOOKUP($B345,Seqs!$A:$B,2,0),E345,1),"")</f>
        <v>N</v>
      </c>
      <c r="E345" s="9">
        <v>18</v>
      </c>
      <c r="F345" s="9" t="str">
        <f>IFERROR(MID(VLOOKUP($B345,Seqs!$A:$B,2,0),G345,1),"")</f>
        <v>C</v>
      </c>
      <c r="G345" s="9">
        <v>43</v>
      </c>
      <c r="H345" s="9" t="str">
        <f>IFERROR(MID(VLOOKUP($B345,Seqs!$A:$B,2,0),I345,1),"")</f>
        <v/>
      </c>
      <c r="I345" s="109" t="s">
        <v>23</v>
      </c>
      <c r="J345" s="9" t="str">
        <f>IFERROR(MID(VLOOKUP($B345,Seqs!$A:$B,2,0),K345,1),"")</f>
        <v/>
      </c>
      <c r="K345" s="109" t="s">
        <v>23</v>
      </c>
      <c r="L345" s="9" t="str">
        <f>IFERROR(MID(VLOOKUP($B345,Seqs!$A:$B,2,0),M345,1),"")</f>
        <v>E</v>
      </c>
      <c r="M345" s="9">
        <v>51</v>
      </c>
      <c r="N345" s="9" t="str">
        <f>IFERROR(MID(VLOOKUP($B345,Seqs!$A:$B,2,0),O345,1),"")</f>
        <v>K</v>
      </c>
      <c r="O345" s="9">
        <v>82</v>
      </c>
      <c r="P345" s="9" t="str">
        <f>IFERROR(MID(VLOOKUP($B345,Seqs!$A:$B,2,0),Q345,1),"")</f>
        <v>Q</v>
      </c>
      <c r="Q345" s="9">
        <v>84</v>
      </c>
      <c r="R345" s="9" t="str">
        <f>IFERROR(MID(VLOOKUP($B345,Seqs!$A:$B,2,0),S345,1),"")</f>
        <v>G</v>
      </c>
      <c r="S345" s="9">
        <v>87</v>
      </c>
      <c r="T345" s="9" t="str">
        <f>IFERROR(MID(VLOOKUP($B345,Seqs!$A:$B,2,0),U345,1),"")</f>
        <v>G</v>
      </c>
      <c r="U345" s="9">
        <v>88</v>
      </c>
      <c r="V345" s="9" t="str">
        <f>IFERROR(MID(VLOOKUP($B345,Seqs!$A:$B,2,0),W345,1),"")</f>
        <v>H</v>
      </c>
      <c r="W345" s="9">
        <v>123</v>
      </c>
      <c r="X345" s="9" t="str">
        <f>IFERROR(MID(VLOOKUP($B345,Seqs!$A:$B,2,0),Y345,1),"")</f>
        <v>A</v>
      </c>
      <c r="Y345" s="9">
        <v>124</v>
      </c>
      <c r="Z345" s="9" t="str">
        <f>IFERROR(MID(VLOOKUP($B345,Seqs!$A:$B,2,0),AA345,1),"")</f>
        <v>V</v>
      </c>
      <c r="AA345" s="9">
        <v>131</v>
      </c>
      <c r="AB345" s="9" t="str">
        <f>IFERROR(MID(VLOOKUP($B345,Seqs!$A:$B,2,0),AC345,1),"")</f>
        <v>D</v>
      </c>
      <c r="AC345" s="9">
        <v>132</v>
      </c>
      <c r="AD345" s="9" t="str">
        <f>IFERROR(MID(VLOOKUP($B345,Seqs!$A:$B,2,0),AE345,1),"")</f>
        <v>G</v>
      </c>
      <c r="AE345" s="9">
        <v>157</v>
      </c>
      <c r="AF345" s="9" t="str">
        <f>IFERROR(MID(VLOOKUP($B345,Seqs!$A:$B,2,0),AG345,1),"")</f>
        <v>C</v>
      </c>
      <c r="AG345" s="9">
        <v>170</v>
      </c>
      <c r="AH345" s="9" t="str">
        <f>IFERROR(MID(VLOOKUP($B345,Seqs!$A:$B,2,0),AI345,1),"")</f>
        <v>I</v>
      </c>
      <c r="AI345" s="9">
        <v>172</v>
      </c>
      <c r="AJ345" s="9" t="str">
        <f>IFERROR(MID(VLOOKUP($B345,Seqs!$A:$B,2,0),AK345,1),"")</f>
        <v>V</v>
      </c>
      <c r="AK345" s="9">
        <v>178</v>
      </c>
      <c r="AL345" s="9" t="str">
        <f>IFERROR(MID(VLOOKUP($B345,Seqs!$A:$B,2,0),AM345,1),"")</f>
        <v>H</v>
      </c>
      <c r="AM345" s="9">
        <v>214</v>
      </c>
      <c r="AN345" s="9" t="str">
        <f>IFERROR(MID(VLOOKUP($B345,Seqs!$A:$B,2,0),AO345,1),"")</f>
        <v>A</v>
      </c>
      <c r="AO345" s="9">
        <v>266</v>
      </c>
      <c r="AP345" s="9" t="str">
        <f>IFERROR(MID(VLOOKUP($B345,Seqs!$A:$B,2,0),AQ345,1),"")</f>
        <v>Y</v>
      </c>
      <c r="AQ345" s="9">
        <v>298</v>
      </c>
      <c r="AR345" s="9" t="str">
        <f>IFERROR(MID(VLOOKUP($B345,Seqs!$A:$B,2,0),AS345,1),"")</f>
        <v>N</v>
      </c>
      <c r="AS345" s="9">
        <v>309</v>
      </c>
      <c r="AT345" s="9" t="str">
        <f>IFERROR(MID(VLOOKUP($B345,Seqs!$A:$B,2,0),AU345,1),"")</f>
        <v>L</v>
      </c>
      <c r="AU345" s="9">
        <v>332</v>
      </c>
      <c r="AV345" s="9" t="str">
        <f>IFERROR(MID(VLOOKUP($B345,Seqs!$A:$B,2,0),AW345,1),"")</f>
        <v>R</v>
      </c>
      <c r="AW345" s="9">
        <v>333</v>
      </c>
      <c r="AX345" s="9" t="str">
        <f>IFERROR(MID(VLOOKUP($B345,Seqs!$A:$B,2,0),AY345,1),"")</f>
        <v>I</v>
      </c>
      <c r="AY345" s="9">
        <v>344</v>
      </c>
      <c r="AZ345" s="110" t="str">
        <f>VLOOKUP(B345,Classification!A:D,2,0)</f>
        <v>A</v>
      </c>
      <c r="BA345" s="98" t="str">
        <f>VLOOKUP(B345,Classification!A:D,4,0)</f>
        <v>Prostanoid</v>
      </c>
      <c r="BB345" s="36" t="b">
        <f>AND(E345&lt;G345,OR(G345&lt;I345,I345="-"),OR(I345&lt;K345,I345="-"),OR(K345&lt;M345,K345="-"),M345&lt;O345,OR(O345&lt;Q345,Q345="-"),OR(Q345&lt;S345,Q345="-"),OR(S345&lt;U345,S345="-"),U345&lt;W345,OR(W345&lt;Y345,Y345="-"),OR(Y345&lt;AA345,Y345="-"),OR(AA345&lt;AC345,AA345="-"),AC345&lt;AE345,OR(AE345&lt;AG345,AG345="-"),OR(AG345&lt;AI345,AG345="-"),OR(AI345&lt;AK345,AI345="-"),AK345&lt;AM345,AM345&lt;AO345,AO345&lt;AQ345,AQ345&lt;AS345,AS345&lt;AU345,OR(AU345&lt;AW345,AW345="-"),OR(AW345&lt;AY345,AW345="-"))</f>
        <v>1</v>
      </c>
      <c r="BC345" s="109">
        <f>_xlfn.AGGREGATE(9,6,CH345:CS345)-_xlfn.AGGREGATE(9,6,BV345:CG345)+12</f>
        <v>242</v>
      </c>
      <c r="BD345" s="40" t="s">
        <v>1376</v>
      </c>
      <c r="BE345" s="9" t="s">
        <v>1374</v>
      </c>
      <c r="BF345" s="119">
        <v>3.2</v>
      </c>
      <c r="BG345" s="51" t="s">
        <v>1</v>
      </c>
      <c r="BH345" s="51" t="s">
        <v>1</v>
      </c>
      <c r="BI345" s="12"/>
      <c r="BJ345" s="111" t="s">
        <v>1287</v>
      </c>
      <c r="BK345" s="112" t="s">
        <v>1287</v>
      </c>
      <c r="BL345" s="112" t="s">
        <v>1287</v>
      </c>
      <c r="BM345" s="112" t="s">
        <v>1287</v>
      </c>
      <c r="BN345" s="112" t="s">
        <v>1287</v>
      </c>
      <c r="BO345" s="112" t="s">
        <v>1287</v>
      </c>
      <c r="BP345" s="112" t="s">
        <v>1287</v>
      </c>
      <c r="BQ345" s="112" t="s">
        <v>1287</v>
      </c>
      <c r="BR345" s="112" t="s">
        <v>1287</v>
      </c>
      <c r="BS345" s="112" t="s">
        <v>1287</v>
      </c>
      <c r="BT345" s="112" t="s">
        <v>1287</v>
      </c>
      <c r="BU345" s="112" t="s">
        <v>1287</v>
      </c>
      <c r="BV345" s="111">
        <f>E345</f>
        <v>18</v>
      </c>
      <c r="BW345" s="113" t="str">
        <f>I345</f>
        <v>-</v>
      </c>
      <c r="BX345" s="114">
        <f>M345</f>
        <v>51</v>
      </c>
      <c r="BY345" s="113">
        <f>Q345</f>
        <v>84</v>
      </c>
      <c r="BZ345" s="114">
        <f>U345</f>
        <v>88</v>
      </c>
      <c r="CA345" s="113">
        <f>Y345</f>
        <v>124</v>
      </c>
      <c r="CB345" s="114">
        <f>AC345</f>
        <v>132</v>
      </c>
      <c r="CC345" s="113">
        <f>AG345</f>
        <v>170</v>
      </c>
      <c r="CD345" s="114">
        <f>AK345</f>
        <v>178</v>
      </c>
      <c r="CE345" s="113">
        <f>AO345</f>
        <v>266</v>
      </c>
      <c r="CF345" s="114">
        <f>AS345</f>
        <v>309</v>
      </c>
      <c r="CG345" s="113">
        <f>AW345</f>
        <v>333</v>
      </c>
      <c r="CH345" s="111">
        <f>G345</f>
        <v>43</v>
      </c>
      <c r="CI345" s="113" t="str">
        <f>K345</f>
        <v>-</v>
      </c>
      <c r="CJ345" s="114">
        <f>O345</f>
        <v>82</v>
      </c>
      <c r="CK345" s="114">
        <f>S345</f>
        <v>87</v>
      </c>
      <c r="CL345" s="114">
        <f>W345</f>
        <v>123</v>
      </c>
      <c r="CM345" s="114">
        <f>AA345</f>
        <v>131</v>
      </c>
      <c r="CN345" s="114">
        <f>AE345</f>
        <v>157</v>
      </c>
      <c r="CO345" s="114">
        <f>AI345</f>
        <v>172</v>
      </c>
      <c r="CP345" s="114">
        <f>AM345</f>
        <v>214</v>
      </c>
      <c r="CQ345" s="114">
        <f>AQ345</f>
        <v>298</v>
      </c>
      <c r="CR345" s="114">
        <f>AU345</f>
        <v>332</v>
      </c>
      <c r="CS345" s="114">
        <f>AY345</f>
        <v>344</v>
      </c>
      <c r="CT345" s="109" t="e">
        <f>M345-K345</f>
        <v>#VALUE!</v>
      </c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</row>
    <row r="346" spans="1:1029" x14ac:dyDescent="0.2">
      <c r="A346" s="9" t="str">
        <f>CONCATENATE(B346,"_",C346)</f>
        <v>pe2r4_human_5YHL</v>
      </c>
      <c r="B346" s="9" t="s">
        <v>364</v>
      </c>
      <c r="C346" s="9" t="s">
        <v>1537</v>
      </c>
      <c r="D346" s="9" t="str">
        <f>IFERROR(MID(VLOOKUP($B346,Seqs!$A:$B,2,0),E346,1),"")</f>
        <v>N</v>
      </c>
      <c r="E346" s="9">
        <v>18</v>
      </c>
      <c r="F346" s="9" t="str">
        <f>IFERROR(MID(VLOOKUP($B346,Seqs!$A:$B,2,0),G346,1),"")</f>
        <v>C</v>
      </c>
      <c r="G346" s="9">
        <v>43</v>
      </c>
      <c r="H346" s="9" t="str">
        <f>IFERROR(MID(VLOOKUP($B346,Seqs!$A:$B,2,0),I346,1),"")</f>
        <v/>
      </c>
      <c r="I346" s="109" t="s">
        <v>23</v>
      </c>
      <c r="J346" s="9" t="str">
        <f>IFERROR(MID(VLOOKUP($B346,Seqs!$A:$B,2,0),K346,1),"")</f>
        <v/>
      </c>
      <c r="K346" s="109" t="s">
        <v>23</v>
      </c>
      <c r="L346" s="9" t="str">
        <f>IFERROR(MID(VLOOKUP($B346,Seqs!$A:$B,2,0),M346,1),"")</f>
        <v>E</v>
      </c>
      <c r="M346" s="9">
        <v>51</v>
      </c>
      <c r="N346" s="9" t="str">
        <f>IFERROR(MID(VLOOKUP($B346,Seqs!$A:$B,2,0),O346,1),"")</f>
        <v>K</v>
      </c>
      <c r="O346" s="9">
        <v>82</v>
      </c>
      <c r="P346" s="9" t="str">
        <f>IFERROR(MID(VLOOKUP($B346,Seqs!$A:$B,2,0),Q346,1),"")</f>
        <v>Q</v>
      </c>
      <c r="Q346" s="9">
        <v>84</v>
      </c>
      <c r="R346" s="9" t="str">
        <f>IFERROR(MID(VLOOKUP($B346,Seqs!$A:$B,2,0),S346,1),"")</f>
        <v>G</v>
      </c>
      <c r="S346" s="9">
        <v>87</v>
      </c>
      <c r="T346" s="9" t="str">
        <f>IFERROR(MID(VLOOKUP($B346,Seqs!$A:$B,2,0),U346,1),"")</f>
        <v>G</v>
      </c>
      <c r="U346" s="9">
        <v>88</v>
      </c>
      <c r="V346" s="9" t="str">
        <f>IFERROR(MID(VLOOKUP($B346,Seqs!$A:$B,2,0),W346,1),"")</f>
        <v>H</v>
      </c>
      <c r="W346" s="9">
        <v>123</v>
      </c>
      <c r="X346" s="9" t="str">
        <f>IFERROR(MID(VLOOKUP($B346,Seqs!$A:$B,2,0),Y346,1),"")</f>
        <v>A</v>
      </c>
      <c r="Y346" s="9">
        <v>124</v>
      </c>
      <c r="Z346" s="9" t="str">
        <f>IFERROR(MID(VLOOKUP($B346,Seqs!$A:$B,2,0),AA346,1),"")</f>
        <v>V</v>
      </c>
      <c r="AA346" s="9">
        <v>131</v>
      </c>
      <c r="AB346" s="9" t="str">
        <f>IFERROR(MID(VLOOKUP($B346,Seqs!$A:$B,2,0),AC346,1),"")</f>
        <v>D</v>
      </c>
      <c r="AC346" s="9">
        <v>132</v>
      </c>
      <c r="AD346" s="9" t="str">
        <f>IFERROR(MID(VLOOKUP($B346,Seqs!$A:$B,2,0),AE346,1),"")</f>
        <v>G</v>
      </c>
      <c r="AE346" s="9">
        <v>157</v>
      </c>
      <c r="AF346" s="9" t="str">
        <f>IFERROR(MID(VLOOKUP($B346,Seqs!$A:$B,2,0),AG346,1),"")</f>
        <v>C</v>
      </c>
      <c r="AG346" s="9">
        <v>170</v>
      </c>
      <c r="AH346" s="9" t="str">
        <f>IFERROR(MID(VLOOKUP($B346,Seqs!$A:$B,2,0),AI346,1),"")</f>
        <v>I</v>
      </c>
      <c r="AI346" s="9">
        <v>172</v>
      </c>
      <c r="AJ346" s="9" t="str">
        <f>IFERROR(MID(VLOOKUP($B346,Seqs!$A:$B,2,0),AK346,1),"")</f>
        <v>V</v>
      </c>
      <c r="AK346" s="9">
        <v>178</v>
      </c>
      <c r="AL346" s="9" t="str">
        <f>IFERROR(MID(VLOOKUP($B346,Seqs!$A:$B,2,0),AM346,1),"")</f>
        <v>H</v>
      </c>
      <c r="AM346" s="9">
        <v>214</v>
      </c>
      <c r="AN346" s="9" t="str">
        <f>IFERROR(MID(VLOOKUP($B346,Seqs!$A:$B,2,0),AO346,1),"")</f>
        <v>A</v>
      </c>
      <c r="AO346" s="9">
        <v>266</v>
      </c>
      <c r="AP346" s="9" t="str">
        <f>IFERROR(MID(VLOOKUP($B346,Seqs!$A:$B,2,0),AQ346,1),"")</f>
        <v>Y</v>
      </c>
      <c r="AQ346" s="9">
        <v>298</v>
      </c>
      <c r="AR346" s="9" t="str">
        <f>IFERROR(MID(VLOOKUP($B346,Seqs!$A:$B,2,0),AS346,1),"")</f>
        <v>N</v>
      </c>
      <c r="AS346" s="9">
        <v>309</v>
      </c>
      <c r="AT346" s="9" t="str">
        <f>IFERROR(MID(VLOOKUP($B346,Seqs!$A:$B,2,0),AU346,1),"")</f>
        <v>L</v>
      </c>
      <c r="AU346" s="9">
        <v>332</v>
      </c>
      <c r="AV346" s="9" t="str">
        <f>IFERROR(MID(VLOOKUP($B346,Seqs!$A:$B,2,0),AW346,1),"")</f>
        <v>R</v>
      </c>
      <c r="AW346" s="9">
        <v>333</v>
      </c>
      <c r="AX346" s="9" t="str">
        <f>IFERROR(MID(VLOOKUP($B346,Seqs!$A:$B,2,0),AY346,1),"")</f>
        <v>I</v>
      </c>
      <c r="AY346" s="9">
        <v>344</v>
      </c>
      <c r="AZ346" s="110" t="str">
        <f>VLOOKUP(B346,Classification!A:D,2,0)</f>
        <v>A</v>
      </c>
      <c r="BA346" s="98" t="str">
        <f>VLOOKUP(B346,Classification!A:D,4,0)</f>
        <v>Prostanoid</v>
      </c>
      <c r="BB346" s="36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109">
        <f>_xlfn.AGGREGATE(9,6,CH346:CS346)-_xlfn.AGGREGATE(9,6,BV346:CG346)+12</f>
        <v>242</v>
      </c>
      <c r="BD346" s="40" t="s">
        <v>23</v>
      </c>
      <c r="BE346" s="9" t="s">
        <v>1374</v>
      </c>
      <c r="BF346" s="119">
        <v>4.2</v>
      </c>
      <c r="BG346" s="51" t="s">
        <v>1</v>
      </c>
      <c r="BH346" s="51" t="s">
        <v>1</v>
      </c>
      <c r="BI346" s="12"/>
      <c r="BJ346" s="111" t="s">
        <v>1287</v>
      </c>
      <c r="BK346" s="112" t="s">
        <v>1287</v>
      </c>
      <c r="BL346" s="112" t="s">
        <v>1287</v>
      </c>
      <c r="BM346" s="112" t="s">
        <v>1287</v>
      </c>
      <c r="BN346" s="112" t="s">
        <v>1287</v>
      </c>
      <c r="BO346" s="112" t="s">
        <v>1287</v>
      </c>
      <c r="BP346" s="112" t="s">
        <v>1287</v>
      </c>
      <c r="BQ346" s="112" t="s">
        <v>1287</v>
      </c>
      <c r="BR346" s="112" t="s">
        <v>1287</v>
      </c>
      <c r="BS346" s="112" t="s">
        <v>1287</v>
      </c>
      <c r="BT346" s="112" t="s">
        <v>1287</v>
      </c>
      <c r="BU346" s="112" t="s">
        <v>1287</v>
      </c>
      <c r="BV346" s="111">
        <f>E346</f>
        <v>18</v>
      </c>
      <c r="BW346" s="113" t="str">
        <f>I346</f>
        <v>-</v>
      </c>
      <c r="BX346" s="114">
        <f>M346</f>
        <v>51</v>
      </c>
      <c r="BY346" s="113">
        <f>Q346</f>
        <v>84</v>
      </c>
      <c r="BZ346" s="114">
        <f>U346</f>
        <v>88</v>
      </c>
      <c r="CA346" s="113">
        <f>Y346</f>
        <v>124</v>
      </c>
      <c r="CB346" s="114">
        <f>AC346</f>
        <v>132</v>
      </c>
      <c r="CC346" s="113">
        <f>AG346</f>
        <v>170</v>
      </c>
      <c r="CD346" s="114">
        <f>AK346</f>
        <v>178</v>
      </c>
      <c r="CE346" s="113">
        <f>AO346</f>
        <v>266</v>
      </c>
      <c r="CF346" s="114">
        <f>AS346</f>
        <v>309</v>
      </c>
      <c r="CG346" s="113">
        <f>AW346</f>
        <v>333</v>
      </c>
      <c r="CH346" s="111">
        <f>G346</f>
        <v>43</v>
      </c>
      <c r="CI346" s="113" t="str">
        <f>K346</f>
        <v>-</v>
      </c>
      <c r="CJ346" s="114">
        <f>O346</f>
        <v>82</v>
      </c>
      <c r="CK346" s="114">
        <f>S346</f>
        <v>87</v>
      </c>
      <c r="CL346" s="114">
        <f>W346</f>
        <v>123</v>
      </c>
      <c r="CM346" s="114">
        <f>AA346</f>
        <v>131</v>
      </c>
      <c r="CN346" s="114">
        <f>AE346</f>
        <v>157</v>
      </c>
      <c r="CO346" s="114">
        <f>AI346</f>
        <v>172</v>
      </c>
      <c r="CP346" s="114">
        <f>AM346</f>
        <v>214</v>
      </c>
      <c r="CQ346" s="114">
        <f>AQ346</f>
        <v>298</v>
      </c>
      <c r="CR346" s="114">
        <f>AU346</f>
        <v>332</v>
      </c>
      <c r="CS346" s="114">
        <f>AY346</f>
        <v>344</v>
      </c>
      <c r="CT346" s="109" t="e">
        <f>M346-K346</f>
        <v>#VALUE!</v>
      </c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</row>
    <row r="347" spans="1:1029" x14ac:dyDescent="0.2">
      <c r="A347" s="3" t="str">
        <f>CONCATENATE(B347,"_",C347)</f>
        <v>ptafr_human__wt</v>
      </c>
      <c r="B347" s="3" t="s">
        <v>371</v>
      </c>
      <c r="C347" s="3" t="s">
        <v>100</v>
      </c>
      <c r="D347" s="3" t="str">
        <f>IFERROR(MID(VLOOKUP($B347,Seqs!$A:$B,2,0),E347,1),"")</f>
        <v>D</v>
      </c>
      <c r="E347" s="3">
        <v>10</v>
      </c>
      <c r="F347" s="3" t="str">
        <f>IFERROR(MID(VLOOKUP($B347,Seqs!$A:$B,2,0),G347,1),"")</f>
        <v>Y</v>
      </c>
      <c r="G347" s="3">
        <v>44</v>
      </c>
      <c r="H347" s="3" t="str">
        <f>IFERROR(MID(VLOOKUP($B347,Seqs!$A:$B,2,0),I347,1),"")</f>
        <v/>
      </c>
      <c r="I347" s="23" t="s">
        <v>23</v>
      </c>
      <c r="J347" s="3" t="str">
        <f>IFERROR(MID(VLOOKUP($B347,Seqs!$A:$B,2,0),K347,1),"")</f>
        <v/>
      </c>
      <c r="K347" s="23" t="s">
        <v>23</v>
      </c>
      <c r="L347" s="3" t="str">
        <f>IFERROR(MID(VLOOKUP($B347,Seqs!$A:$B,2,0),M347,1),"")</f>
        <v>F</v>
      </c>
      <c r="M347" s="3">
        <v>49</v>
      </c>
      <c r="N347" s="3" t="str">
        <f>IFERROR(MID(VLOOKUP($B347,Seqs!$A:$B,2,0),O347,1),"")</f>
        <v>Q</v>
      </c>
      <c r="O347" s="3">
        <v>80</v>
      </c>
      <c r="P347" s="3" t="str">
        <f>IFERROR(MID(VLOOKUP($B347,Seqs!$A:$B,2,0),Q347,1),"")</f>
        <v>N</v>
      </c>
      <c r="Q347" s="3">
        <v>82</v>
      </c>
      <c r="R347" s="3" t="str">
        <f>IFERROR(MID(VLOOKUP($B347,Seqs!$A:$B,2,0),S347,1),"")</f>
        <v>L</v>
      </c>
      <c r="S347" s="3">
        <v>85</v>
      </c>
      <c r="T347" s="3" t="str">
        <f>IFERROR(MID(VLOOKUP($B347,Seqs!$A:$B,2,0),U347,1),"")</f>
        <v>P</v>
      </c>
      <c r="U347" s="3">
        <v>86</v>
      </c>
      <c r="V347" s="3" t="str">
        <f>IFERROR(MID(VLOOKUP($B347,Seqs!$A:$B,2,0),W347,1),"")</f>
        <v>R</v>
      </c>
      <c r="W347" s="3">
        <v>121</v>
      </c>
      <c r="X347" s="3" t="str">
        <f>IFERROR(MID(VLOOKUP($B347,Seqs!$A:$B,2,0),Y347,1),"")</f>
        <v>P</v>
      </c>
      <c r="Y347" s="3">
        <v>122</v>
      </c>
      <c r="Z347" s="3" t="str">
        <f>IFERROR(MID(VLOOKUP($B347,Seqs!$A:$B,2,0),AA347,1),"")</f>
        <v>N</v>
      </c>
      <c r="AA347" s="3">
        <v>129</v>
      </c>
      <c r="AB347" s="3" t="str">
        <f>IFERROR(MID(VLOOKUP($B347,Seqs!$A:$B,2,0),AC347,1),"")</f>
        <v>T</v>
      </c>
      <c r="AC347" s="3">
        <v>130</v>
      </c>
      <c r="AD347" s="3" t="str">
        <f>IFERROR(MID(VLOOKUP($B347,Seqs!$A:$B,2,0),AE347,1),"")</f>
        <v>L</v>
      </c>
      <c r="AE347" s="3">
        <v>155</v>
      </c>
      <c r="AF347" s="3" t="str">
        <f>IFERROR(MID(VLOOKUP($B347,Seqs!$A:$B,2,0),AG347,1),"")</f>
        <v>C</v>
      </c>
      <c r="AG347" s="3">
        <v>173</v>
      </c>
      <c r="AH347" s="3" t="str">
        <f>IFERROR(MID(VLOOKUP($B347,Seqs!$A:$B,2,0),AI347,1),"")</f>
        <v>E</v>
      </c>
      <c r="AI347" s="3">
        <v>175</v>
      </c>
      <c r="AJ347" s="3" t="str">
        <f>IFERROR(MID(VLOOKUP($B347,Seqs!$A:$B,2,0),AK347,1),"")</f>
        <v>S</v>
      </c>
      <c r="AK347" s="3">
        <v>181</v>
      </c>
      <c r="AL347" s="3" t="str">
        <f>IFERROR(MID(VLOOKUP($B347,Seqs!$A:$B,2,0),AM347,1),"")</f>
        <v>Q</v>
      </c>
      <c r="AM347" s="3">
        <v>216</v>
      </c>
      <c r="AN347" s="3" t="str">
        <f>IFERROR(MID(VLOOKUP($B347,Seqs!$A:$B,2,0),AO347,1),"")</f>
        <v>Q</v>
      </c>
      <c r="AO347" s="3">
        <v>221</v>
      </c>
      <c r="AP347" s="3" t="str">
        <f>IFERROR(MID(VLOOKUP($B347,Seqs!$A:$B,2,0),AQ347,1),"")</f>
        <v>G</v>
      </c>
      <c r="AQ347" s="3">
        <v>261</v>
      </c>
      <c r="AR347" s="3" t="str">
        <f>IFERROR(MID(VLOOKUP($B347,Seqs!$A:$B,2,0),AS347,1),"")</f>
        <v>D</v>
      </c>
      <c r="AS347" s="3">
        <v>264</v>
      </c>
      <c r="AT347" s="3" t="str">
        <f>IFERROR(MID(VLOOKUP($B347,Seqs!$A:$B,2,0),AU347,1),"")</f>
        <v>K</v>
      </c>
      <c r="AU347" s="3">
        <v>299</v>
      </c>
      <c r="AV347" s="3" t="str">
        <f>IFERROR(MID(VLOOKUP($B347,Seqs!$A:$B,2,0),AW347,1),"")</f>
        <v>F</v>
      </c>
      <c r="AW347" s="3">
        <v>300</v>
      </c>
      <c r="AX347" s="3" t="str">
        <f>IFERROR(MID(VLOOKUP($B347,Seqs!$A:$B,2,0),AY347,1),"")</f>
        <v>S</v>
      </c>
      <c r="AY347" s="3">
        <v>313</v>
      </c>
      <c r="AZ347" s="77" t="str">
        <f>VLOOKUP(B347,Classification!A:D,2,0)</f>
        <v>A</v>
      </c>
      <c r="BA347" s="94" t="str">
        <f>VLOOKUP(B347,Classification!A:D,4,0)</f>
        <v>Platelet-activatingfactor</v>
      </c>
      <c r="BB347" s="27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272</v>
      </c>
      <c r="BD347" s="2" t="s">
        <v>23</v>
      </c>
      <c r="BE347" s="3" t="s">
        <v>23</v>
      </c>
      <c r="BF347" s="118" t="s">
        <v>23</v>
      </c>
      <c r="BG347" s="49" t="s">
        <v>1377</v>
      </c>
      <c r="BH347" s="49" t="s">
        <v>1377</v>
      </c>
      <c r="BI347" s="1"/>
      <c r="BJ347" s="70" t="s">
        <v>1287</v>
      </c>
      <c r="BK347" s="57" t="s">
        <v>1287</v>
      </c>
      <c r="BL347" s="57" t="s">
        <v>1287</v>
      </c>
      <c r="BM347" s="57" t="s">
        <v>1287</v>
      </c>
      <c r="BN347" s="57" t="s">
        <v>1287</v>
      </c>
      <c r="BO347" s="57" t="s">
        <v>1287</v>
      </c>
      <c r="BP347" s="57" t="s">
        <v>1287</v>
      </c>
      <c r="BQ347" s="57" t="s">
        <v>1287</v>
      </c>
      <c r="BR347" s="57" t="s">
        <v>1287</v>
      </c>
      <c r="BS347" s="57" t="s">
        <v>1287</v>
      </c>
      <c r="BT347" s="57" t="s">
        <v>1287</v>
      </c>
      <c r="BU347" s="57" t="s">
        <v>1287</v>
      </c>
      <c r="BV347" s="70">
        <f>E347</f>
        <v>10</v>
      </c>
      <c r="BW347" s="71" t="str">
        <f>I347</f>
        <v>-</v>
      </c>
      <c r="BX347" s="72">
        <f>M347</f>
        <v>49</v>
      </c>
      <c r="BY347" s="71">
        <f>Q347</f>
        <v>82</v>
      </c>
      <c r="BZ347" s="72">
        <f>U347</f>
        <v>86</v>
      </c>
      <c r="CA347" s="71">
        <f>Y347</f>
        <v>122</v>
      </c>
      <c r="CB347" s="72">
        <f>AC347</f>
        <v>130</v>
      </c>
      <c r="CC347" s="71">
        <f>AG347</f>
        <v>173</v>
      </c>
      <c r="CD347" s="72">
        <f>AK347</f>
        <v>181</v>
      </c>
      <c r="CE347" s="71">
        <f>AO347</f>
        <v>221</v>
      </c>
      <c r="CF347" s="72">
        <f>AS347</f>
        <v>264</v>
      </c>
      <c r="CG347" s="71">
        <f>AW347</f>
        <v>300</v>
      </c>
      <c r="CH347" s="70">
        <f>G347</f>
        <v>44</v>
      </c>
      <c r="CI347" s="71" t="str">
        <f>K347</f>
        <v>-</v>
      </c>
      <c r="CJ347" s="72">
        <f>O347</f>
        <v>80</v>
      </c>
      <c r="CK347" s="72">
        <f>S347</f>
        <v>85</v>
      </c>
      <c r="CL347" s="72">
        <f>W347</f>
        <v>121</v>
      </c>
      <c r="CM347" s="72">
        <f>AA347</f>
        <v>129</v>
      </c>
      <c r="CN347" s="72">
        <f>AE347</f>
        <v>155</v>
      </c>
      <c r="CO347" s="72">
        <f>AI347</f>
        <v>175</v>
      </c>
      <c r="CP347" s="72">
        <f>AM347</f>
        <v>216</v>
      </c>
      <c r="CQ347" s="72">
        <f>AQ347</f>
        <v>261</v>
      </c>
      <c r="CR347" s="72">
        <f>AU347</f>
        <v>299</v>
      </c>
      <c r="CS347" s="72">
        <f>AY347</f>
        <v>313</v>
      </c>
      <c r="CT347" s="23" t="e">
        <f>M347-K347</f>
        <v>#VALUE!</v>
      </c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</row>
    <row r="348" spans="1:1029" x14ac:dyDescent="0.2">
      <c r="A348" s="3" t="str">
        <f>CONCATENATE(B348,"_",C348)</f>
        <v>ptafr_human_5ZKP</v>
      </c>
      <c r="B348" s="3" t="s">
        <v>371</v>
      </c>
      <c r="C348" s="3" t="s">
        <v>1505</v>
      </c>
      <c r="D348" s="3" t="str">
        <f>IFERROR(MID(VLOOKUP($B348,Seqs!$A:$B,2,0),E348,1),"")</f>
        <v>S</v>
      </c>
      <c r="E348" s="3">
        <v>11</v>
      </c>
      <c r="F348" s="3" t="str">
        <f>IFERROR(MID(VLOOKUP($B348,Seqs!$A:$B,2,0),G348,1),"")</f>
        <v>Y</v>
      </c>
      <c r="G348" s="3">
        <v>44</v>
      </c>
      <c r="H348" s="3" t="str">
        <f>IFERROR(MID(VLOOKUP($B348,Seqs!$A:$B,2,0),I348,1),"")</f>
        <v/>
      </c>
      <c r="I348" s="23" t="s">
        <v>23</v>
      </c>
      <c r="J348" s="3" t="str">
        <f>IFERROR(MID(VLOOKUP($B348,Seqs!$A:$B,2,0),K348,1),"")</f>
        <v/>
      </c>
      <c r="K348" s="23" t="s">
        <v>23</v>
      </c>
      <c r="L348" s="3" t="str">
        <f>IFERROR(MID(VLOOKUP($B348,Seqs!$A:$B,2,0),M348,1),"")</f>
        <v>F</v>
      </c>
      <c r="M348" s="3">
        <v>49</v>
      </c>
      <c r="N348" s="3" t="str">
        <f>IFERROR(MID(VLOOKUP($B348,Seqs!$A:$B,2,0),O348,1),"")</f>
        <v>Q</v>
      </c>
      <c r="O348" s="3">
        <v>80</v>
      </c>
      <c r="P348" s="3" t="str">
        <f>IFERROR(MID(VLOOKUP($B348,Seqs!$A:$B,2,0),Q348,1),"")</f>
        <v>N</v>
      </c>
      <c r="Q348" s="3">
        <v>82</v>
      </c>
      <c r="R348" s="3" t="str">
        <f>IFERROR(MID(VLOOKUP($B348,Seqs!$A:$B,2,0),S348,1),"")</f>
        <v>L</v>
      </c>
      <c r="S348" s="3">
        <v>85</v>
      </c>
      <c r="T348" s="3" t="str">
        <f>IFERROR(MID(VLOOKUP($B348,Seqs!$A:$B,2,0),U348,1),"")</f>
        <v>P</v>
      </c>
      <c r="U348" s="3">
        <v>86</v>
      </c>
      <c r="V348" s="3" t="str">
        <f>IFERROR(MID(VLOOKUP($B348,Seqs!$A:$B,2,0),W348,1),"")</f>
        <v>T</v>
      </c>
      <c r="W348" s="3">
        <v>120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I</v>
      </c>
      <c r="AC348" s="3">
        <v>141</v>
      </c>
      <c r="AD348" s="3" t="str">
        <f>IFERROR(MID(VLOOKUP($B348,Seqs!$A:$B,2,0),AE348,1),"")</f>
        <v>L</v>
      </c>
      <c r="AE348" s="3">
        <v>155</v>
      </c>
      <c r="AF348" s="3" t="str">
        <f>IFERROR(MID(VLOOKUP($B348,Seqs!$A:$B,2,0),AG348,1),"")</f>
        <v>C</v>
      </c>
      <c r="AG348" s="3">
        <v>173</v>
      </c>
      <c r="AH348" s="3" t="str">
        <f>IFERROR(MID(VLOOKUP($B348,Seqs!$A:$B,2,0),AI348,1),"")</f>
        <v>E</v>
      </c>
      <c r="AI348" s="3">
        <v>175</v>
      </c>
      <c r="AJ348" s="3" t="str">
        <f>IFERROR(MID(VLOOKUP($B348,Seqs!$A:$B,2,0),AK348,1),"")</f>
        <v>P</v>
      </c>
      <c r="AK348" s="3">
        <v>183</v>
      </c>
      <c r="AL348" s="3" t="str">
        <f>IFERROR(MID(VLOOKUP($B348,Seqs!$A:$B,2,0),AM348,1),"")</f>
        <v>L</v>
      </c>
      <c r="AM348" s="3">
        <v>214</v>
      </c>
      <c r="AN348" s="3" t="str">
        <f>IFERROR(MID(VLOOKUP($B348,Seqs!$A:$B,2,0),AO348,1),"")</f>
        <v>A</v>
      </c>
      <c r="AO348" s="3">
        <v>224</v>
      </c>
      <c r="AP348" s="3" t="str">
        <f>IFERROR(MID(VLOOKUP($B348,Seqs!$A:$B,2,0),AQ348,1),"")</f>
        <v>G</v>
      </c>
      <c r="AQ348" s="3">
        <v>261</v>
      </c>
      <c r="AR348" s="3" t="str">
        <f>IFERROR(MID(VLOOKUP($B348,Seqs!$A:$B,2,0),AS348,1),"")</f>
        <v>D</v>
      </c>
      <c r="AS348" s="3">
        <v>264</v>
      </c>
      <c r="AT348" s="3" t="str">
        <f>IFERROR(MID(VLOOKUP($B348,Seqs!$A:$B,2,0),AU348,1),"")</f>
        <v>K</v>
      </c>
      <c r="AU348" s="3">
        <v>299</v>
      </c>
      <c r="AV348" s="3" t="str">
        <f>IFERROR(MID(VLOOKUP($B348,Seqs!$A:$B,2,0),AW348,1),"")</f>
        <v>F</v>
      </c>
      <c r="AW348" s="3">
        <v>300</v>
      </c>
      <c r="AX348" s="3" t="str">
        <f>IFERROR(MID(VLOOKUP($B348,Seqs!$A:$B,2,0),AY348,1),"")</f>
        <v>S</v>
      </c>
      <c r="AY348" s="3">
        <v>313</v>
      </c>
      <c r="AZ348" s="77" t="str">
        <f>VLOOKUP(B348,Classification!A:D,2,0)</f>
        <v>A</v>
      </c>
      <c r="BA348" s="94" t="str">
        <f>VLOOKUP(B348,Classification!A:D,4,0)</f>
        <v>Platelet-activatingfactor</v>
      </c>
      <c r="BB348" s="27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23">
        <f>_xlfn.AGGREGATE(9,6,CH348:CS348)-_xlfn.AGGREGATE(9,6,BV348:CG348)+12</f>
        <v>245</v>
      </c>
      <c r="BD348" s="2" t="s">
        <v>1375</v>
      </c>
      <c r="BE348" s="3" t="s">
        <v>1291</v>
      </c>
      <c r="BF348" s="118">
        <v>2.81</v>
      </c>
      <c r="BG348" s="49" t="s">
        <v>1</v>
      </c>
      <c r="BH348" s="49" t="s">
        <v>1</v>
      </c>
      <c r="BI348" s="1"/>
      <c r="BJ348" s="70" t="s">
        <v>1287</v>
      </c>
      <c r="BK348" s="57" t="s">
        <v>1287</v>
      </c>
      <c r="BL348" s="57" t="s">
        <v>1287</v>
      </c>
      <c r="BM348" s="57" t="s">
        <v>1287</v>
      </c>
      <c r="BN348" s="57" t="s">
        <v>1287</v>
      </c>
      <c r="BO348" s="57" t="s">
        <v>1287</v>
      </c>
      <c r="BP348" s="57" t="s">
        <v>1287</v>
      </c>
      <c r="BQ348" s="57" t="s">
        <v>1287</v>
      </c>
      <c r="BR348" s="57" t="s">
        <v>1287</v>
      </c>
      <c r="BS348" s="57" t="s">
        <v>1287</v>
      </c>
      <c r="BT348" s="57" t="s">
        <v>1287</v>
      </c>
      <c r="BU348" s="57" t="s">
        <v>1287</v>
      </c>
      <c r="BV348" s="70">
        <f>E348</f>
        <v>11</v>
      </c>
      <c r="BW348" s="71" t="str">
        <f>I348</f>
        <v>-</v>
      </c>
      <c r="BX348" s="72">
        <f>M348</f>
        <v>49</v>
      </c>
      <c r="BY348" s="71">
        <f>Q348</f>
        <v>82</v>
      </c>
      <c r="BZ348" s="72">
        <f>U348</f>
        <v>86</v>
      </c>
      <c r="CA348" s="71" t="str">
        <f>Y348</f>
        <v>-</v>
      </c>
      <c r="CB348" s="72">
        <f>AC348</f>
        <v>141</v>
      </c>
      <c r="CC348" s="71">
        <f>AG348</f>
        <v>173</v>
      </c>
      <c r="CD348" s="72">
        <f>AK348</f>
        <v>183</v>
      </c>
      <c r="CE348" s="71">
        <f>AO348</f>
        <v>224</v>
      </c>
      <c r="CF348" s="72">
        <f>AS348</f>
        <v>264</v>
      </c>
      <c r="CG348" s="71">
        <f>AW348</f>
        <v>300</v>
      </c>
      <c r="CH348" s="70">
        <f>G348</f>
        <v>44</v>
      </c>
      <c r="CI348" s="71" t="str">
        <f>K348</f>
        <v>-</v>
      </c>
      <c r="CJ348" s="72">
        <f>O348</f>
        <v>80</v>
      </c>
      <c r="CK348" s="72">
        <f>S348</f>
        <v>85</v>
      </c>
      <c r="CL348" s="72">
        <f>W348</f>
        <v>120</v>
      </c>
      <c r="CM348" s="72" t="str">
        <f>AA348</f>
        <v>-</v>
      </c>
      <c r="CN348" s="72">
        <f>AE348</f>
        <v>155</v>
      </c>
      <c r="CO348" s="72">
        <f>AI348</f>
        <v>175</v>
      </c>
      <c r="CP348" s="72">
        <f>AM348</f>
        <v>214</v>
      </c>
      <c r="CQ348" s="72">
        <f>AQ348</f>
        <v>261</v>
      </c>
      <c r="CR348" s="72">
        <f>AU348</f>
        <v>299</v>
      </c>
      <c r="CS348" s="72">
        <f>AY348</f>
        <v>313</v>
      </c>
      <c r="CT348" s="23" t="e">
        <f>M348-K348</f>
        <v>#VALUE!</v>
      </c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</row>
    <row r="349" spans="1:1029" x14ac:dyDescent="0.2">
      <c r="A349" s="3" t="str">
        <f>CONCATENATE(B349,"_",C349)</f>
        <v>ptafr_human_5ZKQ</v>
      </c>
      <c r="B349" s="3" t="s">
        <v>371</v>
      </c>
      <c r="C349" s="3" t="s">
        <v>1506</v>
      </c>
      <c r="D349" s="3" t="str">
        <f>IFERROR(MID(VLOOKUP($B349,Seqs!$A:$B,2,0),E349,1),"")</f>
        <v>D</v>
      </c>
      <c r="E349" s="3">
        <v>10</v>
      </c>
      <c r="F349" s="3" t="str">
        <f>IFERROR(MID(VLOOKUP($B349,Seqs!$A:$B,2,0),G349,1),"")</f>
        <v>L</v>
      </c>
      <c r="G349" s="3">
        <v>43</v>
      </c>
      <c r="H349" s="3" t="str">
        <f>IFERROR(MID(VLOOKUP($B349,Seqs!$A:$B,2,0),I349,1),"")</f>
        <v/>
      </c>
      <c r="I349" s="23" t="s">
        <v>23</v>
      </c>
      <c r="J349" s="3" t="str">
        <f>IFERROR(MID(VLOOKUP($B349,Seqs!$A:$B,2,0),K349,1),"")</f>
        <v/>
      </c>
      <c r="K349" s="23" t="s">
        <v>23</v>
      </c>
      <c r="L349" s="3" t="str">
        <f>IFERROR(MID(VLOOKUP($B349,Seqs!$A:$B,2,0),M349,1),"")</f>
        <v>F</v>
      </c>
      <c r="M349" s="3">
        <v>49</v>
      </c>
      <c r="N349" s="3" t="str">
        <f>IFERROR(MID(VLOOKUP($B349,Seqs!$A:$B,2,0),O349,1),"")</f>
        <v>Q</v>
      </c>
      <c r="O349" s="3">
        <v>80</v>
      </c>
      <c r="P349" s="3" t="str">
        <f>IFERROR(MID(VLOOKUP($B349,Seqs!$A:$B,2,0),Q349,1),"")</f>
        <v>N</v>
      </c>
      <c r="Q349" s="3">
        <v>82</v>
      </c>
      <c r="R349" s="3" t="str">
        <f>IFERROR(MID(VLOOKUP($B349,Seqs!$A:$B,2,0),S349,1),"")</f>
        <v>L</v>
      </c>
      <c r="S349" s="3">
        <v>85</v>
      </c>
      <c r="T349" s="3" t="str">
        <f>IFERROR(MID(VLOOKUP($B349,Seqs!$A:$B,2,0),U349,1),"")</f>
        <v>P</v>
      </c>
      <c r="U349" s="3">
        <v>86</v>
      </c>
      <c r="V349" s="3" t="str">
        <f>IFERROR(MID(VLOOKUP($B349,Seqs!$A:$B,2,0),W349,1),"")</f>
        <v>R</v>
      </c>
      <c r="W349" s="3">
        <v>121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T</v>
      </c>
      <c r="AC349" s="3">
        <v>130</v>
      </c>
      <c r="AD349" s="3" t="str">
        <f>IFERROR(MID(VLOOKUP($B349,Seqs!$A:$B,2,0),AE349,1),"")</f>
        <v>I</v>
      </c>
      <c r="AE349" s="3">
        <v>154</v>
      </c>
      <c r="AF349" s="3" t="str">
        <f>IFERROR(MID(VLOOKUP($B349,Seqs!$A:$B,2,0),AG349,1),"")</f>
        <v>C</v>
      </c>
      <c r="AG349" s="3">
        <v>173</v>
      </c>
      <c r="AH349" s="3" t="str">
        <f>IFERROR(MID(VLOOKUP($B349,Seqs!$A:$B,2,0),AI349,1),"")</f>
        <v>E</v>
      </c>
      <c r="AI349" s="3">
        <v>175</v>
      </c>
      <c r="AJ349" s="3" t="str">
        <f>IFERROR(MID(VLOOKUP($B349,Seqs!$A:$B,2,0),AK349,1),"")</f>
        <v>S</v>
      </c>
      <c r="AK349" s="3">
        <v>181</v>
      </c>
      <c r="AL349" s="3" t="str">
        <f>IFERROR(MID(VLOOKUP($B349,Seqs!$A:$B,2,0),AM349,1),"")</f>
        <v>M</v>
      </c>
      <c r="AM349" s="3">
        <v>215</v>
      </c>
      <c r="AN349" s="3" t="str">
        <f>IFERROR(MID(VLOOKUP($B349,Seqs!$A:$B,2,0),AO349,1),"")</f>
        <v>K</v>
      </c>
      <c r="AO349" s="3">
        <v>227</v>
      </c>
      <c r="AP349" s="3" t="str">
        <f>IFERROR(MID(VLOOKUP($B349,Seqs!$A:$B,2,0),AQ349,1),"")</f>
        <v>G</v>
      </c>
      <c r="AQ349" s="3">
        <v>261</v>
      </c>
      <c r="AR349" s="3" t="str">
        <f>IFERROR(MID(VLOOKUP($B349,Seqs!$A:$B,2,0),AS349,1),"")</f>
        <v>D</v>
      </c>
      <c r="AS349" s="3">
        <v>264</v>
      </c>
      <c r="AT349" s="3" t="str">
        <f>IFERROR(MID(VLOOKUP($B349,Seqs!$A:$B,2,0),AU349,1),"")</f>
        <v>T</v>
      </c>
      <c r="AU349" s="3">
        <v>297</v>
      </c>
      <c r="AV349" s="3" t="str">
        <f>IFERROR(MID(VLOOKUP($B349,Seqs!$A:$B,2,0),AW349,1),"")</f>
        <v/>
      </c>
      <c r="AW349" s="3" t="s">
        <v>23</v>
      </c>
      <c r="AX349" s="3" t="str">
        <f>IFERROR(MID(VLOOKUP($B349,Seqs!$A:$B,2,0),AY349,1),"")</f>
        <v/>
      </c>
      <c r="AY349" s="3" t="s">
        <v>23</v>
      </c>
      <c r="AZ349" s="77" t="str">
        <f>VLOOKUP(B349,Classification!A:D,2,0)</f>
        <v>A</v>
      </c>
      <c r="BA349" s="94" t="str">
        <f>VLOOKUP(B349,Classification!A:D,4,0)</f>
        <v>Platelet-activatingfactor</v>
      </c>
      <c r="BB349" s="27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23">
        <f>_xlfn.AGGREGATE(9,6,CH349:CS349)-_xlfn.AGGREGATE(9,6,BV349:CG349)+12</f>
        <v>241</v>
      </c>
      <c r="BD349" s="2" t="s">
        <v>1429</v>
      </c>
      <c r="BE349" s="3" t="s">
        <v>1428</v>
      </c>
      <c r="BF349" s="118">
        <v>2.9</v>
      </c>
      <c r="BG349" s="49" t="s">
        <v>1281</v>
      </c>
      <c r="BH349" s="49" t="s">
        <v>1281</v>
      </c>
      <c r="BI349" s="1"/>
      <c r="BJ349" s="70" t="s">
        <v>1287</v>
      </c>
      <c r="BK349" s="57" t="s">
        <v>1287</v>
      </c>
      <c r="BL349" s="57" t="s">
        <v>1287</v>
      </c>
      <c r="BM349" s="57" t="s">
        <v>1287</v>
      </c>
      <c r="BN349" s="57" t="s">
        <v>1287</v>
      </c>
      <c r="BO349" s="57" t="s">
        <v>1287</v>
      </c>
      <c r="BP349" s="57" t="s">
        <v>1287</v>
      </c>
      <c r="BQ349" s="57" t="s">
        <v>1287</v>
      </c>
      <c r="BR349" s="57" t="s">
        <v>1287</v>
      </c>
      <c r="BS349" s="57" t="s">
        <v>1287</v>
      </c>
      <c r="BT349" s="57" t="s">
        <v>1287</v>
      </c>
      <c r="BU349" s="57" t="s">
        <v>1287</v>
      </c>
      <c r="BV349" s="70">
        <f>E349</f>
        <v>10</v>
      </c>
      <c r="BW349" s="71" t="str">
        <f>I349</f>
        <v>-</v>
      </c>
      <c r="BX349" s="72">
        <f>M349</f>
        <v>49</v>
      </c>
      <c r="BY349" s="71">
        <f>Q349</f>
        <v>82</v>
      </c>
      <c r="BZ349" s="72">
        <f>U349</f>
        <v>86</v>
      </c>
      <c r="CA349" s="71" t="str">
        <f>Y349</f>
        <v>-</v>
      </c>
      <c r="CB349" s="72">
        <f>AC349</f>
        <v>130</v>
      </c>
      <c r="CC349" s="71">
        <f>AG349</f>
        <v>173</v>
      </c>
      <c r="CD349" s="72">
        <f>AK349</f>
        <v>181</v>
      </c>
      <c r="CE349" s="71">
        <f>AO349</f>
        <v>227</v>
      </c>
      <c r="CF349" s="72">
        <f>AS349</f>
        <v>264</v>
      </c>
      <c r="CG349" s="71" t="str">
        <f>AW349</f>
        <v>-</v>
      </c>
      <c r="CH349" s="70">
        <f>G349</f>
        <v>43</v>
      </c>
      <c r="CI349" s="71" t="str">
        <f>K349</f>
        <v>-</v>
      </c>
      <c r="CJ349" s="72">
        <f>O349</f>
        <v>80</v>
      </c>
      <c r="CK349" s="72">
        <f>S349</f>
        <v>85</v>
      </c>
      <c r="CL349" s="72">
        <f>W349</f>
        <v>121</v>
      </c>
      <c r="CM349" s="72" t="str">
        <f>AA349</f>
        <v>-</v>
      </c>
      <c r="CN349" s="72">
        <f>AE349</f>
        <v>154</v>
      </c>
      <c r="CO349" s="72">
        <f>AI349</f>
        <v>175</v>
      </c>
      <c r="CP349" s="72">
        <f>AM349</f>
        <v>215</v>
      </c>
      <c r="CQ349" s="72">
        <f>AQ349</f>
        <v>261</v>
      </c>
      <c r="CR349" s="72">
        <f>AU349</f>
        <v>297</v>
      </c>
      <c r="CS349" s="72" t="str">
        <f>AY349</f>
        <v>-</v>
      </c>
      <c r="CT349" s="23" t="e">
        <f>M349-K349</f>
        <v>#VALUE!</v>
      </c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</row>
    <row r="350" spans="1:1029" x14ac:dyDescent="0.2">
      <c r="A350" s="3" t="str">
        <f t="shared" si="2460"/>
        <v>q08bg4_danre__wt</v>
      </c>
      <c r="B350" s="3" t="s">
        <v>1440</v>
      </c>
      <c r="C350" s="3" t="s">
        <v>100</v>
      </c>
      <c r="D350" s="3" t="str">
        <f>IFERROR(MID(VLOOKUP($B350,Seqs!$A:$B,2,0),E350,1),"")</f>
        <v>K</v>
      </c>
      <c r="E350" s="3">
        <v>26</v>
      </c>
      <c r="F350" s="3" t="str">
        <f>IFERROR(MID(VLOOKUP($B350,Seqs!$A:$B,2,0),G350,1),"")</f>
        <v>S</v>
      </c>
      <c r="G350" s="3">
        <v>55</v>
      </c>
      <c r="H350" s="3" t="str">
        <f>IFERROR(MID(VLOOKUP($B350,Seqs!$A:$B,2,0),I350,1),"")</f>
        <v>L</v>
      </c>
      <c r="I350" s="23">
        <v>56</v>
      </c>
      <c r="J350" s="3" t="str">
        <f>IFERROR(MID(VLOOKUP($B350,Seqs!$A:$B,2,0),K350,1),"")</f>
        <v>R</v>
      </c>
      <c r="K350" s="23">
        <v>59</v>
      </c>
      <c r="L350" s="3" t="str">
        <f>IFERROR(MID(VLOOKUP($B350,Seqs!$A:$B,2,0),M350,1),"")</f>
        <v>N</v>
      </c>
      <c r="M350" s="3">
        <v>60</v>
      </c>
      <c r="N350" s="3" t="str">
        <f>IFERROR(MID(VLOOKUP($B350,Seqs!$A:$B,2,0),O350,1),"")</f>
        <v>Q</v>
      </c>
      <c r="O350" s="3">
        <v>89</v>
      </c>
      <c r="P350" s="3" t="str">
        <f>IFERROR(MID(VLOOKUP($B350,Seqs!$A:$B,2,0),Q350,1),"")</f>
        <v>N</v>
      </c>
      <c r="Q350" s="3">
        <v>91</v>
      </c>
      <c r="R350" s="3" t="str">
        <f>IFERROR(MID(VLOOKUP($B350,Seqs!$A:$B,2,0),S350,1),"")</f>
        <v>F</v>
      </c>
      <c r="S350" s="3">
        <v>94</v>
      </c>
      <c r="T350" s="3" t="str">
        <f>IFERROR(MID(VLOOKUP($B350,Seqs!$A:$B,2,0),U350,1),"")</f>
        <v>G</v>
      </c>
      <c r="U350" s="3">
        <v>95</v>
      </c>
      <c r="V350" s="3" t="str">
        <f>IFERROR(MID(VLOOKUP($B350,Seqs!$A:$B,2,0),W350,1),"")</f>
        <v>Y</v>
      </c>
      <c r="W350" s="3">
        <v>130</v>
      </c>
      <c r="X350" s="3" t="str">
        <f>IFERROR(MID(VLOOKUP($B350,Seqs!$A:$B,2,0),Y350,1),"")</f>
        <v>P</v>
      </c>
      <c r="Y350" s="3">
        <v>131</v>
      </c>
      <c r="Z350" s="3" t="str">
        <f>IFERROR(MID(VLOOKUP($B350,Seqs!$A:$B,2,0),AA350,1),"")</f>
        <v>R</v>
      </c>
      <c r="AA350" s="3">
        <v>138</v>
      </c>
      <c r="AB350" s="3" t="str">
        <f>IFERROR(MID(VLOOKUP($B350,Seqs!$A:$B,2,0),AC350,1),"")</f>
        <v>T</v>
      </c>
      <c r="AC350" s="3">
        <v>139</v>
      </c>
      <c r="AD350" s="3" t="str">
        <f>IFERROR(MID(VLOOKUP($B350,Seqs!$A:$B,2,0),AE350,1),"")</f>
        <v>N</v>
      </c>
      <c r="AE350" s="3">
        <v>166</v>
      </c>
      <c r="AF350" s="3" t="str">
        <f>IFERROR(MID(VLOOKUP($B350,Seqs!$A:$B,2,0),AG350,1),"")</f>
        <v>C</v>
      </c>
      <c r="AG350" s="3">
        <v>178</v>
      </c>
      <c r="AH350" s="3" t="str">
        <f>IFERROR(MID(VLOOKUP($B350,Seqs!$A:$B,2,0),AI350,1),"")</f>
        <v>E</v>
      </c>
      <c r="AI350" s="3">
        <v>180</v>
      </c>
      <c r="AJ350" s="3" t="str">
        <f>IFERROR(MID(VLOOKUP($B350,Seqs!$A:$B,2,0),AK350,1),"")</f>
        <v>W</v>
      </c>
      <c r="AK350" s="3">
        <v>187</v>
      </c>
      <c r="AL350" s="3" t="str">
        <f>IFERROR(MID(VLOOKUP($B350,Seqs!$A:$B,2,0),AM350,1),"")</f>
        <v>P</v>
      </c>
      <c r="AM350" s="3">
        <v>224</v>
      </c>
      <c r="AN350" s="3" t="str">
        <f>IFERROR(MID(VLOOKUP($B350,Seqs!$A:$B,2,0),AO350,1),"")</f>
        <v>R</v>
      </c>
      <c r="AO350" s="3">
        <v>229</v>
      </c>
      <c r="AP350" s="3" t="str">
        <f>IFERROR(MID(VLOOKUP($B350,Seqs!$A:$B,2,0),AQ350,1),"")</f>
        <v>N</v>
      </c>
      <c r="AQ350" s="3">
        <v>269</v>
      </c>
      <c r="AR350" s="3" t="str">
        <f>IFERROR(MID(VLOOKUP($B350,Seqs!$A:$B,2,0),AS350,1),"")</f>
        <v>G</v>
      </c>
      <c r="AS350" s="3">
        <v>273</v>
      </c>
      <c r="AT350" s="3" t="str">
        <f>IFERROR(MID(VLOOKUP($B350,Seqs!$A:$B,2,0),AU350,1),"")</f>
        <v>T</v>
      </c>
      <c r="AU350" s="3">
        <v>305</v>
      </c>
      <c r="AV350" s="3" t="str">
        <f>IFERROR(MID(VLOOKUP($B350,Seqs!$A:$B,2,0),AW350,1),"")</f>
        <v>S</v>
      </c>
      <c r="AW350" s="3">
        <v>306</v>
      </c>
      <c r="AX350" s="3" t="str">
        <f>IFERROR(MID(VLOOKUP($B350,Seqs!$A:$B,2,0),AY350,1),"")</f>
        <v>G</v>
      </c>
      <c r="AY350" s="3">
        <v>320</v>
      </c>
      <c r="AZ350" s="77" t="str">
        <f>VLOOKUP(B350,Classification!A:D,2,0)</f>
        <v>A</v>
      </c>
      <c r="BA350" s="94" t="str">
        <f>VLOOKUP(B350,Classification!A:D,4,0)</f>
        <v>Lysophospholipid(LPA)</v>
      </c>
      <c r="BB350" s="27" t="b">
        <f t="shared" si="2461"/>
        <v>1</v>
      </c>
      <c r="BC350" s="23">
        <f t="shared" si="2462"/>
        <v>270</v>
      </c>
      <c r="BD350" s="2" t="s">
        <v>23</v>
      </c>
      <c r="BE350" s="3" t="s">
        <v>23</v>
      </c>
      <c r="BF350" s="118" t="s">
        <v>23</v>
      </c>
      <c r="BG350" s="49" t="s">
        <v>1</v>
      </c>
      <c r="BH350" s="49" t="s">
        <v>1377</v>
      </c>
      <c r="BI350" s="1"/>
      <c r="BJ350" s="70" t="s">
        <v>1287</v>
      </c>
      <c r="BK350" s="57" t="s">
        <v>1287</v>
      </c>
      <c r="BL350" s="57" t="s">
        <v>1287</v>
      </c>
      <c r="BM350" s="57" t="s">
        <v>1287</v>
      </c>
      <c r="BN350" s="57" t="s">
        <v>1287</v>
      </c>
      <c r="BO350" s="57" t="s">
        <v>1287</v>
      </c>
      <c r="BP350" s="57" t="s">
        <v>1287</v>
      </c>
      <c r="BQ350" s="57" t="s">
        <v>1287</v>
      </c>
      <c r="BR350" s="57" t="s">
        <v>1287</v>
      </c>
      <c r="BS350" s="57" t="s">
        <v>1287</v>
      </c>
      <c r="BT350" s="57" t="s">
        <v>1287</v>
      </c>
      <c r="BU350" s="57" t="s">
        <v>1287</v>
      </c>
      <c r="BV350" s="70">
        <f t="shared" si="2463"/>
        <v>26</v>
      </c>
      <c r="BW350" s="71">
        <f t="shared" si="2464"/>
        <v>56</v>
      </c>
      <c r="BX350" s="72">
        <f t="shared" si="2465"/>
        <v>60</v>
      </c>
      <c r="BY350" s="71">
        <f t="shared" si="2466"/>
        <v>91</v>
      </c>
      <c r="BZ350" s="72">
        <f t="shared" si="2467"/>
        <v>95</v>
      </c>
      <c r="CA350" s="71">
        <f t="shared" si="2468"/>
        <v>131</v>
      </c>
      <c r="CB350" s="72">
        <f t="shared" si="2469"/>
        <v>139</v>
      </c>
      <c r="CC350" s="71">
        <f t="shared" si="2470"/>
        <v>178</v>
      </c>
      <c r="CD350" s="72">
        <f t="shared" si="2471"/>
        <v>187</v>
      </c>
      <c r="CE350" s="71">
        <f t="shared" si="2472"/>
        <v>229</v>
      </c>
      <c r="CF350" s="72">
        <f t="shared" si="2473"/>
        <v>273</v>
      </c>
      <c r="CG350" s="71">
        <f t="shared" si="2474"/>
        <v>306</v>
      </c>
      <c r="CH350" s="70">
        <f t="shared" si="2475"/>
        <v>55</v>
      </c>
      <c r="CI350" s="71">
        <f t="shared" si="2476"/>
        <v>59</v>
      </c>
      <c r="CJ350" s="72">
        <f t="shared" si="2477"/>
        <v>89</v>
      </c>
      <c r="CK350" s="72">
        <f t="shared" si="2478"/>
        <v>94</v>
      </c>
      <c r="CL350" s="72">
        <f t="shared" si="2479"/>
        <v>130</v>
      </c>
      <c r="CM350" s="72">
        <f t="shared" si="2480"/>
        <v>138</v>
      </c>
      <c r="CN350" s="72">
        <f t="shared" si="2481"/>
        <v>166</v>
      </c>
      <c r="CO350" s="72">
        <f t="shared" si="2482"/>
        <v>180</v>
      </c>
      <c r="CP350" s="72">
        <f t="shared" si="2483"/>
        <v>224</v>
      </c>
      <c r="CQ350" s="72">
        <f t="shared" si="2484"/>
        <v>269</v>
      </c>
      <c r="CR350" s="72">
        <f t="shared" si="2485"/>
        <v>305</v>
      </c>
      <c r="CS350" s="72">
        <f t="shared" si="2486"/>
        <v>320</v>
      </c>
      <c r="CT350" s="23">
        <f t="shared" si="2487"/>
        <v>1</v>
      </c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</row>
    <row r="351" spans="1:1029" x14ac:dyDescent="0.2">
      <c r="A351" s="3" t="str">
        <f t="shared" si="2460"/>
        <v>q08bg4_danre_5XSZ</v>
      </c>
      <c r="B351" s="3" t="s">
        <v>1440</v>
      </c>
      <c r="C351" s="3" t="s">
        <v>1442</v>
      </c>
      <c r="D351" s="3" t="str">
        <f>IFERROR(MID(VLOOKUP($B351,Seqs!$A:$B,2,0),E351,1),"")</f>
        <v>K</v>
      </c>
      <c r="E351" s="3">
        <v>26</v>
      </c>
      <c r="F351" s="3" t="str">
        <f>IFERROR(MID(VLOOKUP($B351,Seqs!$A:$B,2,0),G351,1),"")</f>
        <v>S</v>
      </c>
      <c r="G351" s="3">
        <v>55</v>
      </c>
      <c r="H351" s="3" t="str">
        <f>IFERROR(MID(VLOOKUP($B351,Seqs!$A:$B,2,0),I351,1),"")</f>
        <v/>
      </c>
      <c r="I351" s="23" t="s">
        <v>23</v>
      </c>
      <c r="J351" s="3" t="str">
        <f>IFERROR(MID(VLOOKUP($B351,Seqs!$A:$B,2,0),K351,1),"")</f>
        <v/>
      </c>
      <c r="K351" s="23" t="s">
        <v>23</v>
      </c>
      <c r="L351" s="3" t="str">
        <f>IFERROR(MID(VLOOKUP($B351,Seqs!$A:$B,2,0),M351,1),"")</f>
        <v>N</v>
      </c>
      <c r="M351" s="3">
        <v>60</v>
      </c>
      <c r="N351" s="3" t="str">
        <f>IFERROR(MID(VLOOKUP($B351,Seqs!$A:$B,2,0),O351,1),"")</f>
        <v>Q</v>
      </c>
      <c r="O351" s="3">
        <v>89</v>
      </c>
      <c r="P351" s="3" t="str">
        <f>IFERROR(MID(VLOOKUP($B351,Seqs!$A:$B,2,0),Q351,1),"")</f>
        <v>N</v>
      </c>
      <c r="Q351" s="3">
        <v>91</v>
      </c>
      <c r="R351" s="3" t="str">
        <f>IFERROR(MID(VLOOKUP($B351,Seqs!$A:$B,2,0),S351,1),"")</f>
        <v>F</v>
      </c>
      <c r="S351" s="3">
        <v>94</v>
      </c>
      <c r="T351" s="3" t="str">
        <f>IFERROR(MID(VLOOKUP($B351,Seqs!$A:$B,2,0),U351,1),"")</f>
        <v>G</v>
      </c>
      <c r="U351" s="3">
        <v>95</v>
      </c>
      <c r="V351" s="3" t="str">
        <f>IFERROR(MID(VLOOKUP($B351,Seqs!$A:$B,2,0),W351,1),"")</f>
        <v>Y</v>
      </c>
      <c r="W351" s="3">
        <v>130</v>
      </c>
      <c r="X351" s="3" t="str">
        <f>IFERROR(MID(VLOOKUP($B351,Seqs!$A:$B,2,0),Y351,1),"")</f>
        <v>P</v>
      </c>
      <c r="Y351" s="3">
        <v>131</v>
      </c>
      <c r="Z351" s="3" t="str">
        <f>IFERROR(MID(VLOOKUP($B351,Seqs!$A:$B,2,0),AA351,1),"")</f>
        <v>R</v>
      </c>
      <c r="AA351" s="3">
        <v>138</v>
      </c>
      <c r="AB351" s="3" t="str">
        <f>IFERROR(MID(VLOOKUP($B351,Seqs!$A:$B,2,0),AC351,1),"")</f>
        <v>T</v>
      </c>
      <c r="AC351" s="3">
        <v>139</v>
      </c>
      <c r="AD351" s="3" t="str">
        <f>IFERROR(MID(VLOOKUP($B351,Seqs!$A:$B,2,0),AE351,1),"")</f>
        <v>N</v>
      </c>
      <c r="AE351" s="3">
        <v>166</v>
      </c>
      <c r="AF351" s="3" t="str">
        <f>IFERROR(MID(VLOOKUP($B351,Seqs!$A:$B,2,0),AG351,1),"")</f>
        <v>C</v>
      </c>
      <c r="AG351" s="3">
        <v>178</v>
      </c>
      <c r="AH351" s="3" t="str">
        <f>IFERROR(MID(VLOOKUP($B351,Seqs!$A:$B,2,0),AI351,1),"")</f>
        <v>F</v>
      </c>
      <c r="AI351" s="3">
        <v>179</v>
      </c>
      <c r="AJ351" s="3" t="str">
        <f>IFERROR(MID(VLOOKUP($B351,Seqs!$A:$B,2,0),AK351,1),"")</f>
        <v>W</v>
      </c>
      <c r="AK351" s="3">
        <v>187</v>
      </c>
      <c r="AL351" s="3" t="str">
        <f>IFERROR(MID(VLOOKUP($B351,Seqs!$A:$B,2,0),AM351,1),"")</f>
        <v>R</v>
      </c>
      <c r="AM351" s="3">
        <v>223</v>
      </c>
      <c r="AN351" s="3" t="str">
        <f>IFERROR(MID(VLOOKUP($B351,Seqs!$A:$B,2,0),AO351,1),"")</f>
        <v>N</v>
      </c>
      <c r="AO351" s="3">
        <v>234</v>
      </c>
      <c r="AP351" s="3" t="str">
        <f>IFERROR(MID(VLOOKUP($B351,Seqs!$A:$B,2,0),AQ351,1),"")</f>
        <v>N</v>
      </c>
      <c r="AQ351" s="3">
        <v>269</v>
      </c>
      <c r="AR351" s="3" t="str">
        <f>IFERROR(MID(VLOOKUP($B351,Seqs!$A:$B,2,0),AS351,1),"")</f>
        <v>G</v>
      </c>
      <c r="AS351" s="3">
        <v>273</v>
      </c>
      <c r="AT351" s="3" t="str">
        <f>IFERROR(MID(VLOOKUP($B351,Seqs!$A:$B,2,0),AU351,1),"")</f>
        <v>T</v>
      </c>
      <c r="AU351" s="3">
        <v>308</v>
      </c>
      <c r="AV351" s="3" t="str">
        <f>IFERROR(MID(VLOOKUP($B351,Seqs!$A:$B,2,0),AW351,1),"")</f>
        <v/>
      </c>
      <c r="AW351" s="3" t="s">
        <v>23</v>
      </c>
      <c r="AX351" s="3" t="str">
        <f>IFERROR(MID(VLOOKUP($B351,Seqs!$A:$B,2,0),AY351,1),"")</f>
        <v/>
      </c>
      <c r="AY351" s="3" t="s">
        <v>23</v>
      </c>
      <c r="AZ351" s="77" t="str">
        <f>VLOOKUP(B351,Classification!A:D,2,0)</f>
        <v>A</v>
      </c>
      <c r="BA351" s="94" t="str">
        <f>VLOOKUP(B351,Classification!A:D,4,0)</f>
        <v>Lysophospholipid(LPA)</v>
      </c>
      <c r="BB351" s="27" t="b">
        <f t="shared" si="2461"/>
        <v>1</v>
      </c>
      <c r="BC351" s="23">
        <f t="shared" si="2462"/>
        <v>249</v>
      </c>
      <c r="BD351" s="2" t="s">
        <v>1375</v>
      </c>
      <c r="BE351" s="3" t="s">
        <v>1291</v>
      </c>
      <c r="BF351" s="118">
        <v>3.2</v>
      </c>
      <c r="BG351" s="49" t="s">
        <v>1</v>
      </c>
      <c r="BH351" s="49" t="s">
        <v>1377</v>
      </c>
      <c r="BI351" s="1"/>
      <c r="BJ351" s="70" t="s">
        <v>1287</v>
      </c>
      <c r="BK351" s="57" t="s">
        <v>1287</v>
      </c>
      <c r="BL351" s="57" t="s">
        <v>1287</v>
      </c>
      <c r="BM351" s="57" t="s">
        <v>1287</v>
      </c>
      <c r="BN351" s="57" t="s">
        <v>1287</v>
      </c>
      <c r="BO351" s="57" t="s">
        <v>1287</v>
      </c>
      <c r="BP351" s="57" t="s">
        <v>1287</v>
      </c>
      <c r="BQ351" s="57" t="s">
        <v>1287</v>
      </c>
      <c r="BR351" s="57" t="s">
        <v>1287</v>
      </c>
      <c r="BS351" s="57" t="s">
        <v>1287</v>
      </c>
      <c r="BT351" s="57" t="s">
        <v>1287</v>
      </c>
      <c r="BU351" s="57" t="s">
        <v>1287</v>
      </c>
      <c r="BV351" s="70">
        <f t="shared" si="2463"/>
        <v>26</v>
      </c>
      <c r="BW351" s="71" t="str">
        <f t="shared" si="2464"/>
        <v>-</v>
      </c>
      <c r="BX351" s="72">
        <f t="shared" si="2465"/>
        <v>60</v>
      </c>
      <c r="BY351" s="71">
        <f t="shared" si="2466"/>
        <v>91</v>
      </c>
      <c r="BZ351" s="72">
        <f t="shared" si="2467"/>
        <v>95</v>
      </c>
      <c r="CA351" s="71">
        <f t="shared" si="2468"/>
        <v>131</v>
      </c>
      <c r="CB351" s="72">
        <f t="shared" si="2469"/>
        <v>139</v>
      </c>
      <c r="CC351" s="71">
        <f t="shared" si="2470"/>
        <v>178</v>
      </c>
      <c r="CD351" s="72">
        <f t="shared" si="2471"/>
        <v>187</v>
      </c>
      <c r="CE351" s="71">
        <f t="shared" si="2472"/>
        <v>234</v>
      </c>
      <c r="CF351" s="72">
        <f t="shared" si="2473"/>
        <v>273</v>
      </c>
      <c r="CG351" s="71" t="str">
        <f t="shared" si="2474"/>
        <v>-</v>
      </c>
      <c r="CH351" s="70">
        <f t="shared" si="2475"/>
        <v>55</v>
      </c>
      <c r="CI351" s="71" t="str">
        <f t="shared" si="2476"/>
        <v>-</v>
      </c>
      <c r="CJ351" s="72">
        <f t="shared" si="2477"/>
        <v>89</v>
      </c>
      <c r="CK351" s="72">
        <f t="shared" si="2478"/>
        <v>94</v>
      </c>
      <c r="CL351" s="72">
        <f t="shared" si="2479"/>
        <v>130</v>
      </c>
      <c r="CM351" s="72">
        <f t="shared" si="2480"/>
        <v>138</v>
      </c>
      <c r="CN351" s="72">
        <f t="shared" si="2481"/>
        <v>166</v>
      </c>
      <c r="CO351" s="72">
        <f t="shared" si="2482"/>
        <v>179</v>
      </c>
      <c r="CP351" s="72">
        <f t="shared" si="2483"/>
        <v>223</v>
      </c>
      <c r="CQ351" s="72">
        <f t="shared" si="2484"/>
        <v>269</v>
      </c>
      <c r="CR351" s="72">
        <f t="shared" si="2485"/>
        <v>308</v>
      </c>
      <c r="CS351" s="72" t="str">
        <f t="shared" si="2486"/>
        <v>-</v>
      </c>
      <c r="CT351" s="23" t="e">
        <f t="shared" si="2487"/>
        <v>#VALUE!</v>
      </c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</row>
    <row r="352" spans="1:1029" x14ac:dyDescent="0.2">
      <c r="A352" s="3" t="str">
        <f t="shared" si="2460"/>
        <v>q9wtk1_cavpo__wt</v>
      </c>
      <c r="B352" s="3" t="s">
        <v>1451</v>
      </c>
      <c r="C352" s="3" t="s">
        <v>100</v>
      </c>
      <c r="D352" s="3" t="str">
        <f>IFERROR(MID(VLOOKUP($B352,Seqs!$A:$B,2,0),E352,1),"")</f>
        <v>T</v>
      </c>
      <c r="E352" s="3">
        <v>17</v>
      </c>
      <c r="F352" s="3" t="str">
        <f>IFERROR(MID(VLOOKUP($B352,Seqs!$A:$B,2,0),G352,1),"")</f>
        <v>R</v>
      </c>
      <c r="G352" s="3">
        <v>48</v>
      </c>
      <c r="H352" s="3" t="str">
        <f>IFERROR(MID(VLOOKUP($B352,Seqs!$A:$B,2,0),I352,1),"")</f>
        <v>M</v>
      </c>
      <c r="I352" s="23">
        <v>49</v>
      </c>
      <c r="J352" s="3" t="str">
        <f>IFERROR(MID(VLOOKUP($B352,Seqs!$A:$B,2,0),K352,1),"")</f>
        <v>R</v>
      </c>
      <c r="K352" s="23">
        <v>52</v>
      </c>
      <c r="L352" s="3" t="str">
        <f>IFERROR(MID(VLOOKUP($B352,Seqs!$A:$B,2,0),M352,1),"")</f>
        <v>S</v>
      </c>
      <c r="M352" s="3">
        <v>53</v>
      </c>
      <c r="N352" s="3" t="str">
        <f>IFERROR(MID(VLOOKUP($B352,Seqs!$A:$B,2,0),O352,1),"")</f>
        <v>H</v>
      </c>
      <c r="O352" s="3">
        <v>83</v>
      </c>
      <c r="P352" s="3" t="str">
        <f>IFERROR(MID(VLOOKUP($B352,Seqs!$A:$B,2,0),Q352,1),"")</f>
        <v>T</v>
      </c>
      <c r="Q352" s="3">
        <v>84</v>
      </c>
      <c r="R352" s="3" t="str">
        <f>IFERROR(MID(VLOOKUP($B352,Seqs!$A:$B,2,0),S352,1),"")</f>
        <v>F</v>
      </c>
      <c r="S352" s="3">
        <v>87</v>
      </c>
      <c r="T352" s="3" t="str">
        <f>IFERROR(MID(VLOOKUP($B352,Seqs!$A:$B,2,0),U352,1),"")</f>
        <v>K</v>
      </c>
      <c r="U352" s="3">
        <v>88</v>
      </c>
      <c r="V352" s="3" t="str">
        <f>IFERROR(MID(VLOOKUP($B352,Seqs!$A:$B,2,0),W352,1),"")</f>
        <v>S</v>
      </c>
      <c r="W352" s="3">
        <v>123</v>
      </c>
      <c r="X352" s="3" t="str">
        <f>IFERROR(MID(VLOOKUP($B352,Seqs!$A:$B,2,0),Y352,1),"")</f>
        <v>P</v>
      </c>
      <c r="Y352" s="3">
        <v>124</v>
      </c>
      <c r="Z352" s="3" t="str">
        <f>IFERROR(MID(VLOOKUP($B352,Seqs!$A:$B,2,0),AA352,1),"")</f>
        <v>R</v>
      </c>
      <c r="AA352" s="3">
        <v>131</v>
      </c>
      <c r="AB352" s="3" t="str">
        <f>IFERROR(MID(VLOOKUP($B352,Seqs!$A:$B,2,0),AC352,1),"")</f>
        <v>T</v>
      </c>
      <c r="AC352" s="3">
        <v>132</v>
      </c>
      <c r="AD352" s="3" t="str">
        <f>IFERROR(MID(VLOOKUP($B352,Seqs!$A:$B,2,0),AE352,1),"")</f>
        <v>R</v>
      </c>
      <c r="AE352" s="3">
        <v>158</v>
      </c>
      <c r="AF352" s="3" t="str">
        <f>IFERROR(MID(VLOOKUP($B352,Seqs!$A:$B,2,0),AG352,1),"")</f>
        <v>C</v>
      </c>
      <c r="AG352" s="3">
        <v>170</v>
      </c>
      <c r="AH352" s="3" t="str">
        <f>IFERROR(MID(VLOOKUP($B352,Seqs!$A:$B,2,0),AI352,1),"")</f>
        <v>A</v>
      </c>
      <c r="AI352" s="3">
        <v>172</v>
      </c>
      <c r="AJ352" s="3" t="str">
        <f>IFERROR(MID(VLOOKUP($B352,Seqs!$A:$B,2,0),AK352,1),"")</f>
        <v>S</v>
      </c>
      <c r="AK352" s="3">
        <v>176</v>
      </c>
      <c r="AL352" s="3" t="str">
        <f>IFERROR(MID(VLOOKUP($B352,Seqs!$A:$B,2,0),AM352,1),"")</f>
        <v>R</v>
      </c>
      <c r="AM352" s="3">
        <v>213</v>
      </c>
      <c r="AN352" s="3" t="str">
        <f>IFERROR(MID(VLOOKUP($B352,Seqs!$A:$B,2,0),AO352,1),"")</f>
        <v>R</v>
      </c>
      <c r="AO352" s="3">
        <v>218</v>
      </c>
      <c r="AP352" s="3" t="str">
        <f>IFERROR(MID(VLOOKUP($B352,Seqs!$A:$B,2,0),AQ352,1),"")</f>
        <v>A</v>
      </c>
      <c r="AQ352" s="3">
        <v>252</v>
      </c>
      <c r="AR352" s="3" t="str">
        <f>IFERROR(MID(VLOOKUP($B352,Seqs!$A:$B,2,0),AS352,1),"")</f>
        <v>L</v>
      </c>
      <c r="AS352" s="3">
        <v>255</v>
      </c>
      <c r="AT352" s="3" t="str">
        <f>IFERROR(MID(VLOOKUP($B352,Seqs!$A:$B,2,0),AU352,1),"")</f>
        <v>A</v>
      </c>
      <c r="AU352" s="3">
        <v>287</v>
      </c>
      <c r="AV352" s="3" t="str">
        <f>IFERROR(MID(VLOOKUP($B352,Seqs!$A:$B,2,0),AW352,1),"")</f>
        <v>G</v>
      </c>
      <c r="AW352" s="3">
        <v>288</v>
      </c>
      <c r="AX352" s="3" t="str">
        <f>IFERROR(MID(VLOOKUP($B352,Seqs!$A:$B,2,0),AY352,1),"")</f>
        <v>K</v>
      </c>
      <c r="AY352" s="3">
        <v>302</v>
      </c>
      <c r="AZ352" s="77" t="str">
        <f>VLOOKUP(B352,Classification!A:D,2,0)</f>
        <v>A</v>
      </c>
      <c r="BA352" s="94" t="str">
        <f>VLOOKUP(B352,Classification!A:D,4,0)</f>
        <v>Leukotriene</v>
      </c>
      <c r="BB352" s="27" t="b">
        <f t="shared" si="2461"/>
        <v>1</v>
      </c>
      <c r="BC352" s="23">
        <f t="shared" si="2462"/>
        <v>266</v>
      </c>
      <c r="BD352" s="2" t="s">
        <v>23</v>
      </c>
      <c r="BE352" s="3" t="s">
        <v>23</v>
      </c>
      <c r="BF352" s="118" t="s">
        <v>23</v>
      </c>
      <c r="BG352" s="49" t="s">
        <v>1</v>
      </c>
      <c r="BH352" s="49" t="s">
        <v>1</v>
      </c>
      <c r="BI352" s="1"/>
      <c r="BJ352" s="70" t="s">
        <v>1287</v>
      </c>
      <c r="BK352" s="57" t="s">
        <v>1287</v>
      </c>
      <c r="BL352" s="57" t="s">
        <v>1287</v>
      </c>
      <c r="BM352" s="57" t="s">
        <v>1287</v>
      </c>
      <c r="BN352" s="57" t="s">
        <v>1287</v>
      </c>
      <c r="BO352" s="57" t="s">
        <v>1287</v>
      </c>
      <c r="BP352" s="57" t="s">
        <v>1287</v>
      </c>
      <c r="BQ352" s="57" t="s">
        <v>1287</v>
      </c>
      <c r="BR352" s="57" t="s">
        <v>1287</v>
      </c>
      <c r="BS352" s="57" t="s">
        <v>1287</v>
      </c>
      <c r="BT352" s="57" t="s">
        <v>1287</v>
      </c>
      <c r="BU352" s="57" t="s">
        <v>1287</v>
      </c>
      <c r="BV352" s="70">
        <f t="shared" si="2463"/>
        <v>17</v>
      </c>
      <c r="BW352" s="71">
        <f t="shared" si="2464"/>
        <v>49</v>
      </c>
      <c r="BX352" s="72">
        <f t="shared" si="2465"/>
        <v>53</v>
      </c>
      <c r="BY352" s="71">
        <f t="shared" si="2466"/>
        <v>84</v>
      </c>
      <c r="BZ352" s="72">
        <f t="shared" si="2467"/>
        <v>88</v>
      </c>
      <c r="CA352" s="71">
        <f t="shared" si="2468"/>
        <v>124</v>
      </c>
      <c r="CB352" s="72">
        <f t="shared" si="2469"/>
        <v>132</v>
      </c>
      <c r="CC352" s="71">
        <f t="shared" si="2470"/>
        <v>170</v>
      </c>
      <c r="CD352" s="72">
        <f t="shared" si="2471"/>
        <v>176</v>
      </c>
      <c r="CE352" s="71">
        <f t="shared" si="2472"/>
        <v>218</v>
      </c>
      <c r="CF352" s="72">
        <f t="shared" si="2473"/>
        <v>255</v>
      </c>
      <c r="CG352" s="71">
        <f t="shared" si="2474"/>
        <v>288</v>
      </c>
      <c r="CH352" s="70">
        <f t="shared" si="2475"/>
        <v>48</v>
      </c>
      <c r="CI352" s="71">
        <f t="shared" si="2476"/>
        <v>52</v>
      </c>
      <c r="CJ352" s="72">
        <f t="shared" si="2477"/>
        <v>83</v>
      </c>
      <c r="CK352" s="72">
        <f t="shared" si="2478"/>
        <v>87</v>
      </c>
      <c r="CL352" s="72">
        <f t="shared" si="2479"/>
        <v>123</v>
      </c>
      <c r="CM352" s="72">
        <f t="shared" si="2480"/>
        <v>131</v>
      </c>
      <c r="CN352" s="72">
        <f t="shared" si="2481"/>
        <v>158</v>
      </c>
      <c r="CO352" s="72">
        <f t="shared" si="2482"/>
        <v>172</v>
      </c>
      <c r="CP352" s="72">
        <f t="shared" si="2483"/>
        <v>213</v>
      </c>
      <c r="CQ352" s="72">
        <f t="shared" si="2484"/>
        <v>252</v>
      </c>
      <c r="CR352" s="72">
        <f t="shared" si="2485"/>
        <v>287</v>
      </c>
      <c r="CS352" s="72">
        <f t="shared" si="2486"/>
        <v>302</v>
      </c>
      <c r="CT352" s="23">
        <f t="shared" si="2487"/>
        <v>1</v>
      </c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</row>
    <row r="353" spans="1:1030" x14ac:dyDescent="0.2">
      <c r="A353" s="3" t="str">
        <f t="shared" si="2460"/>
        <v>q9wtk1_cavpo_5X33</v>
      </c>
      <c r="B353" s="3" t="s">
        <v>1451</v>
      </c>
      <c r="C353" s="3" t="s">
        <v>1452</v>
      </c>
      <c r="D353" s="3" t="str">
        <f>IFERROR(MID(VLOOKUP($B353,Seqs!$A:$B,2,0),E353,1),"")</f>
        <v>T</v>
      </c>
      <c r="E353" s="3">
        <v>17</v>
      </c>
      <c r="F353" s="3" t="str">
        <f>IFERROR(MID(VLOOKUP($B353,Seqs!$A:$B,2,0),G353,1),"")</f>
        <v>R</v>
      </c>
      <c r="G353" s="3">
        <v>48</v>
      </c>
      <c r="H353" s="3" t="str">
        <f>IFERROR(MID(VLOOKUP($B353,Seqs!$A:$B,2,0),I353,1),"")</f>
        <v/>
      </c>
      <c r="I353" s="23" t="s">
        <v>23</v>
      </c>
      <c r="J353" s="3" t="str">
        <f>IFERROR(MID(VLOOKUP($B353,Seqs!$A:$B,2,0),K353,1),"")</f>
        <v/>
      </c>
      <c r="K353" s="23" t="s">
        <v>23</v>
      </c>
      <c r="L353" s="3" t="str">
        <f>IFERROR(MID(VLOOKUP($B353,Seqs!$A:$B,2,0),M353,1),"")</f>
        <v>S</v>
      </c>
      <c r="M353" s="3">
        <v>53</v>
      </c>
      <c r="N353" s="3" t="str">
        <f>IFERROR(MID(VLOOKUP($B353,Seqs!$A:$B,2,0),O353,1),"")</f>
        <v>H</v>
      </c>
      <c r="O353" s="3">
        <v>83</v>
      </c>
      <c r="P353" s="3" t="str">
        <f>IFERROR(MID(VLOOKUP($B353,Seqs!$A:$B,2,0),Q353,1),"")</f>
        <v>T</v>
      </c>
      <c r="Q353" s="3">
        <v>84</v>
      </c>
      <c r="R353" s="3" t="str">
        <f>IFERROR(MID(VLOOKUP($B353,Seqs!$A:$B,2,0),S353,1),"")</f>
        <v>F</v>
      </c>
      <c r="S353" s="3">
        <v>87</v>
      </c>
      <c r="T353" s="3" t="str">
        <f>IFERROR(MID(VLOOKUP($B353,Seqs!$A:$B,2,0),U353,1),"")</f>
        <v>K</v>
      </c>
      <c r="U353" s="3">
        <v>88</v>
      </c>
      <c r="V353" s="3" t="str">
        <f>IFERROR(MID(VLOOKUP($B353,Seqs!$A:$B,2,0),W353,1),"")</f>
        <v>S</v>
      </c>
      <c r="W353" s="3">
        <v>123</v>
      </c>
      <c r="X353" s="3" t="str">
        <f>IFERROR(MID(VLOOKUP($B353,Seqs!$A:$B,2,0),Y353,1),"")</f>
        <v>P</v>
      </c>
      <c r="Y353" s="3">
        <v>124</v>
      </c>
      <c r="Z353" s="3" t="str">
        <f>IFERROR(MID(VLOOKUP($B353,Seqs!$A:$B,2,0),AA353,1),"")</f>
        <v>R</v>
      </c>
      <c r="AA353" s="3">
        <v>131</v>
      </c>
      <c r="AB353" s="3" t="str">
        <f>IFERROR(MID(VLOOKUP($B353,Seqs!$A:$B,2,0),AC353,1),"")</f>
        <v>T</v>
      </c>
      <c r="AC353" s="3">
        <v>132</v>
      </c>
      <c r="AD353" s="3" t="str">
        <f>IFERROR(MID(VLOOKUP($B353,Seqs!$A:$B,2,0),AE353,1),"")</f>
        <v>R</v>
      </c>
      <c r="AE353" s="3">
        <v>158</v>
      </c>
      <c r="AF353" s="3" t="str">
        <f>IFERROR(MID(VLOOKUP($B353,Seqs!$A:$B,2,0),AG353,1),"")</f>
        <v>C</v>
      </c>
      <c r="AG353" s="3">
        <v>170</v>
      </c>
      <c r="AH353" s="3" t="str">
        <f>IFERROR(MID(VLOOKUP($B353,Seqs!$A:$B,2,0),AI353,1),"")</f>
        <v>A</v>
      </c>
      <c r="AI353" s="3">
        <v>172</v>
      </c>
      <c r="AJ353" s="3" t="str">
        <f>IFERROR(MID(VLOOKUP($B353,Seqs!$A:$B,2,0),AK353,1),"")</f>
        <v>S</v>
      </c>
      <c r="AK353" s="3">
        <v>176</v>
      </c>
      <c r="AL353" s="3" t="str">
        <f>IFERROR(MID(VLOOKUP($B353,Seqs!$A:$B,2,0),AM353,1),"")</f>
        <v>R</v>
      </c>
      <c r="AM353" s="3">
        <v>213</v>
      </c>
      <c r="AN353" s="3" t="str">
        <f>IFERROR(MID(VLOOKUP($B353,Seqs!$A:$B,2,0),AO353,1),"")</f>
        <v>I</v>
      </c>
      <c r="AO353" s="3">
        <v>227</v>
      </c>
      <c r="AP353" s="3" t="str">
        <f>IFERROR(MID(VLOOKUP($B353,Seqs!$A:$B,2,0),AQ353,1),"")</f>
        <v>R</v>
      </c>
      <c r="AQ353" s="3">
        <v>249</v>
      </c>
      <c r="AR353" s="3" t="str">
        <f>IFERROR(MID(VLOOKUP($B353,Seqs!$A:$B,2,0),AS353,1),"")</f>
        <v>Q</v>
      </c>
      <c r="AS353" s="3">
        <v>261</v>
      </c>
      <c r="AT353" s="3" t="str">
        <f>IFERROR(MID(VLOOKUP($B353,Seqs!$A:$B,2,0),AU353,1),"")</f>
        <v>S</v>
      </c>
      <c r="AU353" s="3">
        <v>278</v>
      </c>
      <c r="AV353" s="3" t="str">
        <f>IFERROR(MID(VLOOKUP($B353,Seqs!$A:$B,2,0),AW353,1),"")</f>
        <v/>
      </c>
      <c r="AW353" s="3" t="s">
        <v>23</v>
      </c>
      <c r="AX353" s="3" t="str">
        <f>IFERROR(MID(VLOOKUP($B353,Seqs!$A:$B,2,0),AY353,1),"")</f>
        <v/>
      </c>
      <c r="AY353" s="3" t="s">
        <v>23</v>
      </c>
      <c r="AZ353" s="77" t="str">
        <f>VLOOKUP(B353,Classification!A:D,2,0)</f>
        <v>A</v>
      </c>
      <c r="BA353" s="94" t="str">
        <f>VLOOKUP(B353,Classification!A:D,4,0)</f>
        <v>Leukotriene</v>
      </c>
      <c r="BB353" s="27" t="b">
        <f t="shared" si="2461"/>
        <v>1</v>
      </c>
      <c r="BC353" s="23">
        <f t="shared" si="2462"/>
        <v>222</v>
      </c>
      <c r="BD353" s="2" t="s">
        <v>1376</v>
      </c>
      <c r="BE353" s="3" t="s">
        <v>1374</v>
      </c>
      <c r="BF353" s="118">
        <v>3.7</v>
      </c>
      <c r="BG353" s="49" t="s">
        <v>1</v>
      </c>
      <c r="BH353" s="49" t="s">
        <v>1377</v>
      </c>
      <c r="BI353" s="1"/>
      <c r="BJ353" s="70" t="s">
        <v>1287</v>
      </c>
      <c r="BK353" s="57" t="s">
        <v>1287</v>
      </c>
      <c r="BL353" s="57" t="s">
        <v>1287</v>
      </c>
      <c r="BM353" s="57" t="s">
        <v>1287</v>
      </c>
      <c r="BN353" s="57" t="s">
        <v>1287</v>
      </c>
      <c r="BO353" s="57" t="s">
        <v>1287</v>
      </c>
      <c r="BP353" s="57" t="s">
        <v>1287</v>
      </c>
      <c r="BQ353" s="57" t="s">
        <v>1287</v>
      </c>
      <c r="BR353" s="57" t="s">
        <v>1287</v>
      </c>
      <c r="BS353" s="57" t="s">
        <v>1287</v>
      </c>
      <c r="BT353" s="57" t="s">
        <v>1287</v>
      </c>
      <c r="BU353" s="57" t="s">
        <v>1287</v>
      </c>
      <c r="BV353" s="70">
        <f t="shared" si="2463"/>
        <v>17</v>
      </c>
      <c r="BW353" s="71" t="str">
        <f t="shared" si="2464"/>
        <v>-</v>
      </c>
      <c r="BX353" s="72">
        <f t="shared" si="2465"/>
        <v>53</v>
      </c>
      <c r="BY353" s="71">
        <f t="shared" si="2466"/>
        <v>84</v>
      </c>
      <c r="BZ353" s="72">
        <f t="shared" si="2467"/>
        <v>88</v>
      </c>
      <c r="CA353" s="71">
        <f t="shared" si="2468"/>
        <v>124</v>
      </c>
      <c r="CB353" s="72">
        <f t="shared" si="2469"/>
        <v>132</v>
      </c>
      <c r="CC353" s="71">
        <f t="shared" si="2470"/>
        <v>170</v>
      </c>
      <c r="CD353" s="72">
        <f t="shared" si="2471"/>
        <v>176</v>
      </c>
      <c r="CE353" s="71">
        <f t="shared" si="2472"/>
        <v>227</v>
      </c>
      <c r="CF353" s="72">
        <f t="shared" si="2473"/>
        <v>261</v>
      </c>
      <c r="CG353" s="71" t="str">
        <f t="shared" si="2474"/>
        <v>-</v>
      </c>
      <c r="CH353" s="70">
        <f t="shared" si="2475"/>
        <v>48</v>
      </c>
      <c r="CI353" s="71" t="str">
        <f t="shared" si="2476"/>
        <v>-</v>
      </c>
      <c r="CJ353" s="72">
        <f t="shared" si="2477"/>
        <v>83</v>
      </c>
      <c r="CK353" s="72">
        <f t="shared" si="2478"/>
        <v>87</v>
      </c>
      <c r="CL353" s="72">
        <f t="shared" si="2479"/>
        <v>123</v>
      </c>
      <c r="CM353" s="72">
        <f t="shared" si="2480"/>
        <v>131</v>
      </c>
      <c r="CN353" s="72">
        <f t="shared" si="2481"/>
        <v>158</v>
      </c>
      <c r="CO353" s="72">
        <f t="shared" si="2482"/>
        <v>172</v>
      </c>
      <c r="CP353" s="72">
        <f t="shared" si="2483"/>
        <v>213</v>
      </c>
      <c r="CQ353" s="72">
        <f t="shared" si="2484"/>
        <v>249</v>
      </c>
      <c r="CR353" s="72">
        <f t="shared" si="2485"/>
        <v>278</v>
      </c>
      <c r="CS353" s="72" t="str">
        <f t="shared" si="2486"/>
        <v>-</v>
      </c>
      <c r="CT353" s="23" t="e">
        <f t="shared" si="2487"/>
        <v>#VALUE!</v>
      </c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</row>
    <row r="354" spans="1:1030" x14ac:dyDescent="0.2">
      <c r="A354" s="3" t="str">
        <f t="shared" si="1982"/>
        <v>s1pr1_human__wt</v>
      </c>
      <c r="B354" s="3" t="s">
        <v>104</v>
      </c>
      <c r="C354" s="3" t="s">
        <v>100</v>
      </c>
      <c r="D354" s="3" t="str">
        <f>IFERROR(MID(VLOOKUP($B354,Seqs!$A:$B,2,0),E354,1),"")</f>
        <v>E</v>
      </c>
      <c r="E354" s="3">
        <v>42</v>
      </c>
      <c r="F354" s="3" t="str">
        <f>IFERROR(MID(VLOOKUP($B354,Seqs!$A:$B,2,0),G354,1),"")</f>
        <v>T</v>
      </c>
      <c r="G354" s="3">
        <v>73</v>
      </c>
      <c r="H354" s="3" t="str">
        <f>IFERROR(MID(VLOOKUP($B354,Seqs!$A:$B,2,0),I354,1),"")</f>
        <v>K</v>
      </c>
      <c r="I354" s="23">
        <v>74</v>
      </c>
      <c r="J354" s="3" t="str">
        <f>IFERROR(MID(VLOOKUP($B354,Seqs!$A:$B,2,0),K354,1),"")</f>
        <v>H</v>
      </c>
      <c r="K354" s="23">
        <v>77</v>
      </c>
      <c r="L354" s="3" t="str">
        <f>IFERROR(MID(VLOOKUP($B354,Seqs!$A:$B,2,0),M354,1),"")</f>
        <v>R</v>
      </c>
      <c r="M354" s="3">
        <v>78</v>
      </c>
      <c r="N354" s="3" t="str">
        <f>IFERROR(MID(VLOOKUP($B354,Seqs!$A:$B,2,0),O354,1),"")</f>
        <v>L</v>
      </c>
      <c r="O354" s="3">
        <v>104</v>
      </c>
      <c r="P354" s="3" t="str">
        <f>IFERROR(MID(VLOOKUP($B354,Seqs!$A:$B,2,0),Q354,1),"")</f>
        <v>G</v>
      </c>
      <c r="Q354" s="3">
        <v>106</v>
      </c>
      <c r="R354" s="3" t="str">
        <f>IFERROR(MID(VLOOKUP($B354,Seqs!$A:$B,2,0),S354,1),"")</f>
        <v>L</v>
      </c>
      <c r="S354" s="3">
        <v>112</v>
      </c>
      <c r="T354" s="3" t="str">
        <f>IFERROR(MID(VLOOKUP($B354,Seqs!$A:$B,2,0),U354,1),"")</f>
        <v>T</v>
      </c>
      <c r="U354" s="3">
        <v>113</v>
      </c>
      <c r="V354" s="3" t="str">
        <f>IFERROR(MID(VLOOKUP($B354,Seqs!$A:$B,2,0),W354,1),"")</f>
        <v>K</v>
      </c>
      <c r="W354" s="105">
        <v>148</v>
      </c>
      <c r="X354" s="3" t="str">
        <f>IFERROR(MID(VLOOKUP($B354,Seqs!$A:$B,2,0),Y354,1),"")</f>
        <v>M</v>
      </c>
      <c r="Y354" s="105">
        <v>149</v>
      </c>
      <c r="Z354" s="3" t="str">
        <f>IFERROR(MID(VLOOKUP($B354,Seqs!$A:$B,2,0),AA354,1),"")</f>
        <v>S</v>
      </c>
      <c r="AA354" s="105">
        <v>155</v>
      </c>
      <c r="AB354" s="3" t="str">
        <f>IFERROR(MID(VLOOKUP($B354,Seqs!$A:$B,2,0),AC354,1),"")</f>
        <v>N</v>
      </c>
      <c r="AC354" s="105">
        <v>156</v>
      </c>
      <c r="AD354" s="3" t="str">
        <f>IFERROR(MID(VLOOKUP($B354,Seqs!$A:$B,2,0),AE354,1),"")</f>
        <v>G</v>
      </c>
      <c r="AE354" s="3">
        <v>181</v>
      </c>
      <c r="AF354" s="3" t="str">
        <f>IFERROR(MID(VLOOKUP($B354,Seqs!$A:$B,2,0),AG354,1),"")</f>
        <v/>
      </c>
      <c r="AG354" s="3" t="s">
        <v>23</v>
      </c>
      <c r="AH354" s="3" t="str">
        <f>IFERROR(MID(VLOOKUP($B354,Seqs!$A:$B,2,0),AI354,1),"")</f>
        <v/>
      </c>
      <c r="AI354" s="3" t="s">
        <v>23</v>
      </c>
      <c r="AJ354" s="3" t="str">
        <f>IFERROR(MID(VLOOKUP($B354,Seqs!$A:$B,2,0),AK354,1),"")</f>
        <v>H</v>
      </c>
      <c r="AK354" s="3">
        <v>199</v>
      </c>
      <c r="AL354" s="3" t="str">
        <f>IFERROR(MID(VLOOKUP($B354,Seqs!$A:$B,2,0),AM354,1),"")</f>
        <v>T</v>
      </c>
      <c r="AM354" s="3">
        <v>236</v>
      </c>
      <c r="AN354" s="3" t="str">
        <f>IFERROR(MID(VLOOKUP($B354,Seqs!$A:$B,2,0),AO354,1),"")</f>
        <v>S</v>
      </c>
      <c r="AO354" s="3">
        <v>245</v>
      </c>
      <c r="AP354" s="3" t="str">
        <f>IFERROR(MID(VLOOKUP($B354,Seqs!$A:$B,2,0),AQ354,1),"")</f>
        <v>C</v>
      </c>
      <c r="AQ354" s="3">
        <v>282</v>
      </c>
      <c r="AR354" s="3" t="str">
        <f>IFERROR(MID(VLOOKUP($B354,Seqs!$A:$B,2,0),AS354,1),"")</f>
        <v>D</v>
      </c>
      <c r="AS354" s="3">
        <v>288</v>
      </c>
      <c r="AT354" s="3" t="str">
        <f>IFERROR(MID(VLOOKUP($B354,Seqs!$A:$B,2,0),AU354,1),"")</f>
        <v>T</v>
      </c>
      <c r="AU354" s="3">
        <v>314</v>
      </c>
      <c r="AV354" s="3" t="str">
        <f>IFERROR(MID(VLOOKUP($B354,Seqs!$A:$B,2,0),AW354,1),"")</f>
        <v>N</v>
      </c>
      <c r="AW354" s="3">
        <v>315</v>
      </c>
      <c r="AX354" s="3" t="str">
        <f>IFERROR(MID(VLOOKUP($B354,Seqs!$A:$B,2,0),AY354,1),"")</f>
        <v>S</v>
      </c>
      <c r="AY354" s="3">
        <v>327</v>
      </c>
      <c r="AZ354" s="77" t="str">
        <f>VLOOKUP(B354,Classification!A:D,2,0)</f>
        <v>A</v>
      </c>
      <c r="BA354" s="94" t="str">
        <f>VLOOKUP(B354,Classification!A:D,4,0)</f>
        <v>Lysophospholipid(S1P)</v>
      </c>
      <c r="BB354" s="27" t="b">
        <f t="shared" si="1983"/>
        <v>1</v>
      </c>
      <c r="BC354" s="23">
        <f t="shared" si="1956"/>
        <v>256</v>
      </c>
      <c r="BD354" s="56" t="s">
        <v>23</v>
      </c>
      <c r="BE354" s="3" t="s">
        <v>23</v>
      </c>
      <c r="BF354" s="118" t="s">
        <v>23</v>
      </c>
      <c r="BG354" s="49" t="s">
        <v>1372</v>
      </c>
      <c r="BH354" s="49" t="s">
        <v>1377</v>
      </c>
      <c r="BI354" s="1"/>
      <c r="BJ354" s="70" t="s">
        <v>1287</v>
      </c>
      <c r="BK354" s="57" t="s">
        <v>1287</v>
      </c>
      <c r="BL354" s="57" t="s">
        <v>1287</v>
      </c>
      <c r="BM354" s="57" t="s">
        <v>1287</v>
      </c>
      <c r="BN354" s="57" t="s">
        <v>1287</v>
      </c>
      <c r="BO354" s="57" t="s">
        <v>1287</v>
      </c>
      <c r="BP354" s="57" t="s">
        <v>1287</v>
      </c>
      <c r="BQ354" s="57" t="s">
        <v>1287</v>
      </c>
      <c r="BR354" s="57" t="s">
        <v>1287</v>
      </c>
      <c r="BS354" s="57" t="s">
        <v>1287</v>
      </c>
      <c r="BT354" s="57" t="s">
        <v>1287</v>
      </c>
      <c r="BU354" s="57" t="s">
        <v>1287</v>
      </c>
      <c r="BV354" s="70">
        <f t="shared" si="1957"/>
        <v>42</v>
      </c>
      <c r="BW354" s="71">
        <f t="shared" si="1958"/>
        <v>74</v>
      </c>
      <c r="BX354" s="72">
        <f t="shared" si="1959"/>
        <v>78</v>
      </c>
      <c r="BY354" s="71">
        <f t="shared" si="1960"/>
        <v>106</v>
      </c>
      <c r="BZ354" s="72">
        <f t="shared" si="1961"/>
        <v>113</v>
      </c>
      <c r="CA354" s="71">
        <f t="shared" si="1962"/>
        <v>149</v>
      </c>
      <c r="CB354" s="72">
        <f t="shared" si="1963"/>
        <v>156</v>
      </c>
      <c r="CC354" s="71" t="str">
        <f t="shared" si="1964"/>
        <v>-</v>
      </c>
      <c r="CD354" s="72">
        <f t="shared" si="1965"/>
        <v>199</v>
      </c>
      <c r="CE354" s="71">
        <f t="shared" si="1966"/>
        <v>245</v>
      </c>
      <c r="CF354" s="72">
        <f t="shared" si="1967"/>
        <v>288</v>
      </c>
      <c r="CG354" s="71">
        <f t="shared" si="1968"/>
        <v>315</v>
      </c>
      <c r="CH354" s="70">
        <f t="shared" si="1969"/>
        <v>73</v>
      </c>
      <c r="CI354" s="71">
        <f t="shared" si="1970"/>
        <v>77</v>
      </c>
      <c r="CJ354" s="72">
        <f t="shared" si="1971"/>
        <v>104</v>
      </c>
      <c r="CK354" s="72">
        <f t="shared" si="1972"/>
        <v>112</v>
      </c>
      <c r="CL354" s="72">
        <f t="shared" si="1973"/>
        <v>148</v>
      </c>
      <c r="CM354" s="72">
        <f t="shared" si="1974"/>
        <v>155</v>
      </c>
      <c r="CN354" s="72">
        <f t="shared" si="1975"/>
        <v>181</v>
      </c>
      <c r="CO354" s="72" t="str">
        <f t="shared" si="1976"/>
        <v>-</v>
      </c>
      <c r="CP354" s="72">
        <f t="shared" si="1977"/>
        <v>236</v>
      </c>
      <c r="CQ354" s="72">
        <f t="shared" si="1978"/>
        <v>282</v>
      </c>
      <c r="CR354" s="72">
        <f t="shared" si="1979"/>
        <v>314</v>
      </c>
      <c r="CS354" s="72">
        <f t="shared" si="1980"/>
        <v>327</v>
      </c>
      <c r="CT354" s="23">
        <f t="shared" si="1981"/>
        <v>1</v>
      </c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</row>
    <row r="355" spans="1:1030" x14ac:dyDescent="0.2">
      <c r="A355" s="3" t="str">
        <f t="shared" si="1982"/>
        <v>s1pr1_human_3V2Y</v>
      </c>
      <c r="B355" s="3" t="s">
        <v>104</v>
      </c>
      <c r="C355" s="3" t="s">
        <v>94</v>
      </c>
      <c r="D355" s="3" t="str">
        <f>IFERROR(MID(VLOOKUP($B355,Seqs!$A:$B,2,0),E355,1),"")</f>
        <v>E</v>
      </c>
      <c r="E355" s="3">
        <v>42</v>
      </c>
      <c r="F355" s="3" t="str">
        <f>IFERROR(MID(VLOOKUP($B355,Seqs!$A:$B,2,0),G355,1),"")</f>
        <v>T</v>
      </c>
      <c r="G355" s="3">
        <v>73</v>
      </c>
      <c r="H355" s="3" t="str">
        <f>IFERROR(MID(VLOOKUP($B355,Seqs!$A:$B,2,0),I355,1),"")</f>
        <v>K</v>
      </c>
      <c r="I355" s="23">
        <v>74</v>
      </c>
      <c r="J355" s="3" t="str">
        <f>IFERROR(MID(VLOOKUP($B355,Seqs!$A:$B,2,0),K355,1),"")</f>
        <v>H</v>
      </c>
      <c r="K355" s="23">
        <v>77</v>
      </c>
      <c r="L355" s="3" t="str">
        <f>IFERROR(MID(VLOOKUP($B355,Seqs!$A:$B,2,0),M355,1),"")</f>
        <v>R</v>
      </c>
      <c r="M355" s="3">
        <v>78</v>
      </c>
      <c r="N355" s="3" t="str">
        <f>IFERROR(MID(VLOOKUP($B355,Seqs!$A:$B,2,0),O355,1),"")</f>
        <v>L</v>
      </c>
      <c r="O355" s="3">
        <v>104</v>
      </c>
      <c r="P355" s="3" t="str">
        <f>IFERROR(MID(VLOOKUP($B355,Seqs!$A:$B,2,0),Q355,1),"")</f>
        <v>G</v>
      </c>
      <c r="Q355" s="3">
        <v>106</v>
      </c>
      <c r="R355" s="3" t="str">
        <f>IFERROR(MID(VLOOKUP($B355,Seqs!$A:$B,2,0),S355,1),"")</f>
        <v>L</v>
      </c>
      <c r="S355" s="3">
        <v>112</v>
      </c>
      <c r="T355" s="3" t="str">
        <f>IFERROR(MID(VLOOKUP($B355,Seqs!$A:$B,2,0),U355,1),"")</f>
        <v>T</v>
      </c>
      <c r="U355" s="3">
        <v>113</v>
      </c>
      <c r="V355" s="3" t="str">
        <f>IFERROR(MID(VLOOKUP($B355,Seqs!$A:$B,2,0),W355,1),"")</f>
        <v>T</v>
      </c>
      <c r="W355" s="105">
        <v>145</v>
      </c>
      <c r="X355" s="3" t="str">
        <f>IFERROR(MID(VLOOKUP($B355,Seqs!$A:$B,2,0),Y355,1),"")</f>
        <v/>
      </c>
      <c r="Y355" s="3" t="s">
        <v>23</v>
      </c>
      <c r="Z355" s="3" t="str">
        <f>IFERROR(MID(VLOOKUP($B355,Seqs!$A:$B,2,0),AA355,1),"")</f>
        <v/>
      </c>
      <c r="AA355" s="3" t="s">
        <v>23</v>
      </c>
      <c r="AB355" s="3" t="str">
        <f>IFERROR(MID(VLOOKUP($B355,Seqs!$A:$B,2,0),AC355,1),"")</f>
        <v>N</v>
      </c>
      <c r="AC355" s="105">
        <v>156</v>
      </c>
      <c r="AD355" s="3" t="str">
        <f>IFERROR(MID(VLOOKUP($B355,Seqs!$A:$B,2,0),AE355,1),"")</f>
        <v>G</v>
      </c>
      <c r="AE355" s="3">
        <v>181</v>
      </c>
      <c r="AF355" s="3" t="str">
        <f>IFERROR(MID(VLOOKUP($B355,Seqs!$A:$B,2,0),AG355,1),"")</f>
        <v/>
      </c>
      <c r="AG355" s="3" t="s">
        <v>23</v>
      </c>
      <c r="AH355" s="3" t="str">
        <f>IFERROR(MID(VLOOKUP($B355,Seqs!$A:$B,2,0),AI355,1),"")</f>
        <v/>
      </c>
      <c r="AI355" s="3" t="s">
        <v>23</v>
      </c>
      <c r="AJ355" s="3" t="str">
        <f>IFERROR(MID(VLOOKUP($B355,Seqs!$A:$B,2,0),AK355,1),"")</f>
        <v>H</v>
      </c>
      <c r="AK355" s="3">
        <v>199</v>
      </c>
      <c r="AL355" s="3" t="str">
        <f>IFERROR(MID(VLOOKUP($B355,Seqs!$A:$B,2,0),AM355,1),"")</f>
        <v>R</v>
      </c>
      <c r="AM355" s="3">
        <v>231</v>
      </c>
      <c r="AN355" s="3" t="str">
        <f>IFERROR(MID(VLOOKUP($B355,Seqs!$A:$B,2,0),AO355,1),"")</f>
        <v>S</v>
      </c>
      <c r="AO355" s="3">
        <v>251</v>
      </c>
      <c r="AP355" s="3" t="str">
        <f>IFERROR(MID(VLOOKUP($B355,Seqs!$A:$B,2,0),AQ355,1),"")</f>
        <v>C</v>
      </c>
      <c r="AQ355" s="3">
        <v>282</v>
      </c>
      <c r="AR355" s="3" t="str">
        <f>IFERROR(MID(VLOOKUP($B355,Seqs!$A:$B,2,0),AS355,1),"")</f>
        <v>D</v>
      </c>
      <c r="AS355" s="3">
        <v>288</v>
      </c>
      <c r="AT355" s="3" t="str">
        <f>IFERROR(MID(VLOOKUP($B355,Seqs!$A:$B,2,0),AU355,1),"")</f>
        <v>T</v>
      </c>
      <c r="AU355" s="3">
        <v>314</v>
      </c>
      <c r="AV355" s="3" t="str">
        <f>IFERROR(MID(VLOOKUP($B355,Seqs!$A:$B,2,0),AW355,1),"")</f>
        <v>N</v>
      </c>
      <c r="AW355" s="3">
        <v>315</v>
      </c>
      <c r="AX355" s="3" t="str">
        <f>IFERROR(MID(VLOOKUP($B355,Seqs!$A:$B,2,0),AY355,1),"")</f>
        <v>I</v>
      </c>
      <c r="AY355" s="3">
        <v>323</v>
      </c>
      <c r="AZ355" s="77" t="str">
        <f>VLOOKUP(B355,Classification!A:D,2,0)</f>
        <v>A</v>
      </c>
      <c r="BA355" s="94" t="str">
        <f>VLOOKUP(B355,Classification!A:D,4,0)</f>
        <v>Lysophospholipid(S1P)</v>
      </c>
      <c r="BB355" s="27" t="b">
        <f t="shared" si="1983"/>
        <v>1</v>
      </c>
      <c r="BC355" s="23">
        <f t="shared" si="1956"/>
        <v>232</v>
      </c>
      <c r="BD355" s="2" t="s">
        <v>1376</v>
      </c>
      <c r="BE355" s="3" t="s">
        <v>1374</v>
      </c>
      <c r="BF355" s="118">
        <v>2.8</v>
      </c>
      <c r="BG355" s="49" t="s">
        <v>1377</v>
      </c>
      <c r="BH355" s="49" t="s">
        <v>1377</v>
      </c>
      <c r="BI355" s="1"/>
      <c r="BJ355" s="70" t="s">
        <v>1287</v>
      </c>
      <c r="BK355" s="57" t="s">
        <v>1287</v>
      </c>
      <c r="BL355" s="57" t="s">
        <v>1287</v>
      </c>
      <c r="BM355" s="57" t="s">
        <v>1287</v>
      </c>
      <c r="BN355" s="57" t="s">
        <v>1287</v>
      </c>
      <c r="BO355" s="57" t="s">
        <v>1287</v>
      </c>
      <c r="BP355" s="57" t="s">
        <v>1287</v>
      </c>
      <c r="BQ355" s="57" t="s">
        <v>1287</v>
      </c>
      <c r="BR355" s="57" t="s">
        <v>1287</v>
      </c>
      <c r="BS355" s="57" t="s">
        <v>1287</v>
      </c>
      <c r="BT355" s="57" t="s">
        <v>1287</v>
      </c>
      <c r="BU355" s="57" t="s">
        <v>1287</v>
      </c>
      <c r="BV355" s="70">
        <f t="shared" si="1957"/>
        <v>42</v>
      </c>
      <c r="BW355" s="71">
        <f t="shared" si="1958"/>
        <v>74</v>
      </c>
      <c r="BX355" s="72">
        <f t="shared" si="1959"/>
        <v>78</v>
      </c>
      <c r="BY355" s="71">
        <f t="shared" si="1960"/>
        <v>106</v>
      </c>
      <c r="BZ355" s="72">
        <f t="shared" si="1961"/>
        <v>113</v>
      </c>
      <c r="CA355" s="71" t="str">
        <f t="shared" si="1962"/>
        <v>-</v>
      </c>
      <c r="CB355" s="72">
        <f t="shared" si="1963"/>
        <v>156</v>
      </c>
      <c r="CC355" s="71" t="str">
        <f t="shared" si="1964"/>
        <v>-</v>
      </c>
      <c r="CD355" s="72">
        <f t="shared" si="1965"/>
        <v>199</v>
      </c>
      <c r="CE355" s="71">
        <f t="shared" si="1966"/>
        <v>251</v>
      </c>
      <c r="CF355" s="72">
        <f t="shared" si="1967"/>
        <v>288</v>
      </c>
      <c r="CG355" s="71">
        <f t="shared" si="1968"/>
        <v>315</v>
      </c>
      <c r="CH355" s="70">
        <f t="shared" si="1969"/>
        <v>73</v>
      </c>
      <c r="CI355" s="71">
        <f t="shared" si="1970"/>
        <v>77</v>
      </c>
      <c r="CJ355" s="72">
        <f t="shared" si="1971"/>
        <v>104</v>
      </c>
      <c r="CK355" s="72">
        <f t="shared" si="1972"/>
        <v>112</v>
      </c>
      <c r="CL355" s="72">
        <f t="shared" si="1973"/>
        <v>145</v>
      </c>
      <c r="CM355" s="72" t="str">
        <f t="shared" si="1974"/>
        <v>-</v>
      </c>
      <c r="CN355" s="72">
        <f t="shared" si="1975"/>
        <v>181</v>
      </c>
      <c r="CO355" s="72" t="str">
        <f t="shared" si="1976"/>
        <v>-</v>
      </c>
      <c r="CP355" s="72">
        <f t="shared" si="1977"/>
        <v>231</v>
      </c>
      <c r="CQ355" s="72">
        <f t="shared" si="1978"/>
        <v>282</v>
      </c>
      <c r="CR355" s="72">
        <f t="shared" si="1979"/>
        <v>314</v>
      </c>
      <c r="CS355" s="72">
        <f t="shared" si="1980"/>
        <v>323</v>
      </c>
      <c r="CT355" s="23">
        <f t="shared" si="1981"/>
        <v>1</v>
      </c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</row>
    <row r="356" spans="1:1030" s="12" customFormat="1" x14ac:dyDescent="0.2">
      <c r="A356" s="9" t="str">
        <f t="shared" ref="A356:A357" si="2656">CONCATENATE(B356,"_",C356)</f>
        <v>sucr1_rat__wt</v>
      </c>
      <c r="B356" s="9" t="s">
        <v>1597</v>
      </c>
      <c r="C356" s="9" t="s">
        <v>100</v>
      </c>
      <c r="D356" s="9" t="str">
        <f>IFERROR(MID(VLOOKUP($B356,Seqs!$A:$B,2,0),E356,1),"")</f>
        <v>C</v>
      </c>
      <c r="E356" s="9">
        <v>7</v>
      </c>
      <c r="F356" s="9" t="str">
        <f>IFERROR(MID(VLOOKUP($B356,Seqs!$A:$B,2,0),G356,1),"")</f>
        <v>M</v>
      </c>
      <c r="G356" s="9">
        <v>48</v>
      </c>
      <c r="H356" s="9" t="str">
        <f>IFERROR(MID(VLOOKUP($B356,Seqs!$A:$B,2,0),I356,1),"")</f>
        <v/>
      </c>
      <c r="I356" s="109" t="s">
        <v>23</v>
      </c>
      <c r="J356" s="9" t="str">
        <f>IFERROR(MID(VLOOKUP($B356,Seqs!$A:$B,2,0),K356,1),"")</f>
        <v/>
      </c>
      <c r="K356" s="109" t="s">
        <v>23</v>
      </c>
      <c r="L356" s="9" t="str">
        <f>IFERROR(MID(VLOOKUP($B356,Seqs!$A:$B,2,0),M356,1),"")</f>
        <v>N</v>
      </c>
      <c r="M356" s="9">
        <v>52</v>
      </c>
      <c r="N356" s="9" t="str">
        <f>IFERROR(MID(VLOOKUP($B356,Seqs!$A:$B,2,0),O356,1),"")</f>
        <v>G</v>
      </c>
      <c r="O356" s="9">
        <v>82</v>
      </c>
      <c r="P356" s="9" t="str">
        <f>IFERROR(MID(VLOOKUP($B356,Seqs!$A:$B,2,0),Q356,1),"")</f>
        <v>N</v>
      </c>
      <c r="Q356" s="9">
        <v>83</v>
      </c>
      <c r="R356" s="9" t="str">
        <f>IFERROR(MID(VLOOKUP($B356,Seqs!$A:$B,2,0),S356,1),"")</f>
        <v>Y</v>
      </c>
      <c r="S356" s="9">
        <v>86</v>
      </c>
      <c r="T356" s="9" t="str">
        <f>IFERROR(MID(VLOOKUP($B356,Seqs!$A:$B,2,0),U356,1),"")</f>
        <v>G</v>
      </c>
      <c r="U356" s="9">
        <v>87</v>
      </c>
      <c r="V356" s="9" t="str">
        <f>IFERROR(MID(VLOOKUP($B356,Seqs!$A:$B,2,0),W356,1),"")</f>
        <v>F</v>
      </c>
      <c r="W356" s="9">
        <v>122</v>
      </c>
      <c r="X356" s="9" t="str">
        <f>IFERROR(MID(VLOOKUP($B356,Seqs!$A:$B,2,0),Y356,1),"")</f>
        <v>P</v>
      </c>
      <c r="Y356" s="9">
        <v>123</v>
      </c>
      <c r="Z356" s="9" t="str">
        <f>IFERROR(MID(VLOOKUP($B356,Seqs!$A:$B,2,0),AA356,1),"")</f>
        <v>Q</v>
      </c>
      <c r="AA356" s="9">
        <v>130</v>
      </c>
      <c r="AB356" s="9" t="str">
        <f>IFERROR(MID(VLOOKUP($B356,Seqs!$A:$B,2,0),AC356,1),"")</f>
        <v>K</v>
      </c>
      <c r="AC356" s="9">
        <v>131</v>
      </c>
      <c r="AD356" s="9" t="str">
        <f>IFERROR(MID(VLOOKUP($B356,Seqs!$A:$B,2,0),AE356,1),"")</f>
        <v>T</v>
      </c>
      <c r="AE356" s="9">
        <v>160</v>
      </c>
      <c r="AF356" s="9" t="str">
        <f>IFERROR(MID(VLOOKUP($B356,Seqs!$A:$B,2,0),AG356,1),"")</f>
        <v>C</v>
      </c>
      <c r="AG356" s="9">
        <v>168</v>
      </c>
      <c r="AH356" s="9" t="str">
        <f>IFERROR(MID(VLOOKUP($B356,Seqs!$A:$B,2,0),AI356,1),"")</f>
        <v>D</v>
      </c>
      <c r="AI356" s="9">
        <v>170</v>
      </c>
      <c r="AJ356" s="9" t="str">
        <f>IFERROR(MID(VLOOKUP($B356,Seqs!$A:$B,2,0),AK356,1),"")</f>
        <v>N</v>
      </c>
      <c r="AK356" s="9">
        <v>176</v>
      </c>
      <c r="AL356" s="9" t="str">
        <f>IFERROR(MID(VLOOKUP($B356,Seqs!$A:$B,2,0),AM356,1),"")</f>
        <v>R</v>
      </c>
      <c r="AM356" s="9">
        <v>213</v>
      </c>
      <c r="AN356" s="9" t="str">
        <f>IFERROR(MID(VLOOKUP($B356,Seqs!$A:$B,2,0),AO356,1),"")</f>
        <v>Q</v>
      </c>
      <c r="AO356" s="9">
        <v>217</v>
      </c>
      <c r="AP356" s="9" t="str">
        <f>IFERROR(MID(VLOOKUP($B356,Seqs!$A:$B,2,0),AQ356,1),"")</f>
        <v>L</v>
      </c>
      <c r="AQ356" s="9">
        <v>256</v>
      </c>
      <c r="AR356" s="9" t="str">
        <f>IFERROR(MID(VLOOKUP($B356,Seqs!$A:$B,2,0),AS356,1),"")</f>
        <v>C</v>
      </c>
      <c r="AS356" s="9">
        <v>263</v>
      </c>
      <c r="AT356" s="9" t="str">
        <f>IFERROR(MID(VLOOKUP($B356,Seqs!$A:$B,2,0),AU356,1),"")</f>
        <v>V</v>
      </c>
      <c r="AU356" s="9">
        <v>293</v>
      </c>
      <c r="AV356" s="9" t="str">
        <f>IFERROR(MID(VLOOKUP($B356,Seqs!$A:$B,2,0),AW356,1),"")</f>
        <v>G</v>
      </c>
      <c r="AW356" s="9">
        <v>294</v>
      </c>
      <c r="AX356" s="9" t="str">
        <f>IFERROR(MID(VLOOKUP($B356,Seqs!$A:$B,2,0),AY356,1),"")</f>
        <v>L</v>
      </c>
      <c r="AY356" s="9">
        <v>312</v>
      </c>
      <c r="AZ356" s="110" t="str">
        <f>VLOOKUP(B356,Classification!A:D,2,0)</f>
        <v>A</v>
      </c>
      <c r="BA356" s="98" t="str">
        <f>VLOOKUP(B356,Classification!A:D,4,0)</f>
        <v>Succinate</v>
      </c>
      <c r="BB356" s="36" t="b">
        <f t="shared" ref="BB356:BB357" si="2657">AND(E356&lt;G356,OR(G356&lt;I356,I356="-"),OR(I356&lt;K356,I356="-"),OR(K356&lt;M356,K356="-"),M356&lt;O356,OR(O356&lt;Q356,Q356="-"),OR(Q356&lt;S356,Q356="-"),OR(S356&lt;U356,S356="-"),U356&lt;W356,OR(W356&lt;Y356,Y356="-"),OR(Y356&lt;AA356,Y356="-"),OR(AA356&lt;AC356,AA356="-"),AC356&lt;AE356,OR(AE356&lt;AG356,AG356="-"),OR(AG356&lt;AI356,AG356="-"),OR(AI356&lt;AK356,AI356="-"),AK356&lt;AM356,AM356&lt;AO356,AO356&lt;AQ356,AQ356&lt;AS356,AS356&lt;AU356,OR(AU356&lt;AW356,AW356="-"),OR(AW356&lt;AY356,AW356="-"))</f>
        <v>1</v>
      </c>
      <c r="BC356" s="109">
        <f t="shared" ref="BC356:BC357" si="2658">_xlfn.AGGREGATE(9,6,CH356:CS356)-_xlfn.AGGREGATE(9,6,BV356:CG356)+12</f>
        <v>283</v>
      </c>
      <c r="BD356" s="40" t="s">
        <v>23</v>
      </c>
      <c r="BE356" s="9" t="s">
        <v>23</v>
      </c>
      <c r="BF356" s="119" t="s">
        <v>23</v>
      </c>
      <c r="BG356" s="51" t="s">
        <v>1377</v>
      </c>
      <c r="BH356" s="51" t="s">
        <v>1377</v>
      </c>
      <c r="BJ356" s="111" t="s">
        <v>1287</v>
      </c>
      <c r="BK356" s="112" t="s">
        <v>1287</v>
      </c>
      <c r="BL356" s="112" t="s">
        <v>1287</v>
      </c>
      <c r="BM356" s="112" t="s">
        <v>1287</v>
      </c>
      <c r="BN356" s="112" t="s">
        <v>1287</v>
      </c>
      <c r="BO356" s="112" t="s">
        <v>1287</v>
      </c>
      <c r="BP356" s="112" t="s">
        <v>1287</v>
      </c>
      <c r="BQ356" s="112" t="s">
        <v>1287</v>
      </c>
      <c r="BR356" s="112" t="s">
        <v>1287</v>
      </c>
      <c r="BS356" s="112" t="s">
        <v>1287</v>
      </c>
      <c r="BT356" s="112" t="s">
        <v>1287</v>
      </c>
      <c r="BU356" s="112" t="s">
        <v>1287</v>
      </c>
      <c r="BV356" s="111">
        <f t="shared" ref="BV356:BV357" si="2659">E356</f>
        <v>7</v>
      </c>
      <c r="BW356" s="113" t="str">
        <f t="shared" ref="BW356:BW357" si="2660">I356</f>
        <v>-</v>
      </c>
      <c r="BX356" s="114">
        <f t="shared" ref="BX356:BX357" si="2661">M356</f>
        <v>52</v>
      </c>
      <c r="BY356" s="113">
        <f t="shared" ref="BY356:BY357" si="2662">Q356</f>
        <v>83</v>
      </c>
      <c r="BZ356" s="114">
        <f t="shared" ref="BZ356:BZ357" si="2663">U356</f>
        <v>87</v>
      </c>
      <c r="CA356" s="113">
        <f t="shared" ref="CA356:CA357" si="2664">Y356</f>
        <v>123</v>
      </c>
      <c r="CB356" s="114">
        <f t="shared" ref="CB356:CB357" si="2665">AC356</f>
        <v>131</v>
      </c>
      <c r="CC356" s="113">
        <f t="shared" ref="CC356:CC357" si="2666">AG356</f>
        <v>168</v>
      </c>
      <c r="CD356" s="114">
        <f t="shared" ref="CD356:CD357" si="2667">AK356</f>
        <v>176</v>
      </c>
      <c r="CE356" s="113">
        <f t="shared" ref="CE356:CE357" si="2668">AO356</f>
        <v>217</v>
      </c>
      <c r="CF356" s="114">
        <f t="shared" ref="CF356:CF357" si="2669">AS356</f>
        <v>263</v>
      </c>
      <c r="CG356" s="113">
        <f t="shared" ref="CG356:CG357" si="2670">AW356</f>
        <v>294</v>
      </c>
      <c r="CH356" s="111">
        <f t="shared" ref="CH356:CH357" si="2671">G356</f>
        <v>48</v>
      </c>
      <c r="CI356" s="113" t="str">
        <f t="shared" ref="CI356:CI357" si="2672">K356</f>
        <v>-</v>
      </c>
      <c r="CJ356" s="114">
        <f t="shared" ref="CJ356:CJ357" si="2673">O356</f>
        <v>82</v>
      </c>
      <c r="CK356" s="114">
        <f t="shared" ref="CK356:CK357" si="2674">S356</f>
        <v>86</v>
      </c>
      <c r="CL356" s="114">
        <f t="shared" ref="CL356:CL357" si="2675">W356</f>
        <v>122</v>
      </c>
      <c r="CM356" s="114">
        <f t="shared" ref="CM356:CM357" si="2676">AA356</f>
        <v>130</v>
      </c>
      <c r="CN356" s="114">
        <f t="shared" ref="CN356:CN357" si="2677">AE356</f>
        <v>160</v>
      </c>
      <c r="CO356" s="114">
        <f t="shared" ref="CO356:CO357" si="2678">AI356</f>
        <v>170</v>
      </c>
      <c r="CP356" s="114">
        <f t="shared" ref="CP356:CP357" si="2679">AM356</f>
        <v>213</v>
      </c>
      <c r="CQ356" s="114">
        <f t="shared" ref="CQ356:CQ357" si="2680">AQ356</f>
        <v>256</v>
      </c>
      <c r="CR356" s="114">
        <f t="shared" ref="CR356:CR357" si="2681">AU356</f>
        <v>293</v>
      </c>
      <c r="CS356" s="114">
        <f t="shared" ref="CS356:CS357" si="2682">AY356</f>
        <v>312</v>
      </c>
      <c r="CT356" s="109" t="e">
        <f t="shared" ref="CT356:CT357" si="2683">M356-K356</f>
        <v>#VALUE!</v>
      </c>
    </row>
    <row r="357" spans="1:1030" s="12" customFormat="1" x14ac:dyDescent="0.2">
      <c r="A357" s="9" t="str">
        <f t="shared" si="2656"/>
        <v>sucr1_rat_6IBB</v>
      </c>
      <c r="B357" s="9" t="s">
        <v>1597</v>
      </c>
      <c r="C357" s="9" t="s">
        <v>1598</v>
      </c>
      <c r="D357" s="9" t="str">
        <f>IFERROR(MID(VLOOKUP($B357,Seqs!$A:$B,2,0),E357,1),"")</f>
        <v>C</v>
      </c>
      <c r="E357" s="9">
        <v>7</v>
      </c>
      <c r="F357" s="9" t="str">
        <f>IFERROR(MID(VLOOKUP($B357,Seqs!$A:$B,2,0),G357,1),"")</f>
        <v>M</v>
      </c>
      <c r="G357" s="9">
        <v>48</v>
      </c>
      <c r="H357" s="9" t="str">
        <f>IFERROR(MID(VLOOKUP($B357,Seqs!$A:$B,2,0),I357,1),"")</f>
        <v/>
      </c>
      <c r="I357" s="109" t="s">
        <v>23</v>
      </c>
      <c r="J357" s="9" t="str">
        <f>IFERROR(MID(VLOOKUP($B357,Seqs!$A:$B,2,0),K357,1),"")</f>
        <v/>
      </c>
      <c r="K357" s="109" t="s">
        <v>23</v>
      </c>
      <c r="L357" s="9" t="str">
        <f>IFERROR(MID(VLOOKUP($B357,Seqs!$A:$B,2,0),M357,1),"")</f>
        <v>N</v>
      </c>
      <c r="M357" s="9">
        <v>52</v>
      </c>
      <c r="N357" s="9" t="str">
        <f>IFERROR(MID(VLOOKUP($B357,Seqs!$A:$B,2,0),O357,1),"")</f>
        <v>T</v>
      </c>
      <c r="O357" s="9">
        <v>81</v>
      </c>
      <c r="P357" s="9" t="str">
        <f>IFERROR(MID(VLOOKUP($B357,Seqs!$A:$B,2,0),Q357,1),"")</f>
        <v>N</v>
      </c>
      <c r="Q357" s="9">
        <v>83</v>
      </c>
      <c r="R357" s="9" t="str">
        <f>IFERROR(MID(VLOOKUP($B357,Seqs!$A:$B,2,0),S357,1),"")</f>
        <v>Y</v>
      </c>
      <c r="S357" s="9">
        <v>86</v>
      </c>
      <c r="T357" s="9" t="str">
        <f>IFERROR(MID(VLOOKUP($B357,Seqs!$A:$B,2,0),U357,1),"")</f>
        <v>G</v>
      </c>
      <c r="U357" s="9">
        <v>87</v>
      </c>
      <c r="V357" s="9" t="str">
        <f>IFERROR(MID(VLOOKUP($B357,Seqs!$A:$B,2,0),W357,1),"")</f>
        <v>F</v>
      </c>
      <c r="W357" s="9">
        <v>122</v>
      </c>
      <c r="X357" s="9" t="str">
        <f>IFERROR(MID(VLOOKUP($B357,Seqs!$A:$B,2,0),Y357,1),"")</f>
        <v/>
      </c>
      <c r="Y357" s="9" t="s">
        <v>23</v>
      </c>
      <c r="Z357" s="9" t="str">
        <f>IFERROR(MID(VLOOKUP($B357,Seqs!$A:$B,2,0),AA357,1),"")</f>
        <v/>
      </c>
      <c r="AA357" s="9" t="s">
        <v>23</v>
      </c>
      <c r="AB357" s="9" t="str">
        <f>IFERROR(MID(VLOOKUP($B357,Seqs!$A:$B,2,0),AC357,1),"")</f>
        <v>K</v>
      </c>
      <c r="AC357" s="9">
        <v>131</v>
      </c>
      <c r="AD357" s="9" t="str">
        <f>IFERROR(MID(VLOOKUP($B357,Seqs!$A:$B,2,0),AE357,1),"")</f>
        <v>I</v>
      </c>
      <c r="AE357" s="9">
        <v>157</v>
      </c>
      <c r="AF357" s="9" t="str">
        <f>IFERROR(MID(VLOOKUP($B357,Seqs!$A:$B,2,0),AG357,1),"")</f>
        <v>C</v>
      </c>
      <c r="AG357" s="9">
        <v>168</v>
      </c>
      <c r="AH357" s="9" t="str">
        <f>IFERROR(MID(VLOOKUP($B357,Seqs!$A:$B,2,0),AI357,1),"")</f>
        <v>D</v>
      </c>
      <c r="AI357" s="9">
        <v>170</v>
      </c>
      <c r="AJ357" s="9" t="str">
        <f>IFERROR(MID(VLOOKUP($B357,Seqs!$A:$B,2,0),AK357,1),"")</f>
        <v>N</v>
      </c>
      <c r="AK357" s="9">
        <v>176</v>
      </c>
      <c r="AL357" s="9" t="str">
        <f>IFERROR(MID(VLOOKUP($B357,Seqs!$A:$B,2,0),AM357,1),"")</f>
        <v>R</v>
      </c>
      <c r="AM357" s="9">
        <v>213</v>
      </c>
      <c r="AN357" s="9" t="str">
        <f>IFERROR(MID(VLOOKUP($B357,Seqs!$A:$B,2,0),AO357,1),"")</f>
        <v>L</v>
      </c>
      <c r="AO357" s="9">
        <v>227</v>
      </c>
      <c r="AP357" s="9" t="str">
        <f>IFERROR(MID(VLOOKUP($B357,Seqs!$A:$B,2,0),AQ357,1),"")</f>
        <v>L</v>
      </c>
      <c r="AQ357" s="9">
        <v>256</v>
      </c>
      <c r="AR357" s="9" t="str">
        <f>IFERROR(MID(VLOOKUP($B357,Seqs!$A:$B,2,0),AS357,1),"")</f>
        <v>C</v>
      </c>
      <c r="AS357" s="9">
        <v>263</v>
      </c>
      <c r="AT357" s="9" t="str">
        <f>IFERROR(MID(VLOOKUP($B357,Seqs!$A:$B,2,0),AU357,1),"")</f>
        <v>Y</v>
      </c>
      <c r="AU357" s="9">
        <v>290</v>
      </c>
      <c r="AV357" s="9" t="str">
        <f>IFERROR(MID(VLOOKUP($B357,Seqs!$A:$B,2,0),AW357,1),"")</f>
        <v>H</v>
      </c>
      <c r="AW357" s="9">
        <v>296</v>
      </c>
      <c r="AX357" s="9" t="str">
        <f>IFERROR(MID(VLOOKUP($B357,Seqs!$A:$B,2,0),AY357,1),"")</f>
        <v>L</v>
      </c>
      <c r="AY357" s="9">
        <v>312</v>
      </c>
      <c r="AZ357" s="110" t="str">
        <f>VLOOKUP(B357,Classification!A:D,2,0)</f>
        <v>A</v>
      </c>
      <c r="BA357" s="98" t="str">
        <f>VLOOKUP(B357,Classification!A:D,4,0)</f>
        <v>Succinate</v>
      </c>
      <c r="BB357" s="36" t="b">
        <f t="shared" si="2657"/>
        <v>1</v>
      </c>
      <c r="BC357" s="109">
        <f t="shared" si="2658"/>
        <v>257</v>
      </c>
      <c r="BD357" s="40" t="s">
        <v>23</v>
      </c>
      <c r="BE357" s="9" t="s">
        <v>1291</v>
      </c>
      <c r="BF357" s="119">
        <v>2.12</v>
      </c>
      <c r="BG357" s="51" t="s">
        <v>1</v>
      </c>
      <c r="BH357" s="51" t="s">
        <v>1</v>
      </c>
      <c r="BJ357" s="111" t="s">
        <v>1287</v>
      </c>
      <c r="BK357" s="112" t="s">
        <v>1287</v>
      </c>
      <c r="BL357" s="112" t="s">
        <v>1287</v>
      </c>
      <c r="BM357" s="112" t="s">
        <v>1287</v>
      </c>
      <c r="BN357" s="112" t="s">
        <v>1287</v>
      </c>
      <c r="BO357" s="112" t="s">
        <v>1287</v>
      </c>
      <c r="BP357" s="112" t="s">
        <v>1287</v>
      </c>
      <c r="BQ357" s="112" t="s">
        <v>1287</v>
      </c>
      <c r="BR357" s="112" t="s">
        <v>1287</v>
      </c>
      <c r="BS357" s="112" t="s">
        <v>1287</v>
      </c>
      <c r="BT357" s="112" t="s">
        <v>1287</v>
      </c>
      <c r="BU357" s="112" t="s">
        <v>1287</v>
      </c>
      <c r="BV357" s="111">
        <f t="shared" si="2659"/>
        <v>7</v>
      </c>
      <c r="BW357" s="113" t="str">
        <f t="shared" si="2660"/>
        <v>-</v>
      </c>
      <c r="BX357" s="114">
        <f t="shared" si="2661"/>
        <v>52</v>
      </c>
      <c r="BY357" s="113">
        <f t="shared" si="2662"/>
        <v>83</v>
      </c>
      <c r="BZ357" s="114">
        <f t="shared" si="2663"/>
        <v>87</v>
      </c>
      <c r="CA357" s="113" t="str">
        <f t="shared" si="2664"/>
        <v>-</v>
      </c>
      <c r="CB357" s="114">
        <f t="shared" si="2665"/>
        <v>131</v>
      </c>
      <c r="CC357" s="113">
        <f t="shared" si="2666"/>
        <v>168</v>
      </c>
      <c r="CD357" s="114">
        <f t="shared" si="2667"/>
        <v>176</v>
      </c>
      <c r="CE357" s="113">
        <f t="shared" si="2668"/>
        <v>227</v>
      </c>
      <c r="CF357" s="114">
        <f t="shared" si="2669"/>
        <v>263</v>
      </c>
      <c r="CG357" s="113">
        <f t="shared" si="2670"/>
        <v>296</v>
      </c>
      <c r="CH357" s="111">
        <f t="shared" si="2671"/>
        <v>48</v>
      </c>
      <c r="CI357" s="113" t="str">
        <f t="shared" si="2672"/>
        <v>-</v>
      </c>
      <c r="CJ357" s="114">
        <f t="shared" si="2673"/>
        <v>81</v>
      </c>
      <c r="CK357" s="114">
        <f t="shared" si="2674"/>
        <v>86</v>
      </c>
      <c r="CL357" s="114">
        <f t="shared" si="2675"/>
        <v>122</v>
      </c>
      <c r="CM357" s="114" t="str">
        <f t="shared" si="2676"/>
        <v>-</v>
      </c>
      <c r="CN357" s="114">
        <f t="shared" si="2677"/>
        <v>157</v>
      </c>
      <c r="CO357" s="114">
        <f t="shared" si="2678"/>
        <v>170</v>
      </c>
      <c r="CP357" s="114">
        <f t="shared" si="2679"/>
        <v>213</v>
      </c>
      <c r="CQ357" s="114">
        <f t="shared" si="2680"/>
        <v>256</v>
      </c>
      <c r="CR357" s="114">
        <f t="shared" si="2681"/>
        <v>290</v>
      </c>
      <c r="CS357" s="114">
        <f t="shared" si="2682"/>
        <v>312</v>
      </c>
      <c r="CT357" s="109" t="e">
        <f t="shared" si="2683"/>
        <v>#VALUE!</v>
      </c>
    </row>
    <row r="358" spans="1:1030" s="12" customFormat="1" x14ac:dyDescent="0.2">
      <c r="A358" s="9" t="str">
        <f t="shared" ref="A358" si="2684">CONCATENATE(B358,"_",C358)</f>
        <v>sucr1_rat_6RNK</v>
      </c>
      <c r="B358" s="9" t="s">
        <v>1597</v>
      </c>
      <c r="C358" s="9" t="s">
        <v>1600</v>
      </c>
      <c r="D358" s="9" t="str">
        <f>IFERROR(MID(VLOOKUP($B358,Seqs!$A:$B,2,0),E358,1),"")</f>
        <v>C</v>
      </c>
      <c r="E358" s="9">
        <v>7</v>
      </c>
      <c r="F358" s="9" t="str">
        <f>IFERROR(MID(VLOOKUP($B358,Seqs!$A:$B,2,0),G358,1),"")</f>
        <v>M</v>
      </c>
      <c r="G358" s="9">
        <v>48</v>
      </c>
      <c r="H358" s="9" t="str">
        <f>IFERROR(MID(VLOOKUP($B358,Seqs!$A:$B,2,0),I358,1),"")</f>
        <v/>
      </c>
      <c r="I358" s="109" t="s">
        <v>23</v>
      </c>
      <c r="J358" s="9" t="str">
        <f>IFERROR(MID(VLOOKUP($B358,Seqs!$A:$B,2,0),K358,1),"")</f>
        <v/>
      </c>
      <c r="K358" s="109" t="s">
        <v>23</v>
      </c>
      <c r="L358" s="9" t="str">
        <f>IFERROR(MID(VLOOKUP($B358,Seqs!$A:$B,2,0),M358,1),"")</f>
        <v>N</v>
      </c>
      <c r="M358" s="9">
        <v>52</v>
      </c>
      <c r="N358" s="9" t="str">
        <f>IFERROR(MID(VLOOKUP($B358,Seqs!$A:$B,2,0),O358,1),"")</f>
        <v>G</v>
      </c>
      <c r="O358" s="9">
        <v>82</v>
      </c>
      <c r="P358" s="9" t="str">
        <f>IFERROR(MID(VLOOKUP($B358,Seqs!$A:$B,2,0),Q358,1),"")</f>
        <v>N</v>
      </c>
      <c r="Q358" s="9">
        <v>83</v>
      </c>
      <c r="R358" s="9" t="str">
        <f>IFERROR(MID(VLOOKUP($B358,Seqs!$A:$B,2,0),S358,1),"")</f>
        <v>Y</v>
      </c>
      <c r="S358" s="9">
        <v>86</v>
      </c>
      <c r="T358" s="9" t="str">
        <f>IFERROR(MID(VLOOKUP($B358,Seqs!$A:$B,2,0),U358,1),"")</f>
        <v>G</v>
      </c>
      <c r="U358" s="9">
        <v>87</v>
      </c>
      <c r="V358" s="9" t="str">
        <f>IFERROR(MID(VLOOKUP($B358,Seqs!$A:$B,2,0),W358,1),"")</f>
        <v>F</v>
      </c>
      <c r="W358" s="9">
        <v>122</v>
      </c>
      <c r="X358" s="9" t="str">
        <f>IFERROR(MID(VLOOKUP($B358,Seqs!$A:$B,2,0),Y358,1),"")</f>
        <v/>
      </c>
      <c r="Y358" s="9" t="s">
        <v>23</v>
      </c>
      <c r="Z358" s="9" t="str">
        <f>IFERROR(MID(VLOOKUP($B358,Seqs!$A:$B,2,0),AA358,1),"")</f>
        <v/>
      </c>
      <c r="AA358" s="9" t="s">
        <v>23</v>
      </c>
      <c r="AB358" s="9" t="str">
        <f>IFERROR(MID(VLOOKUP($B358,Seqs!$A:$B,2,0),AC358,1),"")</f>
        <v>K</v>
      </c>
      <c r="AC358" s="9">
        <v>131</v>
      </c>
      <c r="AD358" s="9" t="str">
        <f>IFERROR(MID(VLOOKUP($B358,Seqs!$A:$B,2,0),AE358,1),"")</f>
        <v>T</v>
      </c>
      <c r="AE358" s="9">
        <v>160</v>
      </c>
      <c r="AF358" s="9" t="str">
        <f>IFERROR(MID(VLOOKUP($B358,Seqs!$A:$B,2,0),AG358,1),"")</f>
        <v>C</v>
      </c>
      <c r="AG358" s="9">
        <v>168</v>
      </c>
      <c r="AH358" s="9" t="str">
        <f>IFERROR(MID(VLOOKUP($B358,Seqs!$A:$B,2,0),AI358,1),"")</f>
        <v>D</v>
      </c>
      <c r="AI358" s="9">
        <v>170</v>
      </c>
      <c r="AJ358" s="9" t="str">
        <f>IFERROR(MID(VLOOKUP($B358,Seqs!$A:$B,2,0),AK358,1),"")</f>
        <v>N</v>
      </c>
      <c r="AK358" s="9">
        <v>176</v>
      </c>
      <c r="AL358" s="9" t="str">
        <f>IFERROR(MID(VLOOKUP($B358,Seqs!$A:$B,2,0),AM358,1),"")</f>
        <v>S</v>
      </c>
      <c r="AM358" s="9">
        <v>214</v>
      </c>
      <c r="AN358" s="9" t="str">
        <f>IFERROR(MID(VLOOKUP($B358,Seqs!$A:$B,2,0),AO358,1),"")</f>
        <v>N</v>
      </c>
      <c r="AO358" s="9">
        <v>224</v>
      </c>
      <c r="AP358" s="9" t="str">
        <f>IFERROR(MID(VLOOKUP($B358,Seqs!$A:$B,2,0),AQ358,1),"")</f>
        <v>L</v>
      </c>
      <c r="AQ358" s="9">
        <v>256</v>
      </c>
      <c r="AR358" s="9" t="str">
        <f>IFERROR(MID(VLOOKUP($B358,Seqs!$A:$B,2,0),AS358,1),"")</f>
        <v>G</v>
      </c>
      <c r="AS358" s="9">
        <v>262</v>
      </c>
      <c r="AT358" s="9" t="str">
        <f>IFERROR(MID(VLOOKUP($B358,Seqs!$A:$B,2,0),AU358,1),"")</f>
        <v>Y</v>
      </c>
      <c r="AU358" s="9">
        <v>290</v>
      </c>
      <c r="AV358" s="9" t="str">
        <f>IFERROR(MID(VLOOKUP($B358,Seqs!$A:$B,2,0),AW358,1),"")</f>
        <v>H</v>
      </c>
      <c r="AW358" s="9">
        <v>296</v>
      </c>
      <c r="AX358" s="9" t="str">
        <f>IFERROR(MID(VLOOKUP($B358,Seqs!$A:$B,2,0),AY358,1),"")</f>
        <v>L</v>
      </c>
      <c r="AY358" s="9">
        <v>305</v>
      </c>
      <c r="AZ358" s="110" t="str">
        <f>VLOOKUP(B358,Classification!A:D,2,0)</f>
        <v>A</v>
      </c>
      <c r="BA358" s="98" t="str">
        <f>VLOOKUP(B358,Classification!A:D,4,0)</f>
        <v>Succinate</v>
      </c>
      <c r="BB358" s="36" t="b">
        <f t="shared" ref="BB358" si="2685">AND(E358&lt;G358,OR(G358&lt;I358,I358="-"),OR(I358&lt;K358,I358="-"),OR(K358&lt;M358,K358="-"),M358&lt;O358,OR(O358&lt;Q358,Q358="-"),OR(Q358&lt;S358,Q358="-"),OR(S358&lt;U358,S358="-"),U358&lt;W358,OR(W358&lt;Y358,Y358="-"),OR(Y358&lt;AA358,Y358="-"),OR(AA358&lt;AC358,AA358="-"),AC358&lt;AE358,OR(AE358&lt;AG358,AG358="-"),OR(AG358&lt;AI358,AG358="-"),OR(AI358&lt;AK358,AI358="-"),AK358&lt;AM358,AM358&lt;AO358,AO358&lt;AQ358,AQ358&lt;AS358,AS358&lt;AU358,OR(AU358&lt;AW358,AW358="-"),OR(AW358&lt;AY358,AW358="-"))</f>
        <v>1</v>
      </c>
      <c r="BC358" s="109">
        <f t="shared" ref="BC358" si="2686">_xlfn.AGGREGATE(9,6,CH358:CS358)-_xlfn.AGGREGATE(9,6,BV358:CG358)+12</f>
        <v>259</v>
      </c>
      <c r="BD358" s="40" t="s">
        <v>1375</v>
      </c>
      <c r="BE358" s="9" t="s">
        <v>1291</v>
      </c>
      <c r="BF358" s="119">
        <v>1.94</v>
      </c>
      <c r="BG358" s="51" t="s">
        <v>1</v>
      </c>
      <c r="BH358" s="51" t="s">
        <v>1</v>
      </c>
      <c r="BJ358" s="111" t="s">
        <v>1287</v>
      </c>
      <c r="BK358" s="112" t="s">
        <v>1287</v>
      </c>
      <c r="BL358" s="112" t="s">
        <v>1287</v>
      </c>
      <c r="BM358" s="112" t="s">
        <v>1287</v>
      </c>
      <c r="BN358" s="112" t="s">
        <v>1287</v>
      </c>
      <c r="BO358" s="112" t="s">
        <v>1287</v>
      </c>
      <c r="BP358" s="112" t="s">
        <v>1287</v>
      </c>
      <c r="BQ358" s="112" t="s">
        <v>1287</v>
      </c>
      <c r="BR358" s="112" t="s">
        <v>1287</v>
      </c>
      <c r="BS358" s="112" t="s">
        <v>1287</v>
      </c>
      <c r="BT358" s="112" t="s">
        <v>1287</v>
      </c>
      <c r="BU358" s="112" t="s">
        <v>1287</v>
      </c>
      <c r="BV358" s="111">
        <f t="shared" ref="BV358" si="2687">E358</f>
        <v>7</v>
      </c>
      <c r="BW358" s="113" t="str">
        <f t="shared" ref="BW358" si="2688">I358</f>
        <v>-</v>
      </c>
      <c r="BX358" s="114">
        <f t="shared" ref="BX358" si="2689">M358</f>
        <v>52</v>
      </c>
      <c r="BY358" s="113">
        <f t="shared" ref="BY358" si="2690">Q358</f>
        <v>83</v>
      </c>
      <c r="BZ358" s="114">
        <f t="shared" ref="BZ358" si="2691">U358</f>
        <v>87</v>
      </c>
      <c r="CA358" s="113" t="str">
        <f t="shared" ref="CA358" si="2692">Y358</f>
        <v>-</v>
      </c>
      <c r="CB358" s="114">
        <f t="shared" ref="CB358" si="2693">AC358</f>
        <v>131</v>
      </c>
      <c r="CC358" s="113">
        <f t="shared" ref="CC358" si="2694">AG358</f>
        <v>168</v>
      </c>
      <c r="CD358" s="114">
        <f t="shared" ref="CD358" si="2695">AK358</f>
        <v>176</v>
      </c>
      <c r="CE358" s="113">
        <f t="shared" ref="CE358" si="2696">AO358</f>
        <v>224</v>
      </c>
      <c r="CF358" s="114">
        <f t="shared" ref="CF358" si="2697">AS358</f>
        <v>262</v>
      </c>
      <c r="CG358" s="113">
        <f t="shared" ref="CG358" si="2698">AW358</f>
        <v>296</v>
      </c>
      <c r="CH358" s="111">
        <f t="shared" ref="CH358" si="2699">G358</f>
        <v>48</v>
      </c>
      <c r="CI358" s="113" t="str">
        <f t="shared" ref="CI358" si="2700">K358</f>
        <v>-</v>
      </c>
      <c r="CJ358" s="114">
        <f t="shared" ref="CJ358" si="2701">O358</f>
        <v>82</v>
      </c>
      <c r="CK358" s="114">
        <f t="shared" ref="CK358" si="2702">S358</f>
        <v>86</v>
      </c>
      <c r="CL358" s="114">
        <f t="shared" ref="CL358" si="2703">W358</f>
        <v>122</v>
      </c>
      <c r="CM358" s="114" t="str">
        <f t="shared" ref="CM358" si="2704">AA358</f>
        <v>-</v>
      </c>
      <c r="CN358" s="114">
        <f t="shared" ref="CN358" si="2705">AE358</f>
        <v>160</v>
      </c>
      <c r="CO358" s="114">
        <f t="shared" ref="CO358" si="2706">AI358</f>
        <v>170</v>
      </c>
      <c r="CP358" s="114">
        <f t="shared" ref="CP358" si="2707">AM358</f>
        <v>214</v>
      </c>
      <c r="CQ358" s="114">
        <f t="shared" ref="CQ358" si="2708">AQ358</f>
        <v>256</v>
      </c>
      <c r="CR358" s="114">
        <f t="shared" ref="CR358" si="2709">AU358</f>
        <v>290</v>
      </c>
      <c r="CS358" s="114">
        <f t="shared" ref="CS358" si="2710">AY358</f>
        <v>305</v>
      </c>
      <c r="CT358" s="109" t="e">
        <f t="shared" ref="CT358" si="2711">M358-K358</f>
        <v>#VALUE!</v>
      </c>
    </row>
    <row r="359" spans="1:1030" x14ac:dyDescent="0.2">
      <c r="A359" s="3" t="str">
        <f t="shared" si="1982"/>
        <v>us28_hcmva__wt</v>
      </c>
      <c r="B359" s="3" t="s">
        <v>923</v>
      </c>
      <c r="C359" s="3" t="s">
        <v>100</v>
      </c>
      <c r="D359" s="3" t="str">
        <f>IFERROR(MID(VLOOKUP($B359,Seqs!$A:$B,2,0),E359,1),"")</f>
        <v>F</v>
      </c>
      <c r="E359" s="105">
        <v>25</v>
      </c>
      <c r="F359" s="3" t="str">
        <f>IFERROR(MID(VLOOKUP($B359,Seqs!$A:$B,2,0),G359,1),"")</f>
        <v>R</v>
      </c>
      <c r="G359" s="3">
        <v>61</v>
      </c>
      <c r="H359" s="3" t="str">
        <f>IFERROR(MID(VLOOKUP($B359,Seqs!$A:$B,2,0),I359,1),"")</f>
        <v>R</v>
      </c>
      <c r="I359" s="23">
        <v>62</v>
      </c>
      <c r="J359" s="3" t="str">
        <f>IFERROR(MID(VLOOKUP($B359,Seqs!$A:$B,2,0),K359,1),"")</f>
        <v>Q</v>
      </c>
      <c r="K359" s="23">
        <v>65</v>
      </c>
      <c r="L359" s="3" t="str">
        <f>IFERROR(MID(VLOOKUP($B359,Seqs!$A:$B,2,0),M359,1),"")</f>
        <v>C</v>
      </c>
      <c r="M359" s="3">
        <v>66</v>
      </c>
      <c r="N359" s="3" t="str">
        <f>IFERROR(MID(VLOOKUP($B359,Seqs!$A:$B,2,0),O359,1),"")</f>
        <v>D</v>
      </c>
      <c r="O359" s="3">
        <v>95</v>
      </c>
      <c r="P359" s="3" t="str">
        <f>IFERROR(MID(VLOOKUP($B359,Seqs!$A:$B,2,0),Q359,1),"")</f>
        <v/>
      </c>
      <c r="Q359" s="3" t="s">
        <v>23</v>
      </c>
      <c r="R359" s="3" t="str">
        <f>IFERROR(MID(VLOOKUP($B359,Seqs!$A:$B,2,0),S359,1),"")</f>
        <v/>
      </c>
      <c r="S359" s="3" t="s">
        <v>23</v>
      </c>
      <c r="T359" s="3" t="str">
        <f>IFERROR(MID(VLOOKUP($B359,Seqs!$A:$B,2,0),U359,1),"")</f>
        <v>A</v>
      </c>
      <c r="U359" s="105">
        <v>100</v>
      </c>
      <c r="V359" s="3" t="str">
        <f>IFERROR(MID(VLOOKUP($B359,Seqs!$A:$B,2,0),W359,1),"")</f>
        <v>V</v>
      </c>
      <c r="W359" s="105">
        <v>134</v>
      </c>
      <c r="X359" s="3" t="str">
        <f>IFERROR(MID(VLOOKUP($B359,Seqs!$A:$B,2,0),Y359,1),"")</f>
        <v/>
      </c>
      <c r="Y359" s="3" t="s">
        <v>23</v>
      </c>
      <c r="Z359" s="3" t="str">
        <f>IFERROR(MID(VLOOKUP($B359,Seqs!$A:$B,2,0),AA359,1),"")</f>
        <v/>
      </c>
      <c r="AA359" s="3" t="s">
        <v>23</v>
      </c>
      <c r="AB359" s="3" t="str">
        <f>IFERROR(MID(VLOOKUP($B359,Seqs!$A:$B,2,0),AC359,1),"")</f>
        <v>P</v>
      </c>
      <c r="AC359" s="9">
        <v>140</v>
      </c>
      <c r="AD359" s="3" t="str">
        <f>IFERROR(MID(VLOOKUP($B359,Seqs!$A:$B,2,0),AE359,1),"")</f>
        <v>M</v>
      </c>
      <c r="AE359" s="105">
        <v>164</v>
      </c>
      <c r="AF359" s="3" t="str">
        <f>IFERROR(MID(VLOOKUP($B359,Seqs!$A:$B,2,0),AG359,1),"")</f>
        <v>C</v>
      </c>
      <c r="AG359" s="3">
        <v>173</v>
      </c>
      <c r="AH359" s="3" t="str">
        <f>IFERROR(MID(VLOOKUP($B359,Seqs!$A:$B,2,0),AI359,1),"")</f>
        <v>T</v>
      </c>
      <c r="AI359" s="3">
        <v>175</v>
      </c>
      <c r="AJ359" s="3" t="str">
        <f>IFERROR(MID(VLOOKUP($B359,Seqs!$A:$B,2,0),AK359,1),"")</f>
        <v>S</v>
      </c>
      <c r="AK359" s="105">
        <v>183</v>
      </c>
      <c r="AL359" s="3" t="str">
        <f>IFERROR(MID(VLOOKUP($B359,Seqs!$A:$B,2,0),AM359,1),"")</f>
        <v>S</v>
      </c>
      <c r="AM359" s="3">
        <v>218</v>
      </c>
      <c r="AN359" s="3" t="str">
        <f>IFERROR(MID(VLOOKUP($B359,Seqs!$A:$B,2,0),AO359,1),"")</f>
        <v>H</v>
      </c>
      <c r="AO359" s="3">
        <v>222</v>
      </c>
      <c r="AP359" s="3" t="str">
        <f>IFERROR(MID(VLOOKUP($B359,Seqs!$A:$B,2,0),AQ359,1),"")</f>
        <v>K</v>
      </c>
      <c r="AQ359" s="3">
        <v>257</v>
      </c>
      <c r="AR359" s="3" t="str">
        <f>IFERROR(MID(VLOOKUP($B359,Seqs!$A:$B,2,0),AS359,1),"")</f>
        <v>S</v>
      </c>
      <c r="AS359" s="3">
        <v>262</v>
      </c>
      <c r="AT359" s="3" t="str">
        <f>IFERROR(MID(VLOOKUP($B359,Seqs!$A:$B,2,0),AU359,1),"")</f>
        <v>V</v>
      </c>
      <c r="AU359" s="3">
        <v>294</v>
      </c>
      <c r="AV359" s="3" t="str">
        <f>IFERROR(MID(VLOOKUP($B359,Seqs!$A:$B,2,0),AW359,1),"")</f>
        <v>G</v>
      </c>
      <c r="AW359" s="3">
        <v>295</v>
      </c>
      <c r="AX359" s="3" t="str">
        <f>IFERROR(MID(VLOOKUP($B359,Seqs!$A:$B,2,0),AY359,1),"")</f>
        <v>R</v>
      </c>
      <c r="AY359" s="3">
        <v>310</v>
      </c>
      <c r="AZ359" s="77" t="str">
        <f>VLOOKUP(B359,Classification!A:D,2,0)</f>
        <v>A</v>
      </c>
      <c r="BA359" s="94" t="str">
        <f>VLOOKUP(B359,Classification!A:D,4,0)</f>
        <v>Chemokine</v>
      </c>
      <c r="BB359" s="27" t="b">
        <f t="shared" si="1983"/>
        <v>1</v>
      </c>
      <c r="BC359" s="23">
        <f t="shared" si="1956"/>
        <v>257</v>
      </c>
      <c r="BD359" s="56" t="s">
        <v>23</v>
      </c>
      <c r="BE359" s="3" t="s">
        <v>23</v>
      </c>
      <c r="BF359" s="118" t="s">
        <v>23</v>
      </c>
      <c r="BG359" s="49" t="s">
        <v>1372</v>
      </c>
      <c r="BH359" s="49" t="s">
        <v>1377</v>
      </c>
      <c r="BI359" s="1"/>
      <c r="BJ359" s="70" t="s">
        <v>1287</v>
      </c>
      <c r="BK359" s="57" t="s">
        <v>1287</v>
      </c>
      <c r="BL359" s="57" t="s">
        <v>1287</v>
      </c>
      <c r="BM359" s="57" t="s">
        <v>1287</v>
      </c>
      <c r="BN359" s="57" t="s">
        <v>1287</v>
      </c>
      <c r="BO359" s="57" t="s">
        <v>1287</v>
      </c>
      <c r="BP359" s="57" t="s">
        <v>1287</v>
      </c>
      <c r="BQ359" s="57" t="s">
        <v>1287</v>
      </c>
      <c r="BR359" s="57" t="s">
        <v>1287</v>
      </c>
      <c r="BS359" s="57" t="s">
        <v>1287</v>
      </c>
      <c r="BT359" s="57" t="s">
        <v>1287</v>
      </c>
      <c r="BU359" s="57" t="s">
        <v>1287</v>
      </c>
      <c r="BV359" s="70">
        <f t="shared" si="1957"/>
        <v>25</v>
      </c>
      <c r="BW359" s="71">
        <f t="shared" si="1958"/>
        <v>62</v>
      </c>
      <c r="BX359" s="72">
        <f t="shared" si="1959"/>
        <v>66</v>
      </c>
      <c r="BY359" s="71" t="str">
        <f t="shared" si="1960"/>
        <v>-</v>
      </c>
      <c r="BZ359" s="72">
        <f t="shared" si="1961"/>
        <v>100</v>
      </c>
      <c r="CA359" s="71" t="str">
        <f t="shared" si="1962"/>
        <v>-</v>
      </c>
      <c r="CB359" s="72">
        <f t="shared" si="1963"/>
        <v>140</v>
      </c>
      <c r="CC359" s="71">
        <f t="shared" si="1964"/>
        <v>173</v>
      </c>
      <c r="CD359" s="72">
        <f t="shared" si="1965"/>
        <v>183</v>
      </c>
      <c r="CE359" s="71">
        <f t="shared" si="1966"/>
        <v>222</v>
      </c>
      <c r="CF359" s="72">
        <f t="shared" si="1967"/>
        <v>262</v>
      </c>
      <c r="CG359" s="71">
        <f t="shared" si="1968"/>
        <v>295</v>
      </c>
      <c r="CH359" s="70">
        <f t="shared" si="1969"/>
        <v>61</v>
      </c>
      <c r="CI359" s="71">
        <f t="shared" si="1970"/>
        <v>65</v>
      </c>
      <c r="CJ359" s="72">
        <f t="shared" si="1971"/>
        <v>95</v>
      </c>
      <c r="CK359" s="72" t="str">
        <f t="shared" si="1972"/>
        <v>-</v>
      </c>
      <c r="CL359" s="72">
        <f t="shared" si="1973"/>
        <v>134</v>
      </c>
      <c r="CM359" s="72" t="str">
        <f t="shared" si="1974"/>
        <v>-</v>
      </c>
      <c r="CN359" s="72">
        <f t="shared" si="1975"/>
        <v>164</v>
      </c>
      <c r="CO359" s="72">
        <f t="shared" si="1976"/>
        <v>175</v>
      </c>
      <c r="CP359" s="72">
        <f t="shared" si="1977"/>
        <v>218</v>
      </c>
      <c r="CQ359" s="72">
        <f t="shared" si="1978"/>
        <v>257</v>
      </c>
      <c r="CR359" s="72">
        <f t="shared" si="1979"/>
        <v>294</v>
      </c>
      <c r="CS359" s="72">
        <f t="shared" si="1980"/>
        <v>310</v>
      </c>
      <c r="CT359" s="23">
        <f t="shared" si="1981"/>
        <v>1</v>
      </c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</row>
    <row r="360" spans="1:1030" x14ac:dyDescent="0.2">
      <c r="A360" s="3" t="str">
        <f t="shared" si="1982"/>
        <v>us28_hcmva_4XT1</v>
      </c>
      <c r="B360" s="3" t="s">
        <v>923</v>
      </c>
      <c r="C360" s="3" t="s">
        <v>1123</v>
      </c>
      <c r="D360" s="3" t="str">
        <f>IFERROR(MID(VLOOKUP($B360,Seqs!$A:$B,2,0),E360,1),"")</f>
        <v>F</v>
      </c>
      <c r="E360" s="105">
        <v>25</v>
      </c>
      <c r="F360" s="3" t="str">
        <f>IFERROR(MID(VLOOKUP($B360,Seqs!$A:$B,2,0),G360,1),"")</f>
        <v>R</v>
      </c>
      <c r="G360" s="3">
        <v>61</v>
      </c>
      <c r="H360" s="3" t="str">
        <f>IFERROR(MID(VLOOKUP($B360,Seqs!$A:$B,2,0),I360,1),"")</f>
        <v/>
      </c>
      <c r="I360" s="23" t="s">
        <v>23</v>
      </c>
      <c r="J360" s="3" t="str">
        <f>IFERROR(MID(VLOOKUP($B360,Seqs!$A:$B,2,0),K360,1),"")</f>
        <v/>
      </c>
      <c r="K360" s="23" t="s">
        <v>23</v>
      </c>
      <c r="L360" s="3" t="str">
        <f>IFERROR(MID(VLOOKUP($B360,Seqs!$A:$B,2,0),M360,1),"")</f>
        <v>C</v>
      </c>
      <c r="M360" s="3">
        <v>66</v>
      </c>
      <c r="N360" s="3" t="str">
        <f>IFERROR(MID(VLOOKUP($B360,Seqs!$A:$B,2,0),O360,1),"")</f>
        <v>D</v>
      </c>
      <c r="O360" s="3">
        <v>95</v>
      </c>
      <c r="P360" s="3" t="str">
        <f>IFERROR(MID(VLOOKUP($B360,Seqs!$A:$B,2,0),Q360,1),"")</f>
        <v/>
      </c>
      <c r="Q360" s="3" t="s">
        <v>23</v>
      </c>
      <c r="R360" s="3" t="str">
        <f>IFERROR(MID(VLOOKUP($B360,Seqs!$A:$B,2,0),S360,1),"")</f>
        <v/>
      </c>
      <c r="S360" s="3" t="s">
        <v>23</v>
      </c>
      <c r="T360" s="3" t="str">
        <f>IFERROR(MID(VLOOKUP($B360,Seqs!$A:$B,2,0),U360,1),"")</f>
        <v>P</v>
      </c>
      <c r="U360" s="3">
        <v>103</v>
      </c>
      <c r="V360" s="3" t="str">
        <f>IFERROR(MID(VLOOKUP($B360,Seqs!$A:$B,2,0),W360,1),"")</f>
        <v>V</v>
      </c>
      <c r="W360" s="105">
        <v>134</v>
      </c>
      <c r="X360" s="3" t="str">
        <f>IFERROR(MID(VLOOKUP($B360,Seqs!$A:$B,2,0),Y360,1),"")</f>
        <v/>
      </c>
      <c r="Y360" s="3" t="s">
        <v>23</v>
      </c>
      <c r="Z360" s="3" t="str">
        <f>IFERROR(MID(VLOOKUP($B360,Seqs!$A:$B,2,0),AA360,1),"")</f>
        <v/>
      </c>
      <c r="AA360" s="3" t="s">
        <v>23</v>
      </c>
      <c r="AB360" s="3" t="str">
        <f>IFERROR(MID(VLOOKUP($B360,Seqs!$A:$B,2,0),AC360,1),"")</f>
        <v>P</v>
      </c>
      <c r="AC360" s="9">
        <v>140</v>
      </c>
      <c r="AD360" s="3" t="str">
        <f>IFERROR(MID(VLOOKUP($B360,Seqs!$A:$B,2,0),AE360,1),"")</f>
        <v>M</v>
      </c>
      <c r="AE360" s="105">
        <v>164</v>
      </c>
      <c r="AF360" s="3" t="str">
        <f>IFERROR(MID(VLOOKUP($B360,Seqs!$A:$B,2,0),AG360,1),"")</f>
        <v>C</v>
      </c>
      <c r="AG360" s="3">
        <v>173</v>
      </c>
      <c r="AH360" s="3" t="str">
        <f>IFERROR(MID(VLOOKUP($B360,Seqs!$A:$B,2,0),AI360,1),"")</f>
        <v>T</v>
      </c>
      <c r="AI360" s="3">
        <v>175</v>
      </c>
      <c r="AJ360" s="3" t="str">
        <f>IFERROR(MID(VLOOKUP($B360,Seqs!$A:$B,2,0),AK360,1),"")</f>
        <v>S</v>
      </c>
      <c r="AK360" s="105">
        <v>183</v>
      </c>
      <c r="AL360" s="3" t="str">
        <f>IFERROR(MID(VLOOKUP($B360,Seqs!$A:$B,2,0),AM360,1),"")</f>
        <v>S</v>
      </c>
      <c r="AM360" s="3">
        <v>218</v>
      </c>
      <c r="AN360" s="3" t="str">
        <f>IFERROR(MID(VLOOKUP($B360,Seqs!$A:$B,2,0),AO360,1),"")</f>
        <v>H</v>
      </c>
      <c r="AO360" s="3">
        <v>222</v>
      </c>
      <c r="AP360" s="3" t="str">
        <f>IFERROR(MID(VLOOKUP($B360,Seqs!$A:$B,2,0),AQ360,1),"")</f>
        <v>K</v>
      </c>
      <c r="AQ360" s="3">
        <v>257</v>
      </c>
      <c r="AR360" s="3" t="str">
        <f>IFERROR(MID(VLOOKUP($B360,Seqs!$A:$B,2,0),AS360,1),"")</f>
        <v>C</v>
      </c>
      <c r="AS360" s="3">
        <v>263</v>
      </c>
      <c r="AT360" s="3" t="str">
        <f>IFERROR(MID(VLOOKUP($B360,Seqs!$A:$B,2,0),AU360,1),"")</f>
        <v>V</v>
      </c>
      <c r="AU360" s="3">
        <v>294</v>
      </c>
      <c r="AV360" s="3" t="str">
        <f>IFERROR(MID(VLOOKUP($B360,Seqs!$A:$B,2,0),AW360,1),"")</f>
        <v>G</v>
      </c>
      <c r="AW360" s="3">
        <v>295</v>
      </c>
      <c r="AX360" s="3" t="str">
        <f>IFERROR(MID(VLOOKUP($B360,Seqs!$A:$B,2,0),AY360,1),"")</f>
        <v>R</v>
      </c>
      <c r="AY360" s="3">
        <v>310</v>
      </c>
      <c r="AZ360" s="77" t="str">
        <f>VLOOKUP(B360,Classification!A:D,2,0)</f>
        <v>A</v>
      </c>
      <c r="BA360" s="94" t="str">
        <f>VLOOKUP(B360,Classification!A:D,4,0)</f>
        <v>Chemokine</v>
      </c>
      <c r="BB360" s="27" t="b">
        <f t="shared" si="1983"/>
        <v>1</v>
      </c>
      <c r="BC360" s="23">
        <f t="shared" si="1956"/>
        <v>250</v>
      </c>
      <c r="BD360" s="4" t="s">
        <v>23</v>
      </c>
      <c r="BE360" s="3" t="s">
        <v>1291</v>
      </c>
      <c r="BF360" s="118">
        <v>2.89</v>
      </c>
      <c r="BG360" s="49" t="s">
        <v>1377</v>
      </c>
      <c r="BH360" s="49" t="s">
        <v>1377</v>
      </c>
      <c r="BI360" s="1"/>
      <c r="BJ360" s="70" t="s">
        <v>1287</v>
      </c>
      <c r="BK360" s="57" t="s">
        <v>1287</v>
      </c>
      <c r="BL360" s="57" t="s">
        <v>1287</v>
      </c>
      <c r="BM360" s="57" t="s">
        <v>1287</v>
      </c>
      <c r="BN360" s="57" t="s">
        <v>1287</v>
      </c>
      <c r="BO360" s="57" t="s">
        <v>1287</v>
      </c>
      <c r="BP360" s="57" t="s">
        <v>1287</v>
      </c>
      <c r="BQ360" s="57" t="s">
        <v>1287</v>
      </c>
      <c r="BR360" s="57" t="s">
        <v>1287</v>
      </c>
      <c r="BS360" s="57" t="s">
        <v>1287</v>
      </c>
      <c r="BT360" s="57" t="s">
        <v>1287</v>
      </c>
      <c r="BU360" s="57" t="s">
        <v>1287</v>
      </c>
      <c r="BV360" s="70">
        <f t="shared" si="1957"/>
        <v>25</v>
      </c>
      <c r="BW360" s="71" t="str">
        <f t="shared" si="1958"/>
        <v>-</v>
      </c>
      <c r="BX360" s="72">
        <f t="shared" si="1959"/>
        <v>66</v>
      </c>
      <c r="BY360" s="71" t="str">
        <f t="shared" si="1960"/>
        <v>-</v>
      </c>
      <c r="BZ360" s="72">
        <f t="shared" si="1961"/>
        <v>103</v>
      </c>
      <c r="CA360" s="71" t="str">
        <f t="shared" si="1962"/>
        <v>-</v>
      </c>
      <c r="CB360" s="72">
        <f t="shared" si="1963"/>
        <v>140</v>
      </c>
      <c r="CC360" s="71">
        <f t="shared" si="1964"/>
        <v>173</v>
      </c>
      <c r="CD360" s="72">
        <f t="shared" si="1965"/>
        <v>183</v>
      </c>
      <c r="CE360" s="71">
        <f t="shared" si="1966"/>
        <v>222</v>
      </c>
      <c r="CF360" s="72">
        <f t="shared" si="1967"/>
        <v>263</v>
      </c>
      <c r="CG360" s="71">
        <f t="shared" si="1968"/>
        <v>295</v>
      </c>
      <c r="CH360" s="70">
        <f t="shared" si="1969"/>
        <v>61</v>
      </c>
      <c r="CI360" s="71" t="str">
        <f t="shared" si="1970"/>
        <v>-</v>
      </c>
      <c r="CJ360" s="72">
        <f t="shared" si="1971"/>
        <v>95</v>
      </c>
      <c r="CK360" s="72" t="str">
        <f t="shared" si="1972"/>
        <v>-</v>
      </c>
      <c r="CL360" s="72">
        <f t="shared" si="1973"/>
        <v>134</v>
      </c>
      <c r="CM360" s="72" t="str">
        <f t="shared" si="1974"/>
        <v>-</v>
      </c>
      <c r="CN360" s="72">
        <f t="shared" si="1975"/>
        <v>164</v>
      </c>
      <c r="CO360" s="72">
        <f t="shared" si="1976"/>
        <v>175</v>
      </c>
      <c r="CP360" s="72">
        <f t="shared" si="1977"/>
        <v>218</v>
      </c>
      <c r="CQ360" s="72">
        <f t="shared" si="1978"/>
        <v>257</v>
      </c>
      <c r="CR360" s="72">
        <f t="shared" si="1979"/>
        <v>294</v>
      </c>
      <c r="CS360" s="72">
        <f t="shared" si="1980"/>
        <v>310</v>
      </c>
      <c r="CT360" s="23" t="e">
        <f t="shared" si="1981"/>
        <v>#VALUE!</v>
      </c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</row>
    <row r="361" spans="1:1030" x14ac:dyDescent="0.2">
      <c r="A361" s="3" t="str">
        <f t="shared" si="1982"/>
        <v>us28_hcmva_4XT3</v>
      </c>
      <c r="B361" s="2" t="s">
        <v>923</v>
      </c>
      <c r="C361" s="3" t="s">
        <v>1371</v>
      </c>
      <c r="D361" s="3" t="str">
        <f>IFERROR(MID(VLOOKUP($B361,Seqs!$A:$B,2,0),E361,1),"")</f>
        <v>F</v>
      </c>
      <c r="E361" s="105">
        <v>25</v>
      </c>
      <c r="F361" s="3" t="str">
        <f>IFERROR(MID(VLOOKUP($B361,Seqs!$A:$B,2,0),G361,1),"")</f>
        <v>R</v>
      </c>
      <c r="G361" s="105">
        <v>62</v>
      </c>
      <c r="H361" s="3" t="str">
        <f>IFERROR(MID(VLOOKUP($B361,Seqs!$A:$B,2,0),I361,1),"")</f>
        <v/>
      </c>
      <c r="I361" s="23" t="s">
        <v>23</v>
      </c>
      <c r="J361" s="3" t="str">
        <f>IFERROR(MID(VLOOKUP($B361,Seqs!$A:$B,2,0),K361,1),"")</f>
        <v/>
      </c>
      <c r="K361" s="23" t="s">
        <v>23</v>
      </c>
      <c r="L361" s="3" t="str">
        <f>IFERROR(MID(VLOOKUP($B361,Seqs!$A:$B,2,0),M361,1),"")</f>
        <v>C</v>
      </c>
      <c r="M361" s="3">
        <v>66</v>
      </c>
      <c r="N361" s="3" t="str">
        <f>IFERROR(MID(VLOOKUP($B361,Seqs!$A:$B,2,0),O361,1),"")</f>
        <v>D</v>
      </c>
      <c r="O361" s="3">
        <v>95</v>
      </c>
      <c r="P361" s="3" t="str">
        <f>IFERROR(MID(VLOOKUP($B361,Seqs!$A:$B,2,0),Q361,1),"")</f>
        <v/>
      </c>
      <c r="Q361" s="3" t="s">
        <v>23</v>
      </c>
      <c r="R361" s="3" t="str">
        <f>IFERROR(MID(VLOOKUP($B361,Seqs!$A:$B,2,0),S361,1),"")</f>
        <v/>
      </c>
      <c r="S361" s="3" t="s">
        <v>23</v>
      </c>
      <c r="T361" s="3" t="str">
        <f>IFERROR(MID(VLOOKUP($B361,Seqs!$A:$B,2,0),U361,1),"")</f>
        <v>P</v>
      </c>
      <c r="U361" s="3">
        <v>103</v>
      </c>
      <c r="V361" s="3" t="str">
        <f>IFERROR(MID(VLOOKUP($B361,Seqs!$A:$B,2,0),W361,1),"")</f>
        <v>V</v>
      </c>
      <c r="W361" s="105">
        <v>134</v>
      </c>
      <c r="X361" s="3" t="str">
        <f>IFERROR(MID(VLOOKUP($B361,Seqs!$A:$B,2,0),Y361,1),"")</f>
        <v/>
      </c>
      <c r="Y361" s="3" t="s">
        <v>23</v>
      </c>
      <c r="Z361" s="3" t="str">
        <f>IFERROR(MID(VLOOKUP($B361,Seqs!$A:$B,2,0),AA361,1),"")</f>
        <v/>
      </c>
      <c r="AA361" s="3" t="s">
        <v>23</v>
      </c>
      <c r="AB361" s="3" t="str">
        <f>IFERROR(MID(VLOOKUP($B361,Seqs!$A:$B,2,0),AC361,1),"")</f>
        <v>P</v>
      </c>
      <c r="AC361" s="9">
        <v>140</v>
      </c>
      <c r="AD361" s="3" t="str">
        <f>IFERROR(MID(VLOOKUP($B361,Seqs!$A:$B,2,0),AE361,1),"")</f>
        <v>M</v>
      </c>
      <c r="AE361" s="105">
        <v>164</v>
      </c>
      <c r="AF361" s="3" t="str">
        <f>IFERROR(MID(VLOOKUP($B361,Seqs!$A:$B,2,0),AG361,1),"")</f>
        <v>C</v>
      </c>
      <c r="AG361" s="3">
        <v>173</v>
      </c>
      <c r="AH361" s="3" t="str">
        <f>IFERROR(MID(VLOOKUP($B361,Seqs!$A:$B,2,0),AI361,1),"")</f>
        <v>T</v>
      </c>
      <c r="AI361" s="3">
        <v>175</v>
      </c>
      <c r="AJ361" s="3" t="str">
        <f>IFERROR(MID(VLOOKUP($B361,Seqs!$A:$B,2,0),AK361,1),"")</f>
        <v>S</v>
      </c>
      <c r="AK361" s="105">
        <v>183</v>
      </c>
      <c r="AL361" s="3" t="str">
        <f>IFERROR(MID(VLOOKUP($B361,Seqs!$A:$B,2,0),AM361,1),"")</f>
        <v>S</v>
      </c>
      <c r="AM361" s="3">
        <v>218</v>
      </c>
      <c r="AN361" s="3" t="str">
        <f>IFERROR(MID(VLOOKUP($B361,Seqs!$A:$B,2,0),AO361,1),"")</f>
        <v>H</v>
      </c>
      <c r="AO361" s="3">
        <v>222</v>
      </c>
      <c r="AP361" s="3" t="str">
        <f>IFERROR(MID(VLOOKUP($B361,Seqs!$A:$B,2,0),AQ361,1),"")</f>
        <v>K</v>
      </c>
      <c r="AQ361" s="3">
        <v>257</v>
      </c>
      <c r="AR361" s="3" t="str">
        <f>IFERROR(MID(VLOOKUP($B361,Seqs!$A:$B,2,0),AS361,1),"")</f>
        <v>C</v>
      </c>
      <c r="AS361" s="3">
        <v>263</v>
      </c>
      <c r="AT361" s="3" t="str">
        <f>IFERROR(MID(VLOOKUP($B361,Seqs!$A:$B,2,0),AU361,1),"")</f>
        <v>V</v>
      </c>
      <c r="AU361" s="3">
        <v>294</v>
      </c>
      <c r="AV361" s="3" t="str">
        <f>IFERROR(MID(VLOOKUP($B361,Seqs!$A:$B,2,0),AW361,1),"")</f>
        <v/>
      </c>
      <c r="AW361" s="3" t="s">
        <v>23</v>
      </c>
      <c r="AX361" s="3" t="str">
        <f>IFERROR(MID(VLOOKUP($B361,Seqs!$A:$B,2,0),AY361,1),"")</f>
        <v/>
      </c>
      <c r="AY361" s="3" t="s">
        <v>23</v>
      </c>
      <c r="AZ361" s="77" t="str">
        <f>VLOOKUP(B361,Classification!A:D,2,0)</f>
        <v>A</v>
      </c>
      <c r="BA361" s="94" t="str">
        <f>VLOOKUP(B361,Classification!A:D,4,0)</f>
        <v>Chemokine</v>
      </c>
      <c r="BB361" s="27" t="b">
        <f t="shared" ref="BB361:BB369" si="2712">AND(E361&lt;G361,OR(G361&lt;I361,I361="-"),OR(I361&lt;K361,I361="-"),OR(K361&lt;M361,K361="-"),M361&lt;O361,OR(O361&lt;Q361,Q361="-"),OR(Q361&lt;S361,Q361="-"),OR(S361&lt;U361,S361="-"),U361&lt;W361,OR(W361&lt;Y361,Y361="-"),OR(Y361&lt;AA361,Y361="-"),OR(AA361&lt;AC361,AA361="-"),AC361&lt;AE361,OR(AE361&lt;AG361,AG361="-"),OR(AG361&lt;AI361,AG361="-"),OR(AI361&lt;AK361,AI361="-"),AK361&lt;AM361,AM361&lt;AO361,AO361&lt;AQ361,AQ361&lt;AS361,AS361&lt;AU361,OR(AU361&lt;AW361,AW361="-"),OR(AW361&lt;AY361,AW361="-"))</f>
        <v>1</v>
      </c>
      <c r="BC361" s="23">
        <f t="shared" ref="BC361:BC369" si="2713">_xlfn.AGGREGATE(9,6,CH361:CS361)-_xlfn.AGGREGATE(9,6,BV361:CG361)+12</f>
        <v>236</v>
      </c>
      <c r="BD361" s="4" t="s">
        <v>23</v>
      </c>
      <c r="BE361" s="3" t="s">
        <v>1291</v>
      </c>
      <c r="BF361" s="118">
        <v>3.8</v>
      </c>
      <c r="BG361" s="49" t="s">
        <v>1377</v>
      </c>
      <c r="BH361" s="49" t="s">
        <v>1377</v>
      </c>
      <c r="BI361" s="1"/>
      <c r="BJ361" s="70" t="s">
        <v>1287</v>
      </c>
      <c r="BK361" s="57" t="s">
        <v>1287</v>
      </c>
      <c r="BL361" s="57" t="s">
        <v>1287</v>
      </c>
      <c r="BM361" s="57" t="s">
        <v>1287</v>
      </c>
      <c r="BN361" s="57" t="s">
        <v>1287</v>
      </c>
      <c r="BO361" s="57" t="s">
        <v>1287</v>
      </c>
      <c r="BP361" s="57" t="s">
        <v>1287</v>
      </c>
      <c r="BQ361" s="57" t="s">
        <v>1287</v>
      </c>
      <c r="BR361" s="57" t="s">
        <v>1287</v>
      </c>
      <c r="BS361" s="57" t="s">
        <v>1287</v>
      </c>
      <c r="BT361" s="57" t="s">
        <v>1287</v>
      </c>
      <c r="BU361" s="57" t="s">
        <v>1287</v>
      </c>
      <c r="BV361" s="70">
        <f t="shared" ref="BV361:BV369" si="2714">E361</f>
        <v>25</v>
      </c>
      <c r="BW361" s="71" t="str">
        <f t="shared" ref="BW361:BW369" si="2715">I361</f>
        <v>-</v>
      </c>
      <c r="BX361" s="72">
        <f t="shared" ref="BX361:BX369" si="2716">M361</f>
        <v>66</v>
      </c>
      <c r="BY361" s="71" t="str">
        <f t="shared" ref="BY361:BY369" si="2717">Q361</f>
        <v>-</v>
      </c>
      <c r="BZ361" s="72">
        <f t="shared" ref="BZ361:BZ369" si="2718">U361</f>
        <v>103</v>
      </c>
      <c r="CA361" s="71" t="str">
        <f t="shared" ref="CA361:CA369" si="2719">Y361</f>
        <v>-</v>
      </c>
      <c r="CB361" s="72">
        <f t="shared" ref="CB361:CB369" si="2720">AC361</f>
        <v>140</v>
      </c>
      <c r="CC361" s="71">
        <f t="shared" ref="CC361:CC369" si="2721">AG361</f>
        <v>173</v>
      </c>
      <c r="CD361" s="72">
        <f t="shared" ref="CD361:CD369" si="2722">AK361</f>
        <v>183</v>
      </c>
      <c r="CE361" s="71">
        <f t="shared" ref="CE361:CE369" si="2723">AO361</f>
        <v>222</v>
      </c>
      <c r="CF361" s="72">
        <f t="shared" ref="CF361:CF369" si="2724">AS361</f>
        <v>263</v>
      </c>
      <c r="CG361" s="71" t="str">
        <f t="shared" ref="CG361:CG369" si="2725">AW361</f>
        <v>-</v>
      </c>
      <c r="CH361" s="70">
        <f t="shared" ref="CH361:CH369" si="2726">G361</f>
        <v>62</v>
      </c>
      <c r="CI361" s="71" t="str">
        <f t="shared" ref="CI361:CI369" si="2727">K361</f>
        <v>-</v>
      </c>
      <c r="CJ361" s="72">
        <f t="shared" ref="CJ361:CJ369" si="2728">O361</f>
        <v>95</v>
      </c>
      <c r="CK361" s="72" t="str">
        <f t="shared" ref="CK361:CK369" si="2729">S361</f>
        <v>-</v>
      </c>
      <c r="CL361" s="72">
        <f t="shared" ref="CL361:CL369" si="2730">W361</f>
        <v>134</v>
      </c>
      <c r="CM361" s="72" t="str">
        <f t="shared" ref="CM361:CM369" si="2731">AA361</f>
        <v>-</v>
      </c>
      <c r="CN361" s="72">
        <f t="shared" ref="CN361:CN369" si="2732">AE361</f>
        <v>164</v>
      </c>
      <c r="CO361" s="72">
        <f t="shared" ref="CO361:CO369" si="2733">AI361</f>
        <v>175</v>
      </c>
      <c r="CP361" s="72">
        <f t="shared" ref="CP361:CP369" si="2734">AM361</f>
        <v>218</v>
      </c>
      <c r="CQ361" s="72">
        <f t="shared" ref="CQ361:CQ369" si="2735">AQ361</f>
        <v>257</v>
      </c>
      <c r="CR361" s="72">
        <f t="shared" ref="CR361:CR369" si="2736">AU361</f>
        <v>294</v>
      </c>
      <c r="CS361" s="72" t="str">
        <f t="shared" ref="CS361:CS369" si="2737">AY361</f>
        <v>-</v>
      </c>
      <c r="CT361" s="23" t="e">
        <f t="shared" ref="CT361:CT369" si="2738">M361-K361</f>
        <v>#VALUE!</v>
      </c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"/>
      <c r="PA361" s="6"/>
      <c r="PB361" s="6"/>
      <c r="PC361" s="6"/>
      <c r="PD361" s="6"/>
      <c r="PE361" s="6"/>
      <c r="PF361" s="6"/>
      <c r="PG361" s="6"/>
      <c r="PH361" s="6"/>
      <c r="PI361" s="6"/>
      <c r="PJ361" s="6"/>
      <c r="PK361" s="6"/>
      <c r="PL361" s="6"/>
      <c r="PM361" s="6"/>
      <c r="PN361" s="6"/>
      <c r="PO361" s="6"/>
      <c r="PP361" s="6"/>
      <c r="PQ361" s="6"/>
      <c r="PR361" s="6"/>
      <c r="PS361" s="6"/>
      <c r="PT361" s="6"/>
      <c r="PU361" s="6"/>
      <c r="PV361" s="6"/>
      <c r="PW361" s="6"/>
      <c r="PX361" s="6"/>
      <c r="PY361" s="6"/>
      <c r="PZ361" s="6"/>
      <c r="QA361" s="6"/>
      <c r="QB361" s="6"/>
      <c r="QC361" s="6"/>
      <c r="QD361" s="6"/>
      <c r="QE361" s="6"/>
      <c r="QF361" s="6"/>
      <c r="QG361" s="6"/>
      <c r="QH361" s="6"/>
      <c r="QI361" s="6"/>
      <c r="QJ361" s="6"/>
      <c r="QK361" s="6"/>
      <c r="QL361" s="6"/>
      <c r="QM361" s="6"/>
      <c r="QN361" s="6"/>
      <c r="QO361" s="6"/>
      <c r="QP361" s="6"/>
      <c r="QQ361" s="6"/>
      <c r="QR361" s="6"/>
      <c r="QS361" s="6"/>
      <c r="QT361" s="6"/>
      <c r="QU361" s="6"/>
      <c r="QV361" s="6"/>
      <c r="QW361" s="6"/>
      <c r="QX361" s="6"/>
      <c r="QY361" s="6"/>
      <c r="QZ361" s="6"/>
      <c r="RA361" s="6"/>
      <c r="RB361" s="6"/>
      <c r="RC361" s="6"/>
      <c r="RD361" s="6"/>
      <c r="RE361" s="6"/>
      <c r="RF361" s="6"/>
      <c r="RG361" s="6"/>
      <c r="RH361" s="6"/>
      <c r="RI361" s="6"/>
      <c r="RJ361" s="6"/>
      <c r="RK361" s="6"/>
      <c r="RL361" s="6"/>
      <c r="RM361" s="6"/>
      <c r="RN361" s="6"/>
      <c r="RO361" s="6"/>
      <c r="RP361" s="6"/>
      <c r="RQ361" s="6"/>
      <c r="RR361" s="6"/>
      <c r="RS361" s="6"/>
      <c r="RT361" s="6"/>
      <c r="RU361" s="6"/>
      <c r="RV361" s="6"/>
      <c r="RW361" s="6"/>
      <c r="RX361" s="6"/>
      <c r="RY361" s="6"/>
      <c r="RZ361" s="6"/>
      <c r="SA361" s="6"/>
      <c r="SB361" s="6"/>
      <c r="SC361" s="6"/>
      <c r="SD361" s="6"/>
      <c r="SE361" s="6"/>
      <c r="SF361" s="6"/>
      <c r="SG361" s="6"/>
      <c r="SH361" s="6"/>
      <c r="SI361" s="6"/>
      <c r="SJ361" s="6"/>
      <c r="SK361" s="6"/>
      <c r="SL361" s="6"/>
      <c r="SM361" s="6"/>
      <c r="SN361" s="6"/>
      <c r="SO361" s="6"/>
      <c r="SP361" s="6"/>
      <c r="SQ361" s="6"/>
      <c r="SR361" s="6"/>
      <c r="SS361" s="6"/>
      <c r="ST361" s="6"/>
      <c r="SU361" s="6"/>
      <c r="SV361" s="6"/>
      <c r="SW361" s="6"/>
      <c r="SX361" s="6"/>
      <c r="SY361" s="6"/>
      <c r="SZ361" s="6"/>
      <c r="TA361" s="6"/>
      <c r="TB361" s="6"/>
      <c r="TC361" s="6"/>
      <c r="TD361" s="6"/>
      <c r="TE361" s="6"/>
      <c r="TF361" s="6"/>
      <c r="TG361" s="6"/>
      <c r="TH361" s="6"/>
      <c r="TI361" s="6"/>
      <c r="TJ361" s="6"/>
      <c r="TK361" s="6"/>
      <c r="TL361" s="6"/>
      <c r="TM361" s="6"/>
      <c r="TN361" s="6"/>
      <c r="TO361" s="6"/>
      <c r="TP361" s="6"/>
      <c r="TQ361" s="6"/>
      <c r="TR361" s="6"/>
      <c r="TS361" s="6"/>
      <c r="TT361" s="6"/>
      <c r="TU361" s="6"/>
      <c r="TV361" s="6"/>
      <c r="TW361" s="6"/>
      <c r="TX361" s="6"/>
      <c r="TY361" s="6"/>
      <c r="TZ361" s="6"/>
      <c r="UA361" s="6"/>
      <c r="UB361" s="6"/>
      <c r="UC361" s="6"/>
      <c r="UD361" s="6"/>
      <c r="UE361" s="6"/>
      <c r="UF361" s="6"/>
      <c r="UG361" s="6"/>
      <c r="UH361" s="6"/>
      <c r="UI361" s="6"/>
      <c r="UJ361" s="6"/>
      <c r="UK361" s="6"/>
      <c r="UL361" s="6"/>
      <c r="UM361" s="6"/>
      <c r="UN361" s="6"/>
      <c r="UO361" s="6"/>
      <c r="UP361" s="6"/>
      <c r="UQ361" s="6"/>
      <c r="UR361" s="6"/>
      <c r="US361" s="6"/>
      <c r="UT361" s="6"/>
      <c r="UU361" s="6"/>
      <c r="UV361" s="6"/>
      <c r="UW361" s="6"/>
      <c r="UX361" s="6"/>
      <c r="UY361" s="6"/>
      <c r="UZ361" s="6"/>
      <c r="VA361" s="6"/>
      <c r="VB361" s="6"/>
      <c r="VC361" s="6"/>
      <c r="VD361" s="6"/>
      <c r="VE361" s="6"/>
      <c r="VF361" s="6"/>
      <c r="VG361" s="6"/>
      <c r="VH361" s="6"/>
      <c r="VI361" s="6"/>
      <c r="VJ361" s="6"/>
      <c r="VK361" s="6"/>
      <c r="VL361" s="6"/>
      <c r="VM361" s="6"/>
      <c r="VN361" s="6"/>
      <c r="VO361" s="6"/>
      <c r="VP361" s="6"/>
      <c r="VQ361" s="6"/>
      <c r="VR361" s="6"/>
      <c r="VS361" s="6"/>
      <c r="VT361" s="6"/>
      <c r="VU361" s="6"/>
      <c r="VV361" s="6"/>
      <c r="VW361" s="6"/>
      <c r="VX361" s="6"/>
      <c r="VY361" s="6"/>
      <c r="VZ361" s="6"/>
      <c r="WA361" s="6"/>
      <c r="WB361" s="6"/>
      <c r="WC361" s="6"/>
      <c r="WD361" s="6"/>
      <c r="WE361" s="6"/>
      <c r="WF361" s="6"/>
      <c r="WG361" s="6"/>
      <c r="WH361" s="6"/>
      <c r="WI361" s="6"/>
      <c r="WJ361" s="6"/>
      <c r="WK361" s="6"/>
      <c r="WL361" s="6"/>
      <c r="WM361" s="6"/>
      <c r="WN361" s="6"/>
      <c r="WO361" s="6"/>
      <c r="WP361" s="6"/>
      <c r="WQ361" s="6"/>
      <c r="WR361" s="6"/>
      <c r="WS361" s="6"/>
      <c r="WT361" s="6"/>
      <c r="WU361" s="6"/>
      <c r="WV361" s="6"/>
      <c r="WW361" s="6"/>
      <c r="WX361" s="6"/>
      <c r="WY361" s="6"/>
      <c r="WZ361" s="6"/>
      <c r="XA361" s="6"/>
      <c r="XB361" s="6"/>
      <c r="XC361" s="6"/>
      <c r="XD361" s="6"/>
      <c r="XE361" s="6"/>
      <c r="XF361" s="6"/>
      <c r="XG361" s="6"/>
      <c r="XH361" s="6"/>
      <c r="XI361" s="6"/>
      <c r="XJ361" s="6"/>
      <c r="XK361" s="6"/>
      <c r="XL361" s="6"/>
      <c r="XM361" s="6"/>
      <c r="XN361" s="6"/>
      <c r="XO361" s="6"/>
      <c r="XP361" s="6"/>
      <c r="XQ361" s="6"/>
      <c r="XR361" s="6"/>
      <c r="XS361" s="6"/>
      <c r="XT361" s="6"/>
      <c r="XU361" s="6"/>
      <c r="XV361" s="6"/>
      <c r="XW361" s="6"/>
      <c r="XX361" s="6"/>
      <c r="XY361" s="6"/>
      <c r="XZ361" s="6"/>
      <c r="YA361" s="6"/>
      <c r="YB361" s="6"/>
      <c r="YC361" s="6"/>
      <c r="YD361" s="6"/>
      <c r="YE361" s="6"/>
      <c r="YF361" s="6"/>
      <c r="YG361" s="6"/>
      <c r="YH361" s="6"/>
      <c r="YI361" s="6"/>
      <c r="YJ361" s="6"/>
      <c r="YK361" s="6"/>
      <c r="YL361" s="6"/>
      <c r="YM361" s="6"/>
      <c r="YN361" s="6"/>
      <c r="YO361" s="6"/>
      <c r="YP361" s="6"/>
      <c r="YQ361" s="6"/>
      <c r="YR361" s="6"/>
      <c r="YS361" s="6"/>
      <c r="YT361" s="6"/>
      <c r="YU361" s="6"/>
      <c r="YV361" s="6"/>
      <c r="YW361" s="6"/>
      <c r="YX361" s="6"/>
      <c r="YY361" s="6"/>
      <c r="YZ361" s="6"/>
      <c r="ZA361" s="6"/>
      <c r="ZB361" s="6"/>
      <c r="ZC361" s="6"/>
      <c r="ZD361" s="6"/>
      <c r="ZE361" s="6"/>
      <c r="ZF361" s="6"/>
      <c r="ZG361" s="6"/>
      <c r="ZH361" s="6"/>
      <c r="ZI361" s="6"/>
      <c r="ZJ361" s="6"/>
      <c r="ZK361" s="6"/>
      <c r="ZL361" s="6"/>
      <c r="ZM361" s="6"/>
      <c r="ZN361" s="6"/>
      <c r="ZO361" s="6"/>
      <c r="ZP361" s="6"/>
      <c r="ZQ361" s="6"/>
      <c r="ZR361" s="6"/>
      <c r="ZS361" s="6"/>
      <c r="ZT361" s="6"/>
      <c r="ZU361" s="6"/>
      <c r="ZV361" s="6"/>
      <c r="ZW361" s="6"/>
      <c r="ZX361" s="6"/>
      <c r="ZY361" s="6"/>
      <c r="ZZ361" s="6"/>
      <c r="AAA361" s="6"/>
      <c r="AAB361" s="6"/>
      <c r="AAC361" s="6"/>
      <c r="AAD361" s="6"/>
      <c r="AAE361" s="6"/>
      <c r="AAF361" s="6"/>
      <c r="AAG361" s="6"/>
      <c r="AAH361" s="6"/>
      <c r="AAI361" s="6"/>
      <c r="AAJ361" s="6"/>
      <c r="AAK361" s="6"/>
      <c r="AAL361" s="6"/>
      <c r="AAM361" s="6"/>
      <c r="AAN361" s="6"/>
      <c r="AAO361" s="6"/>
      <c r="AAP361" s="6"/>
      <c r="AAQ361" s="6"/>
      <c r="AAR361" s="6"/>
      <c r="AAS361" s="6"/>
      <c r="AAT361" s="6"/>
      <c r="AAU361" s="6"/>
      <c r="AAV361" s="6"/>
      <c r="AAW361" s="6"/>
      <c r="AAX361" s="6"/>
      <c r="AAY361" s="6"/>
      <c r="AAZ361" s="6"/>
      <c r="ABA361" s="6"/>
      <c r="ABB361" s="6"/>
      <c r="ABC361" s="6"/>
      <c r="ABD361" s="6"/>
      <c r="ABE361" s="6"/>
      <c r="ABF361" s="6"/>
      <c r="ABG361" s="6"/>
      <c r="ABH361" s="6"/>
      <c r="ABI361" s="6"/>
      <c r="ABJ361" s="6"/>
      <c r="ABK361" s="6"/>
      <c r="ABL361" s="6"/>
      <c r="ABM361" s="6"/>
      <c r="ABN361" s="6"/>
      <c r="ABO361" s="6"/>
      <c r="ABP361" s="6"/>
      <c r="ABQ361" s="6"/>
      <c r="ABR361" s="6"/>
      <c r="ABS361" s="6"/>
      <c r="ABT361" s="6"/>
      <c r="ABU361" s="6"/>
      <c r="ABV361" s="6"/>
      <c r="ABW361" s="6"/>
      <c r="ABX361" s="6"/>
      <c r="ABY361" s="6"/>
      <c r="ABZ361" s="6"/>
      <c r="ACA361" s="6"/>
      <c r="ACB361" s="6"/>
      <c r="ACC361" s="6"/>
      <c r="ACD361" s="6"/>
      <c r="ACE361" s="6"/>
      <c r="ACF361" s="6"/>
      <c r="ACG361" s="6"/>
      <c r="ACH361" s="6"/>
      <c r="ACI361" s="6"/>
      <c r="ACJ361" s="6"/>
      <c r="ACK361" s="6"/>
      <c r="ACL361" s="6"/>
      <c r="ACM361" s="6"/>
      <c r="ACN361" s="6"/>
      <c r="ACO361" s="6"/>
      <c r="ACP361" s="6"/>
      <c r="ACQ361" s="6"/>
      <c r="ACR361" s="6"/>
      <c r="ACS361" s="6"/>
      <c r="ACT361" s="6"/>
      <c r="ACU361" s="6"/>
      <c r="ACV361" s="6"/>
      <c r="ACW361" s="6"/>
      <c r="ACX361" s="6"/>
      <c r="ACY361" s="6"/>
      <c r="ACZ361" s="6"/>
      <c r="ADA361" s="6"/>
      <c r="ADB361" s="6"/>
      <c r="ADC361" s="6"/>
      <c r="ADD361" s="6"/>
      <c r="ADE361" s="6"/>
      <c r="ADF361" s="6"/>
      <c r="ADG361" s="6"/>
      <c r="ADH361" s="6"/>
      <c r="ADI361" s="6"/>
      <c r="ADJ361" s="6"/>
      <c r="ADK361" s="6"/>
      <c r="ADL361" s="6"/>
      <c r="ADM361" s="6"/>
      <c r="ADN361" s="6"/>
      <c r="ADO361" s="6"/>
      <c r="ADP361" s="6"/>
      <c r="ADQ361" s="6"/>
      <c r="ADR361" s="6"/>
      <c r="ADS361" s="6"/>
      <c r="ADT361" s="6"/>
      <c r="ADU361" s="6"/>
      <c r="ADV361" s="6"/>
      <c r="ADW361" s="6"/>
      <c r="ADX361" s="6"/>
      <c r="ADY361" s="6"/>
      <c r="ADZ361" s="6"/>
      <c r="AEA361" s="6"/>
      <c r="AEB361" s="6"/>
      <c r="AEC361" s="6"/>
      <c r="AED361" s="6"/>
      <c r="AEE361" s="6"/>
      <c r="AEF361" s="6"/>
      <c r="AEG361" s="6"/>
      <c r="AEH361" s="6"/>
      <c r="AEI361" s="6"/>
      <c r="AEJ361" s="6"/>
      <c r="AEK361" s="6"/>
      <c r="AEL361" s="6"/>
      <c r="AEM361" s="6"/>
      <c r="AEN361" s="6"/>
      <c r="AEO361" s="6"/>
      <c r="AEP361" s="6"/>
      <c r="AEQ361" s="6"/>
      <c r="AER361" s="6"/>
      <c r="AES361" s="6"/>
      <c r="AET361" s="6"/>
      <c r="AEU361" s="6"/>
      <c r="AEV361" s="6"/>
      <c r="AEW361" s="6"/>
      <c r="AEX361" s="6"/>
      <c r="AEY361" s="6"/>
      <c r="AEZ361" s="6"/>
      <c r="AFA361" s="6"/>
      <c r="AFB361" s="6"/>
      <c r="AFC361" s="6"/>
      <c r="AFD361" s="6"/>
      <c r="AFE361" s="6"/>
      <c r="AFF361" s="6"/>
      <c r="AFG361" s="6"/>
      <c r="AFH361" s="6"/>
      <c r="AFI361" s="6"/>
      <c r="AFJ361" s="6"/>
      <c r="AFK361" s="6"/>
      <c r="AFL361" s="6"/>
      <c r="AFM361" s="6"/>
      <c r="AFN361" s="6"/>
      <c r="AFO361" s="6"/>
      <c r="AFP361" s="6"/>
      <c r="AFQ361" s="6"/>
      <c r="AFR361" s="6"/>
      <c r="AFS361" s="6"/>
      <c r="AFT361" s="6"/>
      <c r="AFU361" s="6"/>
      <c r="AFV361" s="6"/>
      <c r="AFW361" s="6"/>
      <c r="AFX361" s="6"/>
      <c r="AFY361" s="6"/>
      <c r="AFZ361" s="6"/>
      <c r="AGA361" s="6"/>
      <c r="AGB361" s="6"/>
      <c r="AGC361" s="6"/>
      <c r="AGD361" s="6"/>
      <c r="AGE361" s="6"/>
      <c r="AGF361" s="6"/>
      <c r="AGG361" s="6"/>
      <c r="AGH361" s="6"/>
      <c r="AGI361" s="6"/>
      <c r="AGJ361" s="6"/>
      <c r="AGK361" s="6"/>
      <c r="AGL361" s="6"/>
      <c r="AGM361" s="6"/>
      <c r="AGN361" s="6"/>
      <c r="AGO361" s="6"/>
      <c r="AGP361" s="6"/>
      <c r="AGQ361" s="6"/>
      <c r="AGR361" s="6"/>
      <c r="AGS361" s="6"/>
      <c r="AGT361" s="6"/>
      <c r="AGU361" s="6"/>
      <c r="AGV361" s="6"/>
      <c r="AGW361" s="6"/>
      <c r="AGX361" s="6"/>
      <c r="AGY361" s="6"/>
      <c r="AGZ361" s="6"/>
      <c r="AHA361" s="6"/>
      <c r="AHB361" s="6"/>
      <c r="AHC361" s="6"/>
      <c r="AHD361" s="6"/>
      <c r="AHE361" s="6"/>
      <c r="AHF361" s="6"/>
      <c r="AHG361" s="6"/>
      <c r="AHH361" s="6"/>
      <c r="AHI361" s="6"/>
      <c r="AHJ361" s="6"/>
      <c r="AHK361" s="6"/>
      <c r="AHL361" s="6"/>
      <c r="AHM361" s="6"/>
      <c r="AHN361" s="6"/>
      <c r="AHO361" s="6"/>
      <c r="AHP361" s="6"/>
      <c r="AHQ361" s="6"/>
      <c r="AHR361" s="6"/>
      <c r="AHS361" s="6"/>
      <c r="AHT361" s="6"/>
      <c r="AHU361" s="6"/>
      <c r="AHV361" s="6"/>
      <c r="AHW361" s="6"/>
      <c r="AHX361" s="6"/>
      <c r="AHY361" s="6"/>
      <c r="AHZ361" s="6"/>
      <c r="AIA361" s="6"/>
      <c r="AIB361" s="6"/>
      <c r="AIC361" s="6"/>
      <c r="AID361" s="6"/>
      <c r="AIE361" s="6"/>
      <c r="AIF361" s="6"/>
      <c r="AIG361" s="6"/>
      <c r="AIH361" s="6"/>
      <c r="AII361" s="6"/>
      <c r="AIJ361" s="6"/>
      <c r="AIK361" s="6"/>
      <c r="AIL361" s="6"/>
      <c r="AIM361" s="6"/>
      <c r="AIN361" s="6"/>
      <c r="AIO361" s="6"/>
      <c r="AIP361" s="6"/>
      <c r="AIQ361" s="6"/>
      <c r="AIR361" s="6"/>
      <c r="AIS361" s="6"/>
      <c r="AIT361" s="6"/>
      <c r="AIU361" s="6"/>
      <c r="AIV361" s="6"/>
      <c r="AIW361" s="6"/>
      <c r="AIX361" s="6"/>
      <c r="AIY361" s="6"/>
      <c r="AIZ361" s="6"/>
      <c r="AJA361" s="6"/>
      <c r="AJB361" s="6"/>
      <c r="AJC361" s="6"/>
      <c r="AJD361" s="6"/>
      <c r="AJE361" s="6"/>
      <c r="AJF361" s="6"/>
      <c r="AJG361" s="6"/>
      <c r="AJH361" s="6"/>
      <c r="AJI361" s="6"/>
      <c r="AJJ361" s="6"/>
      <c r="AJK361" s="6"/>
      <c r="AJL361" s="6"/>
      <c r="AJM361" s="6"/>
      <c r="AJN361" s="6"/>
      <c r="AJO361" s="6"/>
      <c r="AJP361" s="6"/>
      <c r="AJQ361" s="6"/>
      <c r="AJR361" s="6"/>
      <c r="AJS361" s="6"/>
      <c r="AJT361" s="6"/>
      <c r="AJU361" s="6"/>
      <c r="AJV361" s="6"/>
      <c r="AJW361" s="6"/>
      <c r="AJX361" s="6"/>
      <c r="AJY361" s="6"/>
      <c r="AJZ361" s="6"/>
      <c r="AKA361" s="6"/>
      <c r="AKB361" s="6"/>
      <c r="AKC361" s="6"/>
      <c r="AKD361" s="6"/>
      <c r="AKE361" s="6"/>
      <c r="AKF361" s="6"/>
      <c r="AKG361" s="6"/>
      <c r="AKH361" s="6"/>
      <c r="AKI361" s="6"/>
      <c r="AKJ361" s="6"/>
      <c r="AKK361" s="6"/>
      <c r="AKL361" s="6"/>
      <c r="AKM361" s="6"/>
      <c r="AKN361" s="6"/>
      <c r="AKO361" s="6"/>
      <c r="AKP361" s="6"/>
      <c r="AKQ361" s="6"/>
      <c r="AKR361" s="6"/>
      <c r="AKS361" s="6"/>
      <c r="AKT361" s="6"/>
      <c r="AKU361" s="6"/>
      <c r="AKV361" s="6"/>
      <c r="AKW361" s="6"/>
      <c r="AKX361" s="6"/>
      <c r="AKY361" s="6"/>
      <c r="AKZ361" s="6"/>
      <c r="ALA361" s="6"/>
      <c r="ALB361" s="6"/>
      <c r="ALC361" s="6"/>
      <c r="ALD361" s="6"/>
      <c r="ALE361" s="6"/>
      <c r="ALF361" s="6"/>
      <c r="ALG361" s="6"/>
      <c r="ALH361" s="6"/>
      <c r="ALI361" s="6"/>
      <c r="ALJ361" s="6"/>
      <c r="ALK361" s="6"/>
      <c r="ALL361" s="6"/>
      <c r="ALM361" s="6"/>
      <c r="ALN361" s="6"/>
      <c r="ALO361" s="6"/>
      <c r="ALP361" s="6"/>
      <c r="ALQ361" s="6"/>
      <c r="ALR361" s="6"/>
      <c r="ALS361" s="6"/>
      <c r="ALT361" s="6"/>
      <c r="ALU361" s="6"/>
      <c r="ALV361" s="6"/>
      <c r="ALW361" s="6"/>
      <c r="ALX361" s="6"/>
      <c r="ALY361" s="6"/>
      <c r="ALZ361" s="6"/>
      <c r="AMA361" s="6"/>
      <c r="AMB361" s="6"/>
      <c r="AMC361" s="6"/>
      <c r="AMD361" s="6"/>
      <c r="AME361" s="6"/>
      <c r="AMF361" s="6"/>
      <c r="AMG361" s="6"/>
      <c r="AMH361" s="6"/>
      <c r="AMI361" s="6"/>
      <c r="AMJ361" s="6"/>
      <c r="AMK361" s="6"/>
      <c r="AML361" s="6"/>
      <c r="AMM361" s="6"/>
      <c r="AMN361" s="6"/>
      <c r="AMO361" s="6"/>
      <c r="AMP361" s="6"/>
    </row>
    <row r="362" spans="1:1030" x14ac:dyDescent="0.2">
      <c r="A362" s="9" t="str">
        <f t="shared" ref="A362:A372" si="2739">CONCATENATE(B362,"_",C362)</f>
        <v>q80km9_hcmv__wt</v>
      </c>
      <c r="B362" s="40" t="s">
        <v>1507</v>
      </c>
      <c r="C362" s="9" t="s">
        <v>100</v>
      </c>
      <c r="D362" s="9" t="str">
        <f>IFERROR(MID(VLOOKUP($B362,Seqs!$A:$B,2,0),E362,1),"")</f>
        <v>F</v>
      </c>
      <c r="E362" s="9">
        <v>25</v>
      </c>
      <c r="F362" s="9" t="str">
        <f>IFERROR(MID(VLOOKUP($B362,Seqs!$A:$B,2,0),G362,1),"")</f>
        <v>R</v>
      </c>
      <c r="G362" s="9">
        <v>61</v>
      </c>
      <c r="H362" s="9" t="str">
        <f>IFERROR(MID(VLOOKUP($B362,Seqs!$A:$B,2,0),I362,1),"")</f>
        <v>R</v>
      </c>
      <c r="I362" s="109">
        <v>62</v>
      </c>
      <c r="J362" s="9" t="str">
        <f>IFERROR(MID(VLOOKUP($B362,Seqs!$A:$B,2,0),K362,1),"")</f>
        <v>Q</v>
      </c>
      <c r="K362" s="109">
        <v>65</v>
      </c>
      <c r="L362" s="9" t="str">
        <f>IFERROR(MID(VLOOKUP($B362,Seqs!$A:$B,2,0),M362,1),"")</f>
        <v>C</v>
      </c>
      <c r="M362" s="9">
        <v>66</v>
      </c>
      <c r="N362" s="9" t="str">
        <f>IFERROR(MID(VLOOKUP($B362,Seqs!$A:$B,2,0),O362,1),"")</f>
        <v>D</v>
      </c>
      <c r="O362" s="9">
        <v>95</v>
      </c>
      <c r="P362" s="9" t="str">
        <f>IFERROR(MID(VLOOKUP($B362,Seqs!$A:$B,2,0),Q362,1),"")</f>
        <v/>
      </c>
      <c r="Q362" s="9" t="s">
        <v>23</v>
      </c>
      <c r="R362" s="9" t="str">
        <f>IFERROR(MID(VLOOKUP($B362,Seqs!$A:$B,2,0),S362,1),"")</f>
        <v/>
      </c>
      <c r="S362" s="9" t="s">
        <v>23</v>
      </c>
      <c r="T362" s="9" t="str">
        <f>IFERROR(MID(VLOOKUP($B362,Seqs!$A:$B,2,0),U362,1),"")</f>
        <v>A</v>
      </c>
      <c r="U362" s="9">
        <v>100</v>
      </c>
      <c r="V362" s="9" t="str">
        <f>IFERROR(MID(VLOOKUP($B362,Seqs!$A:$B,2,0),W362,1),"")</f>
        <v>V</v>
      </c>
      <c r="W362" s="9">
        <v>134</v>
      </c>
      <c r="X362" s="9" t="str">
        <f>IFERROR(MID(VLOOKUP($B362,Seqs!$A:$B,2,0),Y362,1),"")</f>
        <v/>
      </c>
      <c r="Y362" s="9" t="s">
        <v>23</v>
      </c>
      <c r="Z362" s="9" t="str">
        <f>IFERROR(MID(VLOOKUP($B362,Seqs!$A:$B,2,0),AA362,1),"")</f>
        <v/>
      </c>
      <c r="AA362" s="9" t="s">
        <v>23</v>
      </c>
      <c r="AB362" s="9" t="str">
        <f>IFERROR(MID(VLOOKUP($B362,Seqs!$A:$B,2,0),AC362,1),"")</f>
        <v>P</v>
      </c>
      <c r="AC362" s="9">
        <v>140</v>
      </c>
      <c r="AD362" s="9" t="str">
        <f>IFERROR(MID(VLOOKUP($B362,Seqs!$A:$B,2,0),AE362,1),"")</f>
        <v>M</v>
      </c>
      <c r="AE362" s="9">
        <v>164</v>
      </c>
      <c r="AF362" s="9" t="str">
        <f>IFERROR(MID(VLOOKUP($B362,Seqs!$A:$B,2,0),AG362,1),"")</f>
        <v>C</v>
      </c>
      <c r="AG362" s="9">
        <v>173</v>
      </c>
      <c r="AH362" s="9" t="str">
        <f>IFERROR(MID(VLOOKUP($B362,Seqs!$A:$B,2,0),AI362,1),"")</f>
        <v>T</v>
      </c>
      <c r="AI362" s="9">
        <v>175</v>
      </c>
      <c r="AJ362" s="9" t="str">
        <f>IFERROR(MID(VLOOKUP($B362,Seqs!$A:$B,2,0),AK362,1),"")</f>
        <v>S</v>
      </c>
      <c r="AK362" s="9">
        <v>183</v>
      </c>
      <c r="AL362" s="9" t="str">
        <f>IFERROR(MID(VLOOKUP($B362,Seqs!$A:$B,2,0),AM362,1),"")</f>
        <v>S</v>
      </c>
      <c r="AM362" s="9">
        <v>218</v>
      </c>
      <c r="AN362" s="9" t="str">
        <f>IFERROR(MID(VLOOKUP($B362,Seqs!$A:$B,2,0),AO362,1),"")</f>
        <v>H</v>
      </c>
      <c r="AO362" s="9">
        <v>222</v>
      </c>
      <c r="AP362" s="9" t="str">
        <f>IFERROR(MID(VLOOKUP($B362,Seqs!$A:$B,2,0),AQ362,1),"")</f>
        <v>K</v>
      </c>
      <c r="AQ362" s="9">
        <v>257</v>
      </c>
      <c r="AR362" s="9" t="str">
        <f>IFERROR(MID(VLOOKUP($B362,Seqs!$A:$B,2,0),AS362,1),"")</f>
        <v>S</v>
      </c>
      <c r="AS362" s="9">
        <v>262</v>
      </c>
      <c r="AT362" s="9" t="str">
        <f>IFERROR(MID(VLOOKUP($B362,Seqs!$A:$B,2,0),AU362,1),"")</f>
        <v>V</v>
      </c>
      <c r="AU362" s="9">
        <v>294</v>
      </c>
      <c r="AV362" s="9" t="str">
        <f>IFERROR(MID(VLOOKUP($B362,Seqs!$A:$B,2,0),AW362,1),"")</f>
        <v>G</v>
      </c>
      <c r="AW362" s="9">
        <v>295</v>
      </c>
      <c r="AX362" s="9" t="str">
        <f>IFERROR(MID(VLOOKUP($B362,Seqs!$A:$B,2,0),AY362,1),"")</f>
        <v>R</v>
      </c>
      <c r="AY362" s="9">
        <v>310</v>
      </c>
      <c r="AZ362" s="110" t="str">
        <f>VLOOKUP(B362,Classification!A:D,2,0)</f>
        <v>A</v>
      </c>
      <c r="BA362" s="98" t="str">
        <f>VLOOKUP(B362,Classification!A:D,4,0)</f>
        <v>Chemokine</v>
      </c>
      <c r="BB362" s="36" t="b">
        <f t="shared" si="2712"/>
        <v>1</v>
      </c>
      <c r="BC362" s="109">
        <f t="shared" si="2713"/>
        <v>257</v>
      </c>
      <c r="BD362" s="11" t="s">
        <v>23</v>
      </c>
      <c r="BE362" s="9" t="s">
        <v>23</v>
      </c>
      <c r="BF362" s="119" t="s">
        <v>23</v>
      </c>
      <c r="BG362" s="51" t="s">
        <v>1377</v>
      </c>
      <c r="BH362" s="51" t="s">
        <v>1377</v>
      </c>
      <c r="BI362" s="12"/>
      <c r="BJ362" s="111" t="s">
        <v>1287</v>
      </c>
      <c r="BK362" s="112" t="s">
        <v>1287</v>
      </c>
      <c r="BL362" s="112" t="s">
        <v>1287</v>
      </c>
      <c r="BM362" s="112" t="s">
        <v>1287</v>
      </c>
      <c r="BN362" s="112" t="s">
        <v>1287</v>
      </c>
      <c r="BO362" s="112" t="s">
        <v>1287</v>
      </c>
      <c r="BP362" s="112" t="s">
        <v>1287</v>
      </c>
      <c r="BQ362" s="112" t="s">
        <v>1287</v>
      </c>
      <c r="BR362" s="112" t="s">
        <v>1287</v>
      </c>
      <c r="BS362" s="112" t="s">
        <v>1287</v>
      </c>
      <c r="BT362" s="112" t="s">
        <v>1287</v>
      </c>
      <c r="BU362" s="112" t="s">
        <v>1287</v>
      </c>
      <c r="BV362" s="111">
        <f t="shared" si="2714"/>
        <v>25</v>
      </c>
      <c r="BW362" s="113">
        <f t="shared" si="2715"/>
        <v>62</v>
      </c>
      <c r="BX362" s="114">
        <f t="shared" si="2716"/>
        <v>66</v>
      </c>
      <c r="BY362" s="113" t="str">
        <f t="shared" si="2717"/>
        <v>-</v>
      </c>
      <c r="BZ362" s="114">
        <f t="shared" si="2718"/>
        <v>100</v>
      </c>
      <c r="CA362" s="113" t="str">
        <f t="shared" si="2719"/>
        <v>-</v>
      </c>
      <c r="CB362" s="114">
        <f t="shared" si="2720"/>
        <v>140</v>
      </c>
      <c r="CC362" s="113">
        <f t="shared" si="2721"/>
        <v>173</v>
      </c>
      <c r="CD362" s="114">
        <f t="shared" si="2722"/>
        <v>183</v>
      </c>
      <c r="CE362" s="113">
        <f t="shared" si="2723"/>
        <v>222</v>
      </c>
      <c r="CF362" s="114">
        <f t="shared" si="2724"/>
        <v>262</v>
      </c>
      <c r="CG362" s="113">
        <f t="shared" si="2725"/>
        <v>295</v>
      </c>
      <c r="CH362" s="111">
        <f t="shared" si="2726"/>
        <v>61</v>
      </c>
      <c r="CI362" s="113">
        <f t="shared" si="2727"/>
        <v>65</v>
      </c>
      <c r="CJ362" s="114">
        <f t="shared" si="2728"/>
        <v>95</v>
      </c>
      <c r="CK362" s="114" t="str">
        <f t="shared" si="2729"/>
        <v>-</v>
      </c>
      <c r="CL362" s="114">
        <f t="shared" si="2730"/>
        <v>134</v>
      </c>
      <c r="CM362" s="114" t="str">
        <f t="shared" si="2731"/>
        <v>-</v>
      </c>
      <c r="CN362" s="114">
        <f t="shared" si="2732"/>
        <v>164</v>
      </c>
      <c r="CO362" s="114">
        <f t="shared" si="2733"/>
        <v>175</v>
      </c>
      <c r="CP362" s="114">
        <f t="shared" si="2734"/>
        <v>218</v>
      </c>
      <c r="CQ362" s="114">
        <f t="shared" si="2735"/>
        <v>257</v>
      </c>
      <c r="CR362" s="114">
        <f t="shared" si="2736"/>
        <v>294</v>
      </c>
      <c r="CS362" s="114">
        <f t="shared" si="2737"/>
        <v>310</v>
      </c>
      <c r="CT362" s="109">
        <f t="shared" si="2738"/>
        <v>1</v>
      </c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r="TM362" s="6"/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6"/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  <c r="WY362" s="6"/>
      <c r="WZ362" s="6"/>
      <c r="XA362" s="6"/>
      <c r="XB362" s="6"/>
      <c r="XC362" s="6"/>
      <c r="XD362" s="6"/>
      <c r="XE362" s="6"/>
      <c r="XF362" s="6"/>
      <c r="XG362" s="6"/>
      <c r="XH362" s="6"/>
      <c r="XI362" s="6"/>
      <c r="XJ362" s="6"/>
      <c r="XK362" s="6"/>
      <c r="XL362" s="6"/>
      <c r="XM362" s="6"/>
      <c r="XN362" s="6"/>
      <c r="XO362" s="6"/>
      <c r="XP362" s="6"/>
      <c r="XQ362" s="6"/>
      <c r="XR362" s="6"/>
      <c r="XS362" s="6"/>
      <c r="XT362" s="6"/>
      <c r="XU362" s="6"/>
      <c r="XV362" s="6"/>
      <c r="XW362" s="6"/>
      <c r="XX362" s="6"/>
      <c r="XY362" s="6"/>
      <c r="XZ362" s="6"/>
      <c r="YA362" s="6"/>
      <c r="YB362" s="6"/>
      <c r="YC362" s="6"/>
      <c r="YD362" s="6"/>
      <c r="YE362" s="6"/>
      <c r="YF362" s="6"/>
      <c r="YG362" s="6"/>
      <c r="YH362" s="6"/>
      <c r="YI362" s="6"/>
      <c r="YJ362" s="6"/>
      <c r="YK362" s="6"/>
      <c r="YL362" s="6"/>
      <c r="YM362" s="6"/>
      <c r="YN362" s="6"/>
      <c r="YO362" s="6"/>
      <c r="YP362" s="6"/>
      <c r="YQ362" s="6"/>
      <c r="YR362" s="6"/>
      <c r="YS362" s="6"/>
      <c r="YT362" s="6"/>
      <c r="YU362" s="6"/>
      <c r="YV362" s="6"/>
      <c r="YW362" s="6"/>
      <c r="YX362" s="6"/>
      <c r="YY362" s="6"/>
      <c r="YZ362" s="6"/>
      <c r="ZA362" s="6"/>
      <c r="ZB362" s="6"/>
      <c r="ZC362" s="6"/>
      <c r="ZD362" s="6"/>
      <c r="ZE362" s="6"/>
      <c r="ZF362" s="6"/>
      <c r="ZG362" s="6"/>
      <c r="ZH362" s="6"/>
      <c r="ZI362" s="6"/>
      <c r="ZJ362" s="6"/>
      <c r="ZK362" s="6"/>
      <c r="ZL362" s="6"/>
      <c r="ZM362" s="6"/>
      <c r="ZN362" s="6"/>
      <c r="ZO362" s="6"/>
      <c r="ZP362" s="6"/>
      <c r="ZQ362" s="6"/>
      <c r="ZR362" s="6"/>
      <c r="ZS362" s="6"/>
      <c r="ZT362" s="6"/>
      <c r="ZU362" s="6"/>
      <c r="ZV362" s="6"/>
      <c r="ZW362" s="6"/>
      <c r="ZX362" s="6"/>
      <c r="ZY362" s="6"/>
      <c r="ZZ362" s="6"/>
      <c r="AAA362" s="6"/>
      <c r="AAB362" s="6"/>
      <c r="AAC362" s="6"/>
      <c r="AAD362" s="6"/>
      <c r="AAE362" s="6"/>
      <c r="AAF362" s="6"/>
      <c r="AAG362" s="6"/>
      <c r="AAH362" s="6"/>
      <c r="AAI362" s="6"/>
      <c r="AAJ362" s="6"/>
      <c r="AAK362" s="6"/>
      <c r="AAL362" s="6"/>
      <c r="AAM362" s="6"/>
      <c r="AAN362" s="6"/>
      <c r="AAO362" s="6"/>
      <c r="AAP362" s="6"/>
      <c r="AAQ362" s="6"/>
      <c r="AAR362" s="6"/>
      <c r="AAS362" s="6"/>
      <c r="AAT362" s="6"/>
      <c r="AAU362" s="6"/>
      <c r="AAV362" s="6"/>
      <c r="AAW362" s="6"/>
      <c r="AAX362" s="6"/>
      <c r="AAY362" s="6"/>
      <c r="AAZ362" s="6"/>
      <c r="ABA362" s="6"/>
      <c r="ABB362" s="6"/>
      <c r="ABC362" s="6"/>
      <c r="ABD362" s="6"/>
      <c r="ABE362" s="6"/>
      <c r="ABF362" s="6"/>
      <c r="ABG362" s="6"/>
      <c r="ABH362" s="6"/>
      <c r="ABI362" s="6"/>
      <c r="ABJ362" s="6"/>
      <c r="ABK362" s="6"/>
      <c r="ABL362" s="6"/>
      <c r="ABM362" s="6"/>
      <c r="ABN362" s="6"/>
      <c r="ABO362" s="6"/>
      <c r="ABP362" s="6"/>
      <c r="ABQ362" s="6"/>
      <c r="ABR362" s="6"/>
      <c r="ABS362" s="6"/>
      <c r="ABT362" s="6"/>
      <c r="ABU362" s="6"/>
      <c r="ABV362" s="6"/>
      <c r="ABW362" s="6"/>
      <c r="ABX362" s="6"/>
      <c r="ABY362" s="6"/>
      <c r="ABZ362" s="6"/>
      <c r="ACA362" s="6"/>
      <c r="ACB362" s="6"/>
      <c r="ACC362" s="6"/>
      <c r="ACD362" s="6"/>
      <c r="ACE362" s="6"/>
      <c r="ACF362" s="6"/>
      <c r="ACG362" s="6"/>
      <c r="ACH362" s="6"/>
      <c r="ACI362" s="6"/>
      <c r="ACJ362" s="6"/>
      <c r="ACK362" s="6"/>
      <c r="ACL362" s="6"/>
      <c r="ACM362" s="6"/>
      <c r="ACN362" s="6"/>
      <c r="ACO362" s="6"/>
      <c r="ACP362" s="6"/>
      <c r="ACQ362" s="6"/>
      <c r="ACR362" s="6"/>
      <c r="ACS362" s="6"/>
      <c r="ACT362" s="6"/>
      <c r="ACU362" s="6"/>
      <c r="ACV362" s="6"/>
      <c r="ACW362" s="6"/>
      <c r="ACX362" s="6"/>
      <c r="ACY362" s="6"/>
      <c r="ACZ362" s="6"/>
      <c r="ADA362" s="6"/>
      <c r="ADB362" s="6"/>
      <c r="ADC362" s="6"/>
      <c r="ADD362" s="6"/>
      <c r="ADE362" s="6"/>
      <c r="ADF362" s="6"/>
      <c r="ADG362" s="6"/>
      <c r="ADH362" s="6"/>
      <c r="ADI362" s="6"/>
      <c r="ADJ362" s="6"/>
      <c r="ADK362" s="6"/>
      <c r="ADL362" s="6"/>
      <c r="ADM362" s="6"/>
      <c r="ADN362" s="6"/>
      <c r="ADO362" s="6"/>
      <c r="ADP362" s="6"/>
      <c r="ADQ362" s="6"/>
      <c r="ADR362" s="6"/>
      <c r="ADS362" s="6"/>
      <c r="ADT362" s="6"/>
      <c r="ADU362" s="6"/>
      <c r="ADV362" s="6"/>
      <c r="ADW362" s="6"/>
      <c r="ADX362" s="6"/>
      <c r="ADY362" s="6"/>
      <c r="ADZ362" s="6"/>
      <c r="AEA362" s="6"/>
      <c r="AEB362" s="6"/>
      <c r="AEC362" s="6"/>
      <c r="AED362" s="6"/>
      <c r="AEE362" s="6"/>
      <c r="AEF362" s="6"/>
      <c r="AEG362" s="6"/>
      <c r="AEH362" s="6"/>
      <c r="AEI362" s="6"/>
      <c r="AEJ362" s="6"/>
      <c r="AEK362" s="6"/>
      <c r="AEL362" s="6"/>
      <c r="AEM362" s="6"/>
      <c r="AEN362" s="6"/>
      <c r="AEO362" s="6"/>
      <c r="AEP362" s="6"/>
      <c r="AEQ362" s="6"/>
      <c r="AER362" s="6"/>
      <c r="AES362" s="6"/>
      <c r="AET362" s="6"/>
      <c r="AEU362" s="6"/>
      <c r="AEV362" s="6"/>
      <c r="AEW362" s="6"/>
      <c r="AEX362" s="6"/>
      <c r="AEY362" s="6"/>
      <c r="AEZ362" s="6"/>
      <c r="AFA362" s="6"/>
      <c r="AFB362" s="6"/>
      <c r="AFC362" s="6"/>
      <c r="AFD362" s="6"/>
      <c r="AFE362" s="6"/>
      <c r="AFF362" s="6"/>
      <c r="AFG362" s="6"/>
      <c r="AFH362" s="6"/>
      <c r="AFI362" s="6"/>
      <c r="AFJ362" s="6"/>
      <c r="AFK362" s="6"/>
      <c r="AFL362" s="6"/>
      <c r="AFM362" s="6"/>
      <c r="AFN362" s="6"/>
      <c r="AFO362" s="6"/>
      <c r="AFP362" s="6"/>
      <c r="AFQ362" s="6"/>
      <c r="AFR362" s="6"/>
      <c r="AFS362" s="6"/>
      <c r="AFT362" s="6"/>
      <c r="AFU362" s="6"/>
      <c r="AFV362" s="6"/>
      <c r="AFW362" s="6"/>
      <c r="AFX362" s="6"/>
      <c r="AFY362" s="6"/>
      <c r="AFZ362" s="6"/>
      <c r="AGA362" s="6"/>
      <c r="AGB362" s="6"/>
      <c r="AGC362" s="6"/>
      <c r="AGD362" s="6"/>
      <c r="AGE362" s="6"/>
      <c r="AGF362" s="6"/>
      <c r="AGG362" s="6"/>
      <c r="AGH362" s="6"/>
      <c r="AGI362" s="6"/>
      <c r="AGJ362" s="6"/>
      <c r="AGK362" s="6"/>
      <c r="AGL362" s="6"/>
      <c r="AGM362" s="6"/>
      <c r="AGN362" s="6"/>
      <c r="AGO362" s="6"/>
      <c r="AGP362" s="6"/>
      <c r="AGQ362" s="6"/>
      <c r="AGR362" s="6"/>
      <c r="AGS362" s="6"/>
      <c r="AGT362" s="6"/>
      <c r="AGU362" s="6"/>
      <c r="AGV362" s="6"/>
      <c r="AGW362" s="6"/>
      <c r="AGX362" s="6"/>
      <c r="AGY362" s="6"/>
      <c r="AGZ362" s="6"/>
      <c r="AHA362" s="6"/>
      <c r="AHB362" s="6"/>
      <c r="AHC362" s="6"/>
      <c r="AHD362" s="6"/>
      <c r="AHE362" s="6"/>
      <c r="AHF362" s="6"/>
      <c r="AHG362" s="6"/>
      <c r="AHH362" s="6"/>
      <c r="AHI362" s="6"/>
      <c r="AHJ362" s="6"/>
      <c r="AHK362" s="6"/>
      <c r="AHL362" s="6"/>
      <c r="AHM362" s="6"/>
      <c r="AHN362" s="6"/>
      <c r="AHO362" s="6"/>
      <c r="AHP362" s="6"/>
      <c r="AHQ362" s="6"/>
      <c r="AHR362" s="6"/>
      <c r="AHS362" s="6"/>
      <c r="AHT362" s="6"/>
      <c r="AHU362" s="6"/>
      <c r="AHV362" s="6"/>
      <c r="AHW362" s="6"/>
      <c r="AHX362" s="6"/>
      <c r="AHY362" s="6"/>
      <c r="AHZ362" s="6"/>
      <c r="AIA362" s="6"/>
      <c r="AIB362" s="6"/>
      <c r="AIC362" s="6"/>
      <c r="AID362" s="6"/>
      <c r="AIE362" s="6"/>
      <c r="AIF362" s="6"/>
      <c r="AIG362" s="6"/>
      <c r="AIH362" s="6"/>
      <c r="AII362" s="6"/>
      <c r="AIJ362" s="6"/>
      <c r="AIK362" s="6"/>
      <c r="AIL362" s="6"/>
      <c r="AIM362" s="6"/>
      <c r="AIN362" s="6"/>
      <c r="AIO362" s="6"/>
      <c r="AIP362" s="6"/>
      <c r="AIQ362" s="6"/>
      <c r="AIR362" s="6"/>
      <c r="AIS362" s="6"/>
      <c r="AIT362" s="6"/>
      <c r="AIU362" s="6"/>
      <c r="AIV362" s="6"/>
      <c r="AIW362" s="6"/>
      <c r="AIX362" s="6"/>
      <c r="AIY362" s="6"/>
      <c r="AIZ362" s="6"/>
      <c r="AJA362" s="6"/>
      <c r="AJB362" s="6"/>
      <c r="AJC362" s="6"/>
      <c r="AJD362" s="6"/>
      <c r="AJE362" s="6"/>
      <c r="AJF362" s="6"/>
      <c r="AJG362" s="6"/>
      <c r="AJH362" s="6"/>
      <c r="AJI362" s="6"/>
      <c r="AJJ362" s="6"/>
      <c r="AJK362" s="6"/>
      <c r="AJL362" s="6"/>
      <c r="AJM362" s="6"/>
      <c r="AJN362" s="6"/>
      <c r="AJO362" s="6"/>
      <c r="AJP362" s="6"/>
      <c r="AJQ362" s="6"/>
      <c r="AJR362" s="6"/>
      <c r="AJS362" s="6"/>
      <c r="AJT362" s="6"/>
      <c r="AJU362" s="6"/>
      <c r="AJV362" s="6"/>
      <c r="AJW362" s="6"/>
      <c r="AJX362" s="6"/>
      <c r="AJY362" s="6"/>
      <c r="AJZ362" s="6"/>
      <c r="AKA362" s="6"/>
      <c r="AKB362" s="6"/>
      <c r="AKC362" s="6"/>
      <c r="AKD362" s="6"/>
      <c r="AKE362" s="6"/>
      <c r="AKF362" s="6"/>
      <c r="AKG362" s="6"/>
      <c r="AKH362" s="6"/>
      <c r="AKI362" s="6"/>
      <c r="AKJ362" s="6"/>
      <c r="AKK362" s="6"/>
      <c r="AKL362" s="6"/>
      <c r="AKM362" s="6"/>
      <c r="AKN362" s="6"/>
      <c r="AKO362" s="6"/>
      <c r="AKP362" s="6"/>
      <c r="AKQ362" s="6"/>
      <c r="AKR362" s="6"/>
      <c r="AKS362" s="6"/>
      <c r="AKT362" s="6"/>
      <c r="AKU362" s="6"/>
      <c r="AKV362" s="6"/>
      <c r="AKW362" s="6"/>
      <c r="AKX362" s="6"/>
      <c r="AKY362" s="6"/>
      <c r="AKZ362" s="6"/>
      <c r="ALA362" s="6"/>
      <c r="ALB362" s="6"/>
      <c r="ALC362" s="6"/>
      <c r="ALD362" s="6"/>
      <c r="ALE362" s="6"/>
      <c r="ALF362" s="6"/>
      <c r="ALG362" s="6"/>
      <c r="ALH362" s="6"/>
      <c r="ALI362" s="6"/>
      <c r="ALJ362" s="6"/>
      <c r="ALK362" s="6"/>
      <c r="ALL362" s="6"/>
      <c r="ALM362" s="6"/>
      <c r="ALN362" s="6"/>
      <c r="ALO362" s="6"/>
      <c r="ALP362" s="6"/>
      <c r="ALQ362" s="6"/>
      <c r="ALR362" s="6"/>
      <c r="ALS362" s="6"/>
      <c r="ALT362" s="6"/>
      <c r="ALU362" s="6"/>
      <c r="ALV362" s="6"/>
      <c r="ALW362" s="6"/>
      <c r="ALX362" s="6"/>
      <c r="ALY362" s="6"/>
      <c r="ALZ362" s="6"/>
      <c r="AMA362" s="6"/>
      <c r="AMB362" s="6"/>
      <c r="AMC362" s="6"/>
      <c r="AMD362" s="6"/>
      <c r="AME362" s="6"/>
      <c r="AMF362" s="6"/>
      <c r="AMG362" s="6"/>
      <c r="AMH362" s="6"/>
      <c r="AMI362" s="6"/>
      <c r="AMJ362" s="6"/>
      <c r="AMK362" s="6"/>
      <c r="AML362" s="6"/>
      <c r="AMM362" s="6"/>
      <c r="AMN362" s="6"/>
      <c r="AMO362" s="6"/>
      <c r="AMP362" s="6"/>
    </row>
    <row r="363" spans="1:1030" x14ac:dyDescent="0.2">
      <c r="A363" s="9" t="str">
        <f t="shared" si="2739"/>
        <v>q80km9_hcmv_5WB1</v>
      </c>
      <c r="B363" s="40" t="s">
        <v>1507</v>
      </c>
      <c r="C363" s="9" t="s">
        <v>1509</v>
      </c>
      <c r="D363" s="9" t="str">
        <f>IFERROR(MID(VLOOKUP($B363,Seqs!$A:$B,2,0),E363,1),"")</f>
        <v>F</v>
      </c>
      <c r="E363" s="9">
        <v>25</v>
      </c>
      <c r="F363" s="9" t="str">
        <f>IFERROR(MID(VLOOKUP($B363,Seqs!$A:$B,2,0),G363,1),"")</f>
        <v>W</v>
      </c>
      <c r="G363" s="9">
        <v>60</v>
      </c>
      <c r="H363" s="9" t="str">
        <f>IFERROR(MID(VLOOKUP($B363,Seqs!$A:$B,2,0),I363,1),"")</f>
        <v/>
      </c>
      <c r="I363" s="109" t="s">
        <v>23</v>
      </c>
      <c r="J363" s="9" t="str">
        <f>IFERROR(MID(VLOOKUP($B363,Seqs!$A:$B,2,0),K363,1),"")</f>
        <v/>
      </c>
      <c r="K363" s="109" t="s">
        <v>23</v>
      </c>
      <c r="L363" s="9" t="str">
        <f>IFERROR(MID(VLOOKUP($B363,Seqs!$A:$B,2,0),M363,1),"")</f>
        <v>C</v>
      </c>
      <c r="M363" s="9">
        <v>66</v>
      </c>
      <c r="N363" s="9" t="str">
        <f>IFERROR(MID(VLOOKUP($B363,Seqs!$A:$B,2,0),O363,1),"")</f>
        <v>D</v>
      </c>
      <c r="O363" s="9">
        <v>95</v>
      </c>
      <c r="P363" s="9" t="str">
        <f>IFERROR(MID(VLOOKUP($B363,Seqs!$A:$B,2,0),Q363,1),"")</f>
        <v/>
      </c>
      <c r="Q363" s="9" t="s">
        <v>23</v>
      </c>
      <c r="R363" s="9" t="str">
        <f>IFERROR(MID(VLOOKUP($B363,Seqs!$A:$B,2,0),S363,1),"")</f>
        <v/>
      </c>
      <c r="S363" s="9" t="s">
        <v>23</v>
      </c>
      <c r="T363" s="9" t="str">
        <f>IFERROR(MID(VLOOKUP($B363,Seqs!$A:$B,2,0),U363,1),"")</f>
        <v>A</v>
      </c>
      <c r="U363" s="9">
        <v>100</v>
      </c>
      <c r="V363" s="9" t="str">
        <f>IFERROR(MID(VLOOKUP($B363,Seqs!$A:$B,2,0),W363,1),"")</f>
        <v>V</v>
      </c>
      <c r="W363" s="9">
        <v>134</v>
      </c>
      <c r="X363" s="9" t="str">
        <f>IFERROR(MID(VLOOKUP($B363,Seqs!$A:$B,2,0),Y363,1),"")</f>
        <v/>
      </c>
      <c r="Y363" s="9" t="s">
        <v>23</v>
      </c>
      <c r="Z363" s="9" t="str">
        <f>IFERROR(MID(VLOOKUP($B363,Seqs!$A:$B,2,0),AA363,1),"")</f>
        <v/>
      </c>
      <c r="AA363" s="9" t="s">
        <v>23</v>
      </c>
      <c r="AB363" s="9" t="str">
        <f>IFERROR(MID(VLOOKUP($B363,Seqs!$A:$B,2,0),AC363,1),"")</f>
        <v>P</v>
      </c>
      <c r="AC363" s="9">
        <v>140</v>
      </c>
      <c r="AD363" s="9" t="str">
        <f>IFERROR(MID(VLOOKUP($B363,Seqs!$A:$B,2,0),AE363,1),"")</f>
        <v>M</v>
      </c>
      <c r="AE363" s="9">
        <v>164</v>
      </c>
      <c r="AF363" s="9" t="str">
        <f>IFERROR(MID(VLOOKUP($B363,Seqs!$A:$B,2,0),AG363,1),"")</f>
        <v>C</v>
      </c>
      <c r="AG363" s="9">
        <v>173</v>
      </c>
      <c r="AH363" s="9" t="str">
        <f>IFERROR(MID(VLOOKUP($B363,Seqs!$A:$B,2,0),AI363,1),"")</f>
        <v>T</v>
      </c>
      <c r="AI363" s="9">
        <v>175</v>
      </c>
      <c r="AJ363" s="9" t="str">
        <f>IFERROR(MID(VLOOKUP($B363,Seqs!$A:$B,2,0),AK363,1),"")</f>
        <v>S</v>
      </c>
      <c r="AK363" s="9">
        <v>183</v>
      </c>
      <c r="AL363" s="9" t="str">
        <f>IFERROR(MID(VLOOKUP($B363,Seqs!$A:$B,2,0),AM363,1),"")</f>
        <v>S</v>
      </c>
      <c r="AM363" s="9">
        <v>218</v>
      </c>
      <c r="AN363" s="9" t="str">
        <f>IFERROR(MID(VLOOKUP($B363,Seqs!$A:$B,2,0),AO363,1),"")</f>
        <v>H</v>
      </c>
      <c r="AO363" s="9">
        <v>222</v>
      </c>
      <c r="AP363" s="9" t="str">
        <f>IFERROR(MID(VLOOKUP($B363,Seqs!$A:$B,2,0),AQ363,1),"")</f>
        <v>K</v>
      </c>
      <c r="AQ363" s="9">
        <v>257</v>
      </c>
      <c r="AR363" s="9" t="str">
        <f>IFERROR(MID(VLOOKUP($B363,Seqs!$A:$B,2,0),AS363,1),"")</f>
        <v>S</v>
      </c>
      <c r="AS363" s="9">
        <v>262</v>
      </c>
      <c r="AT363" s="9" t="str">
        <f>IFERROR(MID(VLOOKUP($B363,Seqs!$A:$B,2,0),AU363,1),"")</f>
        <v>V</v>
      </c>
      <c r="AU363" s="9">
        <v>294</v>
      </c>
      <c r="AV363" s="9" t="str">
        <f>IFERROR(MID(VLOOKUP($B363,Seqs!$A:$B,2,0),AW363,1),"")</f>
        <v>G</v>
      </c>
      <c r="AW363" s="9">
        <v>295</v>
      </c>
      <c r="AX363" s="9" t="str">
        <f>IFERROR(MID(VLOOKUP($B363,Seqs!$A:$B,2,0),AY363,1),"")</f>
        <v>R</v>
      </c>
      <c r="AY363" s="9">
        <v>310</v>
      </c>
      <c r="AZ363" s="110" t="str">
        <f>VLOOKUP(B363,Classification!A:D,2,0)</f>
        <v>A</v>
      </c>
      <c r="BA363" s="98" t="str">
        <f>VLOOKUP(B363,Classification!A:D,4,0)</f>
        <v>Chemokine</v>
      </c>
      <c r="BB363" s="36" t="b">
        <f t="shared" si="2712"/>
        <v>1</v>
      </c>
      <c r="BC363" s="109">
        <f t="shared" si="2713"/>
        <v>253</v>
      </c>
      <c r="BD363" s="11" t="s">
        <v>1375</v>
      </c>
      <c r="BE363" s="9" t="s">
        <v>1291</v>
      </c>
      <c r="BF363" s="119">
        <v>3.51</v>
      </c>
      <c r="BG363" s="51" t="s">
        <v>1</v>
      </c>
      <c r="BH363" s="51" t="s">
        <v>1</v>
      </c>
      <c r="BI363" s="12"/>
      <c r="BJ363" s="111" t="s">
        <v>1287</v>
      </c>
      <c r="BK363" s="112" t="s">
        <v>1287</v>
      </c>
      <c r="BL363" s="112" t="s">
        <v>1287</v>
      </c>
      <c r="BM363" s="112" t="s">
        <v>1287</v>
      </c>
      <c r="BN363" s="112" t="s">
        <v>1287</v>
      </c>
      <c r="BO363" s="112" t="s">
        <v>1287</v>
      </c>
      <c r="BP363" s="112" t="s">
        <v>1287</v>
      </c>
      <c r="BQ363" s="112" t="s">
        <v>1287</v>
      </c>
      <c r="BR363" s="112" t="s">
        <v>1287</v>
      </c>
      <c r="BS363" s="112" t="s">
        <v>1287</v>
      </c>
      <c r="BT363" s="112" t="s">
        <v>1287</v>
      </c>
      <c r="BU363" s="112" t="s">
        <v>1287</v>
      </c>
      <c r="BV363" s="111">
        <f t="shared" si="2714"/>
        <v>25</v>
      </c>
      <c r="BW363" s="113" t="str">
        <f t="shared" si="2715"/>
        <v>-</v>
      </c>
      <c r="BX363" s="114">
        <f t="shared" si="2716"/>
        <v>66</v>
      </c>
      <c r="BY363" s="113" t="str">
        <f t="shared" si="2717"/>
        <v>-</v>
      </c>
      <c r="BZ363" s="114">
        <f t="shared" si="2718"/>
        <v>100</v>
      </c>
      <c r="CA363" s="113" t="str">
        <f t="shared" si="2719"/>
        <v>-</v>
      </c>
      <c r="CB363" s="114">
        <f t="shared" si="2720"/>
        <v>140</v>
      </c>
      <c r="CC363" s="113">
        <f t="shared" si="2721"/>
        <v>173</v>
      </c>
      <c r="CD363" s="114">
        <f t="shared" si="2722"/>
        <v>183</v>
      </c>
      <c r="CE363" s="113">
        <f t="shared" si="2723"/>
        <v>222</v>
      </c>
      <c r="CF363" s="114">
        <f t="shared" si="2724"/>
        <v>262</v>
      </c>
      <c r="CG363" s="113">
        <f t="shared" si="2725"/>
        <v>295</v>
      </c>
      <c r="CH363" s="111">
        <f t="shared" si="2726"/>
        <v>60</v>
      </c>
      <c r="CI363" s="113" t="str">
        <f t="shared" si="2727"/>
        <v>-</v>
      </c>
      <c r="CJ363" s="114">
        <f t="shared" si="2728"/>
        <v>95</v>
      </c>
      <c r="CK363" s="114" t="str">
        <f t="shared" si="2729"/>
        <v>-</v>
      </c>
      <c r="CL363" s="114">
        <f t="shared" si="2730"/>
        <v>134</v>
      </c>
      <c r="CM363" s="114" t="str">
        <f t="shared" si="2731"/>
        <v>-</v>
      </c>
      <c r="CN363" s="114">
        <f t="shared" si="2732"/>
        <v>164</v>
      </c>
      <c r="CO363" s="114">
        <f t="shared" si="2733"/>
        <v>175</v>
      </c>
      <c r="CP363" s="114">
        <f t="shared" si="2734"/>
        <v>218</v>
      </c>
      <c r="CQ363" s="114">
        <f t="shared" si="2735"/>
        <v>257</v>
      </c>
      <c r="CR363" s="114">
        <f t="shared" si="2736"/>
        <v>294</v>
      </c>
      <c r="CS363" s="114">
        <f t="shared" si="2737"/>
        <v>310</v>
      </c>
      <c r="CT363" s="109" t="e">
        <f t="shared" si="2738"/>
        <v>#VALUE!</v>
      </c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  <c r="SG363" s="6"/>
      <c r="SH363" s="6"/>
      <c r="SI363" s="6"/>
      <c r="SJ363" s="6"/>
      <c r="SK363" s="6"/>
      <c r="SL363" s="6"/>
      <c r="SM363" s="6"/>
      <c r="SN363" s="6"/>
      <c r="SO363" s="6"/>
      <c r="SP363" s="6"/>
      <c r="SQ363" s="6"/>
      <c r="SR363" s="6"/>
      <c r="SS363" s="6"/>
      <c r="ST363" s="6"/>
      <c r="SU363" s="6"/>
      <c r="SV363" s="6"/>
      <c r="SW363" s="6"/>
      <c r="SX363" s="6"/>
      <c r="SY363" s="6"/>
      <c r="SZ363" s="6"/>
      <c r="TA363" s="6"/>
      <c r="TB363" s="6"/>
      <c r="TC363" s="6"/>
      <c r="TD363" s="6"/>
      <c r="TE363" s="6"/>
      <c r="TF363" s="6"/>
      <c r="TG363" s="6"/>
      <c r="TH363" s="6"/>
      <c r="TI363" s="6"/>
      <c r="TJ363" s="6"/>
      <c r="TK363" s="6"/>
      <c r="TL363" s="6"/>
      <c r="TM363" s="6"/>
      <c r="TN363" s="6"/>
      <c r="TO363" s="6"/>
      <c r="TP363" s="6"/>
      <c r="TQ363" s="6"/>
      <c r="TR363" s="6"/>
      <c r="TS363" s="6"/>
      <c r="TT363" s="6"/>
      <c r="TU363" s="6"/>
      <c r="TV363" s="6"/>
      <c r="TW363" s="6"/>
      <c r="TX363" s="6"/>
      <c r="TY363" s="6"/>
      <c r="TZ363" s="6"/>
      <c r="UA363" s="6"/>
      <c r="UB363" s="6"/>
      <c r="UC363" s="6"/>
      <c r="UD363" s="6"/>
      <c r="UE363" s="6"/>
      <c r="UF363" s="6"/>
      <c r="UG363" s="6"/>
      <c r="UH363" s="6"/>
      <c r="UI363" s="6"/>
      <c r="UJ363" s="6"/>
      <c r="UK363" s="6"/>
      <c r="UL363" s="6"/>
      <c r="UM363" s="6"/>
      <c r="UN363" s="6"/>
      <c r="UO363" s="6"/>
      <c r="UP363" s="6"/>
      <c r="UQ363" s="6"/>
      <c r="UR363" s="6"/>
      <c r="US363" s="6"/>
      <c r="UT363" s="6"/>
      <c r="UU363" s="6"/>
      <c r="UV363" s="6"/>
      <c r="UW363" s="6"/>
      <c r="UX363" s="6"/>
      <c r="UY363" s="6"/>
      <c r="UZ363" s="6"/>
      <c r="VA363" s="6"/>
      <c r="VB363" s="6"/>
      <c r="VC363" s="6"/>
      <c r="VD363" s="6"/>
      <c r="VE363" s="6"/>
      <c r="VF363" s="6"/>
      <c r="VG363" s="6"/>
      <c r="VH363" s="6"/>
      <c r="VI363" s="6"/>
      <c r="VJ363" s="6"/>
      <c r="VK363" s="6"/>
      <c r="VL363" s="6"/>
      <c r="VM363" s="6"/>
      <c r="VN363" s="6"/>
      <c r="VO363" s="6"/>
      <c r="VP363" s="6"/>
      <c r="VQ363" s="6"/>
      <c r="VR363" s="6"/>
      <c r="VS363" s="6"/>
      <c r="VT363" s="6"/>
      <c r="VU363" s="6"/>
      <c r="VV363" s="6"/>
      <c r="VW363" s="6"/>
      <c r="VX363" s="6"/>
      <c r="VY363" s="6"/>
      <c r="VZ363" s="6"/>
      <c r="WA363" s="6"/>
      <c r="WB363" s="6"/>
      <c r="WC363" s="6"/>
      <c r="WD363" s="6"/>
      <c r="WE363" s="6"/>
      <c r="WF363" s="6"/>
      <c r="WG363" s="6"/>
      <c r="WH363" s="6"/>
      <c r="WI363" s="6"/>
      <c r="WJ363" s="6"/>
      <c r="WK363" s="6"/>
      <c r="WL363" s="6"/>
      <c r="WM363" s="6"/>
      <c r="WN363" s="6"/>
      <c r="WO363" s="6"/>
      <c r="WP363" s="6"/>
      <c r="WQ363" s="6"/>
      <c r="WR363" s="6"/>
      <c r="WS363" s="6"/>
      <c r="WT363" s="6"/>
      <c r="WU363" s="6"/>
      <c r="WV363" s="6"/>
      <c r="WW363" s="6"/>
      <c r="WX363" s="6"/>
      <c r="WY363" s="6"/>
      <c r="WZ363" s="6"/>
      <c r="XA363" s="6"/>
      <c r="XB363" s="6"/>
      <c r="XC363" s="6"/>
      <c r="XD363" s="6"/>
      <c r="XE363" s="6"/>
      <c r="XF363" s="6"/>
      <c r="XG363" s="6"/>
      <c r="XH363" s="6"/>
      <c r="XI363" s="6"/>
      <c r="XJ363" s="6"/>
      <c r="XK363" s="6"/>
      <c r="XL363" s="6"/>
      <c r="XM363" s="6"/>
      <c r="XN363" s="6"/>
      <c r="XO363" s="6"/>
      <c r="XP363" s="6"/>
      <c r="XQ363" s="6"/>
      <c r="XR363" s="6"/>
      <c r="XS363" s="6"/>
      <c r="XT363" s="6"/>
      <c r="XU363" s="6"/>
      <c r="XV363" s="6"/>
      <c r="XW363" s="6"/>
      <c r="XX363" s="6"/>
      <c r="XY363" s="6"/>
      <c r="XZ363" s="6"/>
      <c r="YA363" s="6"/>
      <c r="YB363" s="6"/>
      <c r="YC363" s="6"/>
      <c r="YD363" s="6"/>
      <c r="YE363" s="6"/>
      <c r="YF363" s="6"/>
      <c r="YG363" s="6"/>
      <c r="YH363" s="6"/>
      <c r="YI363" s="6"/>
      <c r="YJ363" s="6"/>
      <c r="YK363" s="6"/>
      <c r="YL363" s="6"/>
      <c r="YM363" s="6"/>
      <c r="YN363" s="6"/>
      <c r="YO363" s="6"/>
      <c r="YP363" s="6"/>
      <c r="YQ363" s="6"/>
      <c r="YR363" s="6"/>
      <c r="YS363" s="6"/>
      <c r="YT363" s="6"/>
      <c r="YU363" s="6"/>
      <c r="YV363" s="6"/>
      <c r="YW363" s="6"/>
      <c r="YX363" s="6"/>
      <c r="YY363" s="6"/>
      <c r="YZ363" s="6"/>
      <c r="ZA363" s="6"/>
      <c r="ZB363" s="6"/>
      <c r="ZC363" s="6"/>
      <c r="ZD363" s="6"/>
      <c r="ZE363" s="6"/>
      <c r="ZF363" s="6"/>
      <c r="ZG363" s="6"/>
      <c r="ZH363" s="6"/>
      <c r="ZI363" s="6"/>
      <c r="ZJ363" s="6"/>
      <c r="ZK363" s="6"/>
      <c r="ZL363" s="6"/>
      <c r="ZM363" s="6"/>
      <c r="ZN363" s="6"/>
      <c r="ZO363" s="6"/>
      <c r="ZP363" s="6"/>
      <c r="ZQ363" s="6"/>
      <c r="ZR363" s="6"/>
      <c r="ZS363" s="6"/>
      <c r="ZT363" s="6"/>
      <c r="ZU363" s="6"/>
      <c r="ZV363" s="6"/>
      <c r="ZW363" s="6"/>
      <c r="ZX363" s="6"/>
      <c r="ZY363" s="6"/>
      <c r="ZZ363" s="6"/>
      <c r="AAA363" s="6"/>
      <c r="AAB363" s="6"/>
      <c r="AAC363" s="6"/>
      <c r="AAD363" s="6"/>
      <c r="AAE363" s="6"/>
      <c r="AAF363" s="6"/>
      <c r="AAG363" s="6"/>
      <c r="AAH363" s="6"/>
      <c r="AAI363" s="6"/>
      <c r="AAJ363" s="6"/>
      <c r="AAK363" s="6"/>
      <c r="AAL363" s="6"/>
      <c r="AAM363" s="6"/>
      <c r="AAN363" s="6"/>
      <c r="AAO363" s="6"/>
      <c r="AAP363" s="6"/>
      <c r="AAQ363" s="6"/>
      <c r="AAR363" s="6"/>
      <c r="AAS363" s="6"/>
      <c r="AAT363" s="6"/>
      <c r="AAU363" s="6"/>
      <c r="AAV363" s="6"/>
      <c r="AAW363" s="6"/>
      <c r="AAX363" s="6"/>
      <c r="AAY363" s="6"/>
      <c r="AAZ363" s="6"/>
      <c r="ABA363" s="6"/>
      <c r="ABB363" s="6"/>
      <c r="ABC363" s="6"/>
      <c r="ABD363" s="6"/>
      <c r="ABE363" s="6"/>
      <c r="ABF363" s="6"/>
      <c r="ABG363" s="6"/>
      <c r="ABH363" s="6"/>
      <c r="ABI363" s="6"/>
      <c r="ABJ363" s="6"/>
      <c r="ABK363" s="6"/>
      <c r="ABL363" s="6"/>
      <c r="ABM363" s="6"/>
      <c r="ABN363" s="6"/>
      <c r="ABO363" s="6"/>
      <c r="ABP363" s="6"/>
      <c r="ABQ363" s="6"/>
      <c r="ABR363" s="6"/>
      <c r="ABS363" s="6"/>
      <c r="ABT363" s="6"/>
      <c r="ABU363" s="6"/>
      <c r="ABV363" s="6"/>
      <c r="ABW363" s="6"/>
      <c r="ABX363" s="6"/>
      <c r="ABY363" s="6"/>
      <c r="ABZ363" s="6"/>
      <c r="ACA363" s="6"/>
      <c r="ACB363" s="6"/>
      <c r="ACC363" s="6"/>
      <c r="ACD363" s="6"/>
      <c r="ACE363" s="6"/>
      <c r="ACF363" s="6"/>
      <c r="ACG363" s="6"/>
      <c r="ACH363" s="6"/>
      <c r="ACI363" s="6"/>
      <c r="ACJ363" s="6"/>
      <c r="ACK363" s="6"/>
      <c r="ACL363" s="6"/>
      <c r="ACM363" s="6"/>
      <c r="ACN363" s="6"/>
      <c r="ACO363" s="6"/>
      <c r="ACP363" s="6"/>
      <c r="ACQ363" s="6"/>
      <c r="ACR363" s="6"/>
      <c r="ACS363" s="6"/>
      <c r="ACT363" s="6"/>
      <c r="ACU363" s="6"/>
      <c r="ACV363" s="6"/>
      <c r="ACW363" s="6"/>
      <c r="ACX363" s="6"/>
      <c r="ACY363" s="6"/>
      <c r="ACZ363" s="6"/>
      <c r="ADA363" s="6"/>
      <c r="ADB363" s="6"/>
      <c r="ADC363" s="6"/>
      <c r="ADD363" s="6"/>
      <c r="ADE363" s="6"/>
      <c r="ADF363" s="6"/>
      <c r="ADG363" s="6"/>
      <c r="ADH363" s="6"/>
      <c r="ADI363" s="6"/>
      <c r="ADJ363" s="6"/>
      <c r="ADK363" s="6"/>
      <c r="ADL363" s="6"/>
      <c r="ADM363" s="6"/>
      <c r="ADN363" s="6"/>
      <c r="ADO363" s="6"/>
      <c r="ADP363" s="6"/>
      <c r="ADQ363" s="6"/>
      <c r="ADR363" s="6"/>
      <c r="ADS363" s="6"/>
      <c r="ADT363" s="6"/>
      <c r="ADU363" s="6"/>
      <c r="ADV363" s="6"/>
      <c r="ADW363" s="6"/>
      <c r="ADX363" s="6"/>
      <c r="ADY363" s="6"/>
      <c r="ADZ363" s="6"/>
      <c r="AEA363" s="6"/>
      <c r="AEB363" s="6"/>
      <c r="AEC363" s="6"/>
      <c r="AED363" s="6"/>
      <c r="AEE363" s="6"/>
      <c r="AEF363" s="6"/>
      <c r="AEG363" s="6"/>
      <c r="AEH363" s="6"/>
      <c r="AEI363" s="6"/>
      <c r="AEJ363" s="6"/>
      <c r="AEK363" s="6"/>
      <c r="AEL363" s="6"/>
      <c r="AEM363" s="6"/>
      <c r="AEN363" s="6"/>
      <c r="AEO363" s="6"/>
      <c r="AEP363" s="6"/>
      <c r="AEQ363" s="6"/>
      <c r="AER363" s="6"/>
      <c r="AES363" s="6"/>
      <c r="AET363" s="6"/>
      <c r="AEU363" s="6"/>
      <c r="AEV363" s="6"/>
      <c r="AEW363" s="6"/>
      <c r="AEX363" s="6"/>
      <c r="AEY363" s="6"/>
      <c r="AEZ363" s="6"/>
      <c r="AFA363" s="6"/>
      <c r="AFB363" s="6"/>
      <c r="AFC363" s="6"/>
      <c r="AFD363" s="6"/>
      <c r="AFE363" s="6"/>
      <c r="AFF363" s="6"/>
      <c r="AFG363" s="6"/>
      <c r="AFH363" s="6"/>
      <c r="AFI363" s="6"/>
      <c r="AFJ363" s="6"/>
      <c r="AFK363" s="6"/>
      <c r="AFL363" s="6"/>
      <c r="AFM363" s="6"/>
      <c r="AFN363" s="6"/>
      <c r="AFO363" s="6"/>
      <c r="AFP363" s="6"/>
      <c r="AFQ363" s="6"/>
      <c r="AFR363" s="6"/>
      <c r="AFS363" s="6"/>
      <c r="AFT363" s="6"/>
      <c r="AFU363" s="6"/>
      <c r="AFV363" s="6"/>
      <c r="AFW363" s="6"/>
      <c r="AFX363" s="6"/>
      <c r="AFY363" s="6"/>
      <c r="AFZ363" s="6"/>
      <c r="AGA363" s="6"/>
      <c r="AGB363" s="6"/>
      <c r="AGC363" s="6"/>
      <c r="AGD363" s="6"/>
      <c r="AGE363" s="6"/>
      <c r="AGF363" s="6"/>
      <c r="AGG363" s="6"/>
      <c r="AGH363" s="6"/>
      <c r="AGI363" s="6"/>
      <c r="AGJ363" s="6"/>
      <c r="AGK363" s="6"/>
      <c r="AGL363" s="6"/>
      <c r="AGM363" s="6"/>
      <c r="AGN363" s="6"/>
      <c r="AGO363" s="6"/>
      <c r="AGP363" s="6"/>
      <c r="AGQ363" s="6"/>
      <c r="AGR363" s="6"/>
      <c r="AGS363" s="6"/>
      <c r="AGT363" s="6"/>
      <c r="AGU363" s="6"/>
      <c r="AGV363" s="6"/>
      <c r="AGW363" s="6"/>
      <c r="AGX363" s="6"/>
      <c r="AGY363" s="6"/>
      <c r="AGZ363" s="6"/>
      <c r="AHA363" s="6"/>
      <c r="AHB363" s="6"/>
      <c r="AHC363" s="6"/>
      <c r="AHD363" s="6"/>
      <c r="AHE363" s="6"/>
      <c r="AHF363" s="6"/>
      <c r="AHG363" s="6"/>
      <c r="AHH363" s="6"/>
      <c r="AHI363" s="6"/>
      <c r="AHJ363" s="6"/>
      <c r="AHK363" s="6"/>
      <c r="AHL363" s="6"/>
      <c r="AHM363" s="6"/>
      <c r="AHN363" s="6"/>
      <c r="AHO363" s="6"/>
      <c r="AHP363" s="6"/>
      <c r="AHQ363" s="6"/>
      <c r="AHR363" s="6"/>
      <c r="AHS363" s="6"/>
      <c r="AHT363" s="6"/>
      <c r="AHU363" s="6"/>
      <c r="AHV363" s="6"/>
      <c r="AHW363" s="6"/>
      <c r="AHX363" s="6"/>
      <c r="AHY363" s="6"/>
      <c r="AHZ363" s="6"/>
      <c r="AIA363" s="6"/>
      <c r="AIB363" s="6"/>
      <c r="AIC363" s="6"/>
      <c r="AID363" s="6"/>
      <c r="AIE363" s="6"/>
      <c r="AIF363" s="6"/>
      <c r="AIG363" s="6"/>
      <c r="AIH363" s="6"/>
      <c r="AII363" s="6"/>
      <c r="AIJ363" s="6"/>
      <c r="AIK363" s="6"/>
      <c r="AIL363" s="6"/>
      <c r="AIM363" s="6"/>
      <c r="AIN363" s="6"/>
      <c r="AIO363" s="6"/>
      <c r="AIP363" s="6"/>
      <c r="AIQ363" s="6"/>
      <c r="AIR363" s="6"/>
      <c r="AIS363" s="6"/>
      <c r="AIT363" s="6"/>
      <c r="AIU363" s="6"/>
      <c r="AIV363" s="6"/>
      <c r="AIW363" s="6"/>
      <c r="AIX363" s="6"/>
      <c r="AIY363" s="6"/>
      <c r="AIZ363" s="6"/>
      <c r="AJA363" s="6"/>
      <c r="AJB363" s="6"/>
      <c r="AJC363" s="6"/>
      <c r="AJD363" s="6"/>
      <c r="AJE363" s="6"/>
      <c r="AJF363" s="6"/>
      <c r="AJG363" s="6"/>
      <c r="AJH363" s="6"/>
      <c r="AJI363" s="6"/>
      <c r="AJJ363" s="6"/>
      <c r="AJK363" s="6"/>
      <c r="AJL363" s="6"/>
      <c r="AJM363" s="6"/>
      <c r="AJN363" s="6"/>
      <c r="AJO363" s="6"/>
      <c r="AJP363" s="6"/>
      <c r="AJQ363" s="6"/>
      <c r="AJR363" s="6"/>
      <c r="AJS363" s="6"/>
      <c r="AJT363" s="6"/>
      <c r="AJU363" s="6"/>
      <c r="AJV363" s="6"/>
      <c r="AJW363" s="6"/>
      <c r="AJX363" s="6"/>
      <c r="AJY363" s="6"/>
      <c r="AJZ363" s="6"/>
      <c r="AKA363" s="6"/>
      <c r="AKB363" s="6"/>
      <c r="AKC363" s="6"/>
      <c r="AKD363" s="6"/>
      <c r="AKE363" s="6"/>
      <c r="AKF363" s="6"/>
      <c r="AKG363" s="6"/>
      <c r="AKH363" s="6"/>
      <c r="AKI363" s="6"/>
      <c r="AKJ363" s="6"/>
      <c r="AKK363" s="6"/>
      <c r="AKL363" s="6"/>
      <c r="AKM363" s="6"/>
      <c r="AKN363" s="6"/>
      <c r="AKO363" s="6"/>
      <c r="AKP363" s="6"/>
      <c r="AKQ363" s="6"/>
      <c r="AKR363" s="6"/>
      <c r="AKS363" s="6"/>
      <c r="AKT363" s="6"/>
      <c r="AKU363" s="6"/>
      <c r="AKV363" s="6"/>
      <c r="AKW363" s="6"/>
      <c r="AKX363" s="6"/>
      <c r="AKY363" s="6"/>
      <c r="AKZ363" s="6"/>
      <c r="ALA363" s="6"/>
      <c r="ALB363" s="6"/>
      <c r="ALC363" s="6"/>
      <c r="ALD363" s="6"/>
      <c r="ALE363" s="6"/>
      <c r="ALF363" s="6"/>
      <c r="ALG363" s="6"/>
      <c r="ALH363" s="6"/>
      <c r="ALI363" s="6"/>
      <c r="ALJ363" s="6"/>
      <c r="ALK363" s="6"/>
      <c r="ALL363" s="6"/>
      <c r="ALM363" s="6"/>
      <c r="ALN363" s="6"/>
      <c r="ALO363" s="6"/>
      <c r="ALP363" s="6"/>
      <c r="ALQ363" s="6"/>
      <c r="ALR363" s="6"/>
      <c r="ALS363" s="6"/>
      <c r="ALT363" s="6"/>
      <c r="ALU363" s="6"/>
      <c r="ALV363" s="6"/>
      <c r="ALW363" s="6"/>
      <c r="ALX363" s="6"/>
      <c r="ALY363" s="6"/>
      <c r="ALZ363" s="6"/>
      <c r="AMA363" s="6"/>
      <c r="AMB363" s="6"/>
      <c r="AMC363" s="6"/>
      <c r="AMD363" s="6"/>
      <c r="AME363" s="6"/>
      <c r="AMF363" s="6"/>
      <c r="AMG363" s="6"/>
      <c r="AMH363" s="6"/>
      <c r="AMI363" s="6"/>
      <c r="AMJ363" s="6"/>
      <c r="AMK363" s="6"/>
      <c r="AML363" s="6"/>
      <c r="AMM363" s="6"/>
      <c r="AMN363" s="6"/>
      <c r="AMO363" s="6"/>
      <c r="AMP363" s="6"/>
    </row>
    <row r="364" spans="1:1030" x14ac:dyDescent="0.2">
      <c r="A364" s="9" t="str">
        <f t="shared" si="2739"/>
        <v>q80km9_hcmv_5WB2</v>
      </c>
      <c r="B364" s="40" t="s">
        <v>1507</v>
      </c>
      <c r="C364" s="9" t="s">
        <v>1510</v>
      </c>
      <c r="D364" s="9" t="str">
        <f>IFERROR(MID(VLOOKUP($B364,Seqs!$A:$B,2,0),E364,1),"")</f>
        <v>F</v>
      </c>
      <c r="E364" s="9">
        <v>25</v>
      </c>
      <c r="F364" s="9" t="str">
        <f>IFERROR(MID(VLOOKUP($B364,Seqs!$A:$B,2,0),G364,1),"")</f>
        <v>W</v>
      </c>
      <c r="G364" s="9">
        <v>60</v>
      </c>
      <c r="H364" s="9" t="str">
        <f>IFERROR(MID(VLOOKUP($B364,Seqs!$A:$B,2,0),I364,1),"")</f>
        <v/>
      </c>
      <c r="I364" s="109" t="s">
        <v>23</v>
      </c>
      <c r="J364" s="9" t="str">
        <f>IFERROR(MID(VLOOKUP($B364,Seqs!$A:$B,2,0),K364,1),"")</f>
        <v/>
      </c>
      <c r="K364" s="109" t="s">
        <v>23</v>
      </c>
      <c r="L364" s="9" t="str">
        <f>IFERROR(MID(VLOOKUP($B364,Seqs!$A:$B,2,0),M364,1),"")</f>
        <v>C</v>
      </c>
      <c r="M364" s="9">
        <v>66</v>
      </c>
      <c r="N364" s="9" t="str">
        <f>IFERROR(MID(VLOOKUP($B364,Seqs!$A:$B,2,0),O364,1),"")</f>
        <v>D</v>
      </c>
      <c r="O364" s="9">
        <v>95</v>
      </c>
      <c r="P364" s="9" t="str">
        <f>IFERROR(MID(VLOOKUP($B364,Seqs!$A:$B,2,0),Q364,1),"")</f>
        <v/>
      </c>
      <c r="Q364" s="9" t="s">
        <v>23</v>
      </c>
      <c r="R364" s="9" t="str">
        <f>IFERROR(MID(VLOOKUP($B364,Seqs!$A:$B,2,0),S364,1),"")</f>
        <v/>
      </c>
      <c r="S364" s="9" t="s">
        <v>23</v>
      </c>
      <c r="T364" s="9" t="str">
        <f>IFERROR(MID(VLOOKUP($B364,Seqs!$A:$B,2,0),U364,1),"")</f>
        <v>A</v>
      </c>
      <c r="U364" s="9">
        <v>100</v>
      </c>
      <c r="V364" s="9" t="str">
        <f>IFERROR(MID(VLOOKUP($B364,Seqs!$A:$B,2,0),W364,1),"")</f>
        <v>V</v>
      </c>
      <c r="W364" s="9">
        <v>134</v>
      </c>
      <c r="X364" s="9" t="str">
        <f>IFERROR(MID(VLOOKUP($B364,Seqs!$A:$B,2,0),Y364,1),"")</f>
        <v/>
      </c>
      <c r="Y364" s="9" t="s">
        <v>23</v>
      </c>
      <c r="Z364" s="9" t="str">
        <f>IFERROR(MID(VLOOKUP($B364,Seqs!$A:$B,2,0),AA364,1),"")</f>
        <v/>
      </c>
      <c r="AA364" s="9" t="s">
        <v>23</v>
      </c>
      <c r="AB364" s="9" t="str">
        <f>IFERROR(MID(VLOOKUP($B364,Seqs!$A:$B,2,0),AC364,1),"")</f>
        <v>P</v>
      </c>
      <c r="AC364" s="9">
        <v>140</v>
      </c>
      <c r="AD364" s="9" t="str">
        <f>IFERROR(MID(VLOOKUP($B364,Seqs!$A:$B,2,0),AE364,1),"")</f>
        <v>M</v>
      </c>
      <c r="AE364" s="9">
        <v>164</v>
      </c>
      <c r="AF364" s="9" t="str">
        <f>IFERROR(MID(VLOOKUP($B364,Seqs!$A:$B,2,0),AG364,1),"")</f>
        <v>C</v>
      </c>
      <c r="AG364" s="9">
        <v>173</v>
      </c>
      <c r="AH364" s="9" t="str">
        <f>IFERROR(MID(VLOOKUP($B364,Seqs!$A:$B,2,0),AI364,1),"")</f>
        <v>T</v>
      </c>
      <c r="AI364" s="9">
        <v>175</v>
      </c>
      <c r="AJ364" s="9" t="str">
        <f>IFERROR(MID(VLOOKUP($B364,Seqs!$A:$B,2,0),AK364,1),"")</f>
        <v>S</v>
      </c>
      <c r="AK364" s="9">
        <v>183</v>
      </c>
      <c r="AL364" s="9" t="str">
        <f>IFERROR(MID(VLOOKUP($B364,Seqs!$A:$B,2,0),AM364,1),"")</f>
        <v>S</v>
      </c>
      <c r="AM364" s="9">
        <v>218</v>
      </c>
      <c r="AN364" s="9" t="str">
        <f>IFERROR(MID(VLOOKUP($B364,Seqs!$A:$B,2,0),AO364,1),"")</f>
        <v>H</v>
      </c>
      <c r="AO364" s="9">
        <v>222</v>
      </c>
      <c r="AP364" s="9" t="str">
        <f>IFERROR(MID(VLOOKUP($B364,Seqs!$A:$B,2,0),AQ364,1),"")</f>
        <v>K</v>
      </c>
      <c r="AQ364" s="9">
        <v>257</v>
      </c>
      <c r="AR364" s="9" t="str">
        <f>IFERROR(MID(VLOOKUP($B364,Seqs!$A:$B,2,0),AS364,1),"")</f>
        <v>S</v>
      </c>
      <c r="AS364" s="9">
        <v>262</v>
      </c>
      <c r="AT364" s="9" t="str">
        <f>IFERROR(MID(VLOOKUP($B364,Seqs!$A:$B,2,0),AU364,1),"")</f>
        <v>V</v>
      </c>
      <c r="AU364" s="9">
        <v>294</v>
      </c>
      <c r="AV364" s="9" t="str">
        <f>IFERROR(MID(VLOOKUP($B364,Seqs!$A:$B,2,0),AW364,1),"")</f>
        <v>G</v>
      </c>
      <c r="AW364" s="9">
        <v>295</v>
      </c>
      <c r="AX364" s="9" t="str">
        <f>IFERROR(MID(VLOOKUP($B364,Seqs!$A:$B,2,0),AY364,1),"")</f>
        <v>A</v>
      </c>
      <c r="AY364" s="9">
        <v>307</v>
      </c>
      <c r="AZ364" s="110" t="str">
        <f>VLOOKUP(B364,Classification!A:D,2,0)</f>
        <v>A</v>
      </c>
      <c r="BA364" s="98" t="str">
        <f>VLOOKUP(B364,Classification!A:D,4,0)</f>
        <v>Chemokine</v>
      </c>
      <c r="BB364" s="36" t="b">
        <f t="shared" si="2712"/>
        <v>1</v>
      </c>
      <c r="BC364" s="109">
        <f t="shared" si="2713"/>
        <v>250</v>
      </c>
      <c r="BD364" s="11" t="s">
        <v>23</v>
      </c>
      <c r="BE364" s="9" t="s">
        <v>1291</v>
      </c>
      <c r="BF364" s="119">
        <v>3.5</v>
      </c>
      <c r="BG364" s="51" t="s">
        <v>1</v>
      </c>
      <c r="BH364" s="51" t="s">
        <v>1</v>
      </c>
      <c r="BI364" s="12"/>
      <c r="BJ364" s="111" t="s">
        <v>1287</v>
      </c>
      <c r="BK364" s="112" t="s">
        <v>1287</v>
      </c>
      <c r="BL364" s="112" t="s">
        <v>1287</v>
      </c>
      <c r="BM364" s="112" t="s">
        <v>1287</v>
      </c>
      <c r="BN364" s="112" t="s">
        <v>1287</v>
      </c>
      <c r="BO364" s="112" t="s">
        <v>1287</v>
      </c>
      <c r="BP364" s="112" t="s">
        <v>1287</v>
      </c>
      <c r="BQ364" s="112" t="s">
        <v>1287</v>
      </c>
      <c r="BR364" s="112" t="s">
        <v>1287</v>
      </c>
      <c r="BS364" s="112" t="s">
        <v>1287</v>
      </c>
      <c r="BT364" s="112" t="s">
        <v>1287</v>
      </c>
      <c r="BU364" s="112" t="s">
        <v>1287</v>
      </c>
      <c r="BV364" s="111">
        <f t="shared" si="2714"/>
        <v>25</v>
      </c>
      <c r="BW364" s="113" t="str">
        <f t="shared" si="2715"/>
        <v>-</v>
      </c>
      <c r="BX364" s="114">
        <f t="shared" si="2716"/>
        <v>66</v>
      </c>
      <c r="BY364" s="113" t="str">
        <f t="shared" si="2717"/>
        <v>-</v>
      </c>
      <c r="BZ364" s="114">
        <f t="shared" si="2718"/>
        <v>100</v>
      </c>
      <c r="CA364" s="113" t="str">
        <f t="shared" si="2719"/>
        <v>-</v>
      </c>
      <c r="CB364" s="114">
        <f t="shared" si="2720"/>
        <v>140</v>
      </c>
      <c r="CC364" s="113">
        <f t="shared" si="2721"/>
        <v>173</v>
      </c>
      <c r="CD364" s="114">
        <f t="shared" si="2722"/>
        <v>183</v>
      </c>
      <c r="CE364" s="113">
        <f t="shared" si="2723"/>
        <v>222</v>
      </c>
      <c r="CF364" s="114">
        <f t="shared" si="2724"/>
        <v>262</v>
      </c>
      <c r="CG364" s="113">
        <f t="shared" si="2725"/>
        <v>295</v>
      </c>
      <c r="CH364" s="111">
        <f t="shared" si="2726"/>
        <v>60</v>
      </c>
      <c r="CI364" s="113" t="str">
        <f t="shared" si="2727"/>
        <v>-</v>
      </c>
      <c r="CJ364" s="114">
        <f t="shared" si="2728"/>
        <v>95</v>
      </c>
      <c r="CK364" s="114" t="str">
        <f t="shared" si="2729"/>
        <v>-</v>
      </c>
      <c r="CL364" s="114">
        <f t="shared" si="2730"/>
        <v>134</v>
      </c>
      <c r="CM364" s="114" t="str">
        <f t="shared" si="2731"/>
        <v>-</v>
      </c>
      <c r="CN364" s="114">
        <f t="shared" si="2732"/>
        <v>164</v>
      </c>
      <c r="CO364" s="114">
        <f t="shared" si="2733"/>
        <v>175</v>
      </c>
      <c r="CP364" s="114">
        <f t="shared" si="2734"/>
        <v>218</v>
      </c>
      <c r="CQ364" s="114">
        <f t="shared" si="2735"/>
        <v>257</v>
      </c>
      <c r="CR364" s="114">
        <f t="shared" si="2736"/>
        <v>294</v>
      </c>
      <c r="CS364" s="114">
        <f t="shared" si="2737"/>
        <v>307</v>
      </c>
      <c r="CT364" s="109" t="e">
        <f t="shared" si="2738"/>
        <v>#VALUE!</v>
      </c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  <c r="SG364" s="6"/>
      <c r="SH364" s="6"/>
      <c r="SI364" s="6"/>
      <c r="SJ364" s="6"/>
      <c r="SK364" s="6"/>
      <c r="SL364" s="6"/>
      <c r="SM364" s="6"/>
      <c r="SN364" s="6"/>
      <c r="SO364" s="6"/>
      <c r="SP364" s="6"/>
      <c r="SQ364" s="6"/>
      <c r="SR364" s="6"/>
      <c r="SS364" s="6"/>
      <c r="ST364" s="6"/>
      <c r="SU364" s="6"/>
      <c r="SV364" s="6"/>
      <c r="SW364" s="6"/>
      <c r="SX364" s="6"/>
      <c r="SY364" s="6"/>
      <c r="SZ364" s="6"/>
      <c r="TA364" s="6"/>
      <c r="TB364" s="6"/>
      <c r="TC364" s="6"/>
      <c r="TD364" s="6"/>
      <c r="TE364" s="6"/>
      <c r="TF364" s="6"/>
      <c r="TG364" s="6"/>
      <c r="TH364" s="6"/>
      <c r="TI364" s="6"/>
      <c r="TJ364" s="6"/>
      <c r="TK364" s="6"/>
      <c r="TL364" s="6"/>
      <c r="TM364" s="6"/>
      <c r="TN364" s="6"/>
      <c r="TO364" s="6"/>
      <c r="TP364" s="6"/>
      <c r="TQ364" s="6"/>
      <c r="TR364" s="6"/>
      <c r="TS364" s="6"/>
      <c r="TT364" s="6"/>
      <c r="TU364" s="6"/>
      <c r="TV364" s="6"/>
      <c r="TW364" s="6"/>
      <c r="TX364" s="6"/>
      <c r="TY364" s="6"/>
      <c r="TZ364" s="6"/>
      <c r="UA364" s="6"/>
      <c r="UB364" s="6"/>
      <c r="UC364" s="6"/>
      <c r="UD364" s="6"/>
      <c r="UE364" s="6"/>
      <c r="UF364" s="6"/>
      <c r="UG364" s="6"/>
      <c r="UH364" s="6"/>
      <c r="UI364" s="6"/>
      <c r="UJ364" s="6"/>
      <c r="UK364" s="6"/>
      <c r="UL364" s="6"/>
      <c r="UM364" s="6"/>
      <c r="UN364" s="6"/>
      <c r="UO364" s="6"/>
      <c r="UP364" s="6"/>
      <c r="UQ364" s="6"/>
      <c r="UR364" s="6"/>
      <c r="US364" s="6"/>
      <c r="UT364" s="6"/>
      <c r="UU364" s="6"/>
      <c r="UV364" s="6"/>
      <c r="UW364" s="6"/>
      <c r="UX364" s="6"/>
      <c r="UY364" s="6"/>
      <c r="UZ364" s="6"/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r="VL364" s="6"/>
      <c r="VM364" s="6"/>
      <c r="VN364" s="6"/>
      <c r="VO364" s="6"/>
      <c r="VP364" s="6"/>
      <c r="VQ364" s="6"/>
      <c r="VR364" s="6"/>
      <c r="VS364" s="6"/>
      <c r="VT364" s="6"/>
      <c r="VU364" s="6"/>
      <c r="VV364" s="6"/>
      <c r="VW364" s="6"/>
      <c r="VX364" s="6"/>
      <c r="VY364" s="6"/>
      <c r="VZ364" s="6"/>
      <c r="WA364" s="6"/>
      <c r="WB364" s="6"/>
      <c r="WC364" s="6"/>
      <c r="WD364" s="6"/>
      <c r="WE364" s="6"/>
      <c r="WF364" s="6"/>
      <c r="WG364" s="6"/>
      <c r="WH364" s="6"/>
      <c r="WI364" s="6"/>
      <c r="WJ364" s="6"/>
      <c r="WK364" s="6"/>
      <c r="WL364" s="6"/>
      <c r="WM364" s="6"/>
      <c r="WN364" s="6"/>
      <c r="WO364" s="6"/>
      <c r="WP364" s="6"/>
      <c r="WQ364" s="6"/>
      <c r="WR364" s="6"/>
      <c r="WS364" s="6"/>
      <c r="WT364" s="6"/>
      <c r="WU364" s="6"/>
      <c r="WV364" s="6"/>
      <c r="WW364" s="6"/>
      <c r="WX364" s="6"/>
      <c r="WY364" s="6"/>
      <c r="WZ364" s="6"/>
      <c r="XA364" s="6"/>
      <c r="XB364" s="6"/>
      <c r="XC364" s="6"/>
      <c r="XD364" s="6"/>
      <c r="XE364" s="6"/>
      <c r="XF364" s="6"/>
      <c r="XG364" s="6"/>
      <c r="XH364" s="6"/>
      <c r="XI364" s="6"/>
      <c r="XJ364" s="6"/>
      <c r="XK364" s="6"/>
      <c r="XL364" s="6"/>
      <c r="XM364" s="6"/>
      <c r="XN364" s="6"/>
      <c r="XO364" s="6"/>
      <c r="XP364" s="6"/>
      <c r="XQ364" s="6"/>
      <c r="XR364" s="6"/>
      <c r="XS364" s="6"/>
      <c r="XT364" s="6"/>
      <c r="XU364" s="6"/>
      <c r="XV364" s="6"/>
      <c r="XW364" s="6"/>
      <c r="XX364" s="6"/>
      <c r="XY364" s="6"/>
      <c r="XZ364" s="6"/>
      <c r="YA364" s="6"/>
      <c r="YB364" s="6"/>
      <c r="YC364" s="6"/>
      <c r="YD364" s="6"/>
      <c r="YE364" s="6"/>
      <c r="YF364" s="6"/>
      <c r="YG364" s="6"/>
      <c r="YH364" s="6"/>
      <c r="YI364" s="6"/>
      <c r="YJ364" s="6"/>
      <c r="YK364" s="6"/>
      <c r="YL364" s="6"/>
      <c r="YM364" s="6"/>
      <c r="YN364" s="6"/>
      <c r="YO364" s="6"/>
      <c r="YP364" s="6"/>
      <c r="YQ364" s="6"/>
      <c r="YR364" s="6"/>
      <c r="YS364" s="6"/>
      <c r="YT364" s="6"/>
      <c r="YU364" s="6"/>
      <c r="YV364" s="6"/>
      <c r="YW364" s="6"/>
      <c r="YX364" s="6"/>
      <c r="YY364" s="6"/>
      <c r="YZ364" s="6"/>
      <c r="ZA364" s="6"/>
      <c r="ZB364" s="6"/>
      <c r="ZC364" s="6"/>
      <c r="ZD364" s="6"/>
      <c r="ZE364" s="6"/>
      <c r="ZF364" s="6"/>
      <c r="ZG364" s="6"/>
      <c r="ZH364" s="6"/>
      <c r="ZI364" s="6"/>
      <c r="ZJ364" s="6"/>
      <c r="ZK364" s="6"/>
      <c r="ZL364" s="6"/>
      <c r="ZM364" s="6"/>
      <c r="ZN364" s="6"/>
      <c r="ZO364" s="6"/>
      <c r="ZP364" s="6"/>
      <c r="ZQ364" s="6"/>
      <c r="ZR364" s="6"/>
      <c r="ZS364" s="6"/>
      <c r="ZT364" s="6"/>
      <c r="ZU364" s="6"/>
      <c r="ZV364" s="6"/>
      <c r="ZW364" s="6"/>
      <c r="ZX364" s="6"/>
      <c r="ZY364" s="6"/>
      <c r="ZZ364" s="6"/>
      <c r="AAA364" s="6"/>
      <c r="AAB364" s="6"/>
      <c r="AAC364" s="6"/>
      <c r="AAD364" s="6"/>
      <c r="AAE364" s="6"/>
      <c r="AAF364" s="6"/>
      <c r="AAG364" s="6"/>
      <c r="AAH364" s="6"/>
      <c r="AAI364" s="6"/>
      <c r="AAJ364" s="6"/>
      <c r="AAK364" s="6"/>
      <c r="AAL364" s="6"/>
      <c r="AAM364" s="6"/>
      <c r="AAN364" s="6"/>
      <c r="AAO364" s="6"/>
      <c r="AAP364" s="6"/>
      <c r="AAQ364" s="6"/>
      <c r="AAR364" s="6"/>
      <c r="AAS364" s="6"/>
      <c r="AAT364" s="6"/>
      <c r="AAU364" s="6"/>
      <c r="AAV364" s="6"/>
      <c r="AAW364" s="6"/>
      <c r="AAX364" s="6"/>
      <c r="AAY364" s="6"/>
      <c r="AAZ364" s="6"/>
      <c r="ABA364" s="6"/>
      <c r="ABB364" s="6"/>
      <c r="ABC364" s="6"/>
      <c r="ABD364" s="6"/>
      <c r="ABE364" s="6"/>
      <c r="ABF364" s="6"/>
      <c r="ABG364" s="6"/>
      <c r="ABH364" s="6"/>
      <c r="ABI364" s="6"/>
      <c r="ABJ364" s="6"/>
      <c r="ABK364" s="6"/>
      <c r="ABL364" s="6"/>
      <c r="ABM364" s="6"/>
      <c r="ABN364" s="6"/>
      <c r="ABO364" s="6"/>
      <c r="ABP364" s="6"/>
      <c r="ABQ364" s="6"/>
      <c r="ABR364" s="6"/>
      <c r="ABS364" s="6"/>
      <c r="ABT364" s="6"/>
      <c r="ABU364" s="6"/>
      <c r="ABV364" s="6"/>
      <c r="ABW364" s="6"/>
      <c r="ABX364" s="6"/>
      <c r="ABY364" s="6"/>
      <c r="ABZ364" s="6"/>
      <c r="ACA364" s="6"/>
      <c r="ACB364" s="6"/>
      <c r="ACC364" s="6"/>
      <c r="ACD364" s="6"/>
      <c r="ACE364" s="6"/>
      <c r="ACF364" s="6"/>
      <c r="ACG364" s="6"/>
      <c r="ACH364" s="6"/>
      <c r="ACI364" s="6"/>
      <c r="ACJ364" s="6"/>
      <c r="ACK364" s="6"/>
      <c r="ACL364" s="6"/>
      <c r="ACM364" s="6"/>
      <c r="ACN364" s="6"/>
      <c r="ACO364" s="6"/>
      <c r="ACP364" s="6"/>
      <c r="ACQ364" s="6"/>
      <c r="ACR364" s="6"/>
      <c r="ACS364" s="6"/>
      <c r="ACT364" s="6"/>
      <c r="ACU364" s="6"/>
      <c r="ACV364" s="6"/>
      <c r="ACW364" s="6"/>
      <c r="ACX364" s="6"/>
      <c r="ACY364" s="6"/>
      <c r="ACZ364" s="6"/>
      <c r="ADA364" s="6"/>
      <c r="ADB364" s="6"/>
      <c r="ADC364" s="6"/>
      <c r="ADD364" s="6"/>
      <c r="ADE364" s="6"/>
      <c r="ADF364" s="6"/>
      <c r="ADG364" s="6"/>
      <c r="ADH364" s="6"/>
      <c r="ADI364" s="6"/>
      <c r="ADJ364" s="6"/>
      <c r="ADK364" s="6"/>
      <c r="ADL364" s="6"/>
      <c r="ADM364" s="6"/>
      <c r="ADN364" s="6"/>
      <c r="ADO364" s="6"/>
      <c r="ADP364" s="6"/>
      <c r="ADQ364" s="6"/>
      <c r="ADR364" s="6"/>
      <c r="ADS364" s="6"/>
      <c r="ADT364" s="6"/>
      <c r="ADU364" s="6"/>
      <c r="ADV364" s="6"/>
      <c r="ADW364" s="6"/>
      <c r="ADX364" s="6"/>
      <c r="ADY364" s="6"/>
      <c r="ADZ364" s="6"/>
      <c r="AEA364" s="6"/>
      <c r="AEB364" s="6"/>
      <c r="AEC364" s="6"/>
      <c r="AED364" s="6"/>
      <c r="AEE364" s="6"/>
      <c r="AEF364" s="6"/>
      <c r="AEG364" s="6"/>
      <c r="AEH364" s="6"/>
      <c r="AEI364" s="6"/>
      <c r="AEJ364" s="6"/>
      <c r="AEK364" s="6"/>
      <c r="AEL364" s="6"/>
      <c r="AEM364" s="6"/>
      <c r="AEN364" s="6"/>
      <c r="AEO364" s="6"/>
      <c r="AEP364" s="6"/>
      <c r="AEQ364" s="6"/>
      <c r="AER364" s="6"/>
      <c r="AES364" s="6"/>
      <c r="AET364" s="6"/>
      <c r="AEU364" s="6"/>
      <c r="AEV364" s="6"/>
      <c r="AEW364" s="6"/>
      <c r="AEX364" s="6"/>
      <c r="AEY364" s="6"/>
      <c r="AEZ364" s="6"/>
      <c r="AFA364" s="6"/>
      <c r="AFB364" s="6"/>
      <c r="AFC364" s="6"/>
      <c r="AFD364" s="6"/>
      <c r="AFE364" s="6"/>
      <c r="AFF364" s="6"/>
      <c r="AFG364" s="6"/>
      <c r="AFH364" s="6"/>
      <c r="AFI364" s="6"/>
      <c r="AFJ364" s="6"/>
      <c r="AFK364" s="6"/>
      <c r="AFL364" s="6"/>
      <c r="AFM364" s="6"/>
      <c r="AFN364" s="6"/>
      <c r="AFO364" s="6"/>
      <c r="AFP364" s="6"/>
      <c r="AFQ364" s="6"/>
      <c r="AFR364" s="6"/>
      <c r="AFS364" s="6"/>
      <c r="AFT364" s="6"/>
      <c r="AFU364" s="6"/>
      <c r="AFV364" s="6"/>
      <c r="AFW364" s="6"/>
      <c r="AFX364" s="6"/>
      <c r="AFY364" s="6"/>
      <c r="AFZ364" s="6"/>
      <c r="AGA364" s="6"/>
      <c r="AGB364" s="6"/>
      <c r="AGC364" s="6"/>
      <c r="AGD364" s="6"/>
      <c r="AGE364" s="6"/>
      <c r="AGF364" s="6"/>
      <c r="AGG364" s="6"/>
      <c r="AGH364" s="6"/>
      <c r="AGI364" s="6"/>
      <c r="AGJ364" s="6"/>
      <c r="AGK364" s="6"/>
      <c r="AGL364" s="6"/>
      <c r="AGM364" s="6"/>
      <c r="AGN364" s="6"/>
      <c r="AGO364" s="6"/>
      <c r="AGP364" s="6"/>
      <c r="AGQ364" s="6"/>
      <c r="AGR364" s="6"/>
      <c r="AGS364" s="6"/>
      <c r="AGT364" s="6"/>
      <c r="AGU364" s="6"/>
      <c r="AGV364" s="6"/>
      <c r="AGW364" s="6"/>
      <c r="AGX364" s="6"/>
      <c r="AGY364" s="6"/>
      <c r="AGZ364" s="6"/>
      <c r="AHA364" s="6"/>
      <c r="AHB364" s="6"/>
      <c r="AHC364" s="6"/>
      <c r="AHD364" s="6"/>
      <c r="AHE364" s="6"/>
      <c r="AHF364" s="6"/>
      <c r="AHG364" s="6"/>
      <c r="AHH364" s="6"/>
      <c r="AHI364" s="6"/>
      <c r="AHJ364" s="6"/>
      <c r="AHK364" s="6"/>
      <c r="AHL364" s="6"/>
      <c r="AHM364" s="6"/>
      <c r="AHN364" s="6"/>
      <c r="AHO364" s="6"/>
      <c r="AHP364" s="6"/>
      <c r="AHQ364" s="6"/>
      <c r="AHR364" s="6"/>
      <c r="AHS364" s="6"/>
      <c r="AHT364" s="6"/>
      <c r="AHU364" s="6"/>
      <c r="AHV364" s="6"/>
      <c r="AHW364" s="6"/>
      <c r="AHX364" s="6"/>
      <c r="AHY364" s="6"/>
      <c r="AHZ364" s="6"/>
      <c r="AIA364" s="6"/>
      <c r="AIB364" s="6"/>
      <c r="AIC364" s="6"/>
      <c r="AID364" s="6"/>
      <c r="AIE364" s="6"/>
      <c r="AIF364" s="6"/>
      <c r="AIG364" s="6"/>
      <c r="AIH364" s="6"/>
      <c r="AII364" s="6"/>
      <c r="AIJ364" s="6"/>
      <c r="AIK364" s="6"/>
      <c r="AIL364" s="6"/>
      <c r="AIM364" s="6"/>
      <c r="AIN364" s="6"/>
      <c r="AIO364" s="6"/>
      <c r="AIP364" s="6"/>
      <c r="AIQ364" s="6"/>
      <c r="AIR364" s="6"/>
      <c r="AIS364" s="6"/>
      <c r="AIT364" s="6"/>
      <c r="AIU364" s="6"/>
      <c r="AIV364" s="6"/>
      <c r="AIW364" s="6"/>
      <c r="AIX364" s="6"/>
      <c r="AIY364" s="6"/>
      <c r="AIZ364" s="6"/>
      <c r="AJA364" s="6"/>
      <c r="AJB364" s="6"/>
      <c r="AJC364" s="6"/>
      <c r="AJD364" s="6"/>
      <c r="AJE364" s="6"/>
      <c r="AJF364" s="6"/>
      <c r="AJG364" s="6"/>
      <c r="AJH364" s="6"/>
      <c r="AJI364" s="6"/>
      <c r="AJJ364" s="6"/>
      <c r="AJK364" s="6"/>
      <c r="AJL364" s="6"/>
      <c r="AJM364" s="6"/>
      <c r="AJN364" s="6"/>
      <c r="AJO364" s="6"/>
      <c r="AJP364" s="6"/>
      <c r="AJQ364" s="6"/>
      <c r="AJR364" s="6"/>
      <c r="AJS364" s="6"/>
      <c r="AJT364" s="6"/>
      <c r="AJU364" s="6"/>
      <c r="AJV364" s="6"/>
      <c r="AJW364" s="6"/>
      <c r="AJX364" s="6"/>
      <c r="AJY364" s="6"/>
      <c r="AJZ364" s="6"/>
      <c r="AKA364" s="6"/>
      <c r="AKB364" s="6"/>
      <c r="AKC364" s="6"/>
      <c r="AKD364" s="6"/>
      <c r="AKE364" s="6"/>
      <c r="AKF364" s="6"/>
      <c r="AKG364" s="6"/>
      <c r="AKH364" s="6"/>
      <c r="AKI364" s="6"/>
      <c r="AKJ364" s="6"/>
      <c r="AKK364" s="6"/>
      <c r="AKL364" s="6"/>
      <c r="AKM364" s="6"/>
      <c r="AKN364" s="6"/>
      <c r="AKO364" s="6"/>
      <c r="AKP364" s="6"/>
      <c r="AKQ364" s="6"/>
      <c r="AKR364" s="6"/>
      <c r="AKS364" s="6"/>
      <c r="AKT364" s="6"/>
      <c r="AKU364" s="6"/>
      <c r="AKV364" s="6"/>
      <c r="AKW364" s="6"/>
      <c r="AKX364" s="6"/>
      <c r="AKY364" s="6"/>
      <c r="AKZ364" s="6"/>
      <c r="ALA364" s="6"/>
      <c r="ALB364" s="6"/>
      <c r="ALC364" s="6"/>
      <c r="ALD364" s="6"/>
      <c r="ALE364" s="6"/>
      <c r="ALF364" s="6"/>
      <c r="ALG364" s="6"/>
      <c r="ALH364" s="6"/>
      <c r="ALI364" s="6"/>
      <c r="ALJ364" s="6"/>
      <c r="ALK364" s="6"/>
      <c r="ALL364" s="6"/>
      <c r="ALM364" s="6"/>
      <c r="ALN364" s="6"/>
      <c r="ALO364" s="6"/>
      <c r="ALP364" s="6"/>
      <c r="ALQ364" s="6"/>
      <c r="ALR364" s="6"/>
      <c r="ALS364" s="6"/>
      <c r="ALT364" s="6"/>
      <c r="ALU364" s="6"/>
      <c r="ALV364" s="6"/>
      <c r="ALW364" s="6"/>
      <c r="ALX364" s="6"/>
      <c r="ALY364" s="6"/>
      <c r="ALZ364" s="6"/>
      <c r="AMA364" s="6"/>
      <c r="AMB364" s="6"/>
      <c r="AMC364" s="6"/>
      <c r="AMD364" s="6"/>
      <c r="AME364" s="6"/>
      <c r="AMF364" s="6"/>
      <c r="AMG364" s="6"/>
      <c r="AMH364" s="6"/>
      <c r="AMI364" s="6"/>
      <c r="AMJ364" s="6"/>
      <c r="AMK364" s="6"/>
      <c r="AML364" s="6"/>
      <c r="AMM364" s="6"/>
      <c r="AMN364" s="6"/>
      <c r="AMO364" s="6"/>
      <c r="AMP364" s="6"/>
    </row>
    <row r="365" spans="1:1030" x14ac:dyDescent="0.2">
      <c r="A365" s="9" t="str">
        <f t="shared" ref="A365:A366" si="2740">CONCATENATE(B365,"_",C365)</f>
        <v>ta2r_human__wt</v>
      </c>
      <c r="B365" s="40" t="s">
        <v>473</v>
      </c>
      <c r="C365" s="9" t="s">
        <v>100</v>
      </c>
      <c r="D365" s="9" t="str">
        <f>IFERROR(MID(VLOOKUP($B365,Seqs!$A:$B,2,0),E365,1),"")</f>
        <v>S</v>
      </c>
      <c r="E365" s="9">
        <v>27</v>
      </c>
      <c r="F365" s="9" t="str">
        <f>IFERROR(MID(VLOOKUP($B365,Seqs!$A:$B,2,0),G365,1),"")</f>
        <v>Q</v>
      </c>
      <c r="G365" s="9">
        <v>54</v>
      </c>
      <c r="H365" s="9" t="str">
        <f>IFERROR(MID(VLOOKUP($B365,Seqs!$A:$B,2,0),I365,1),"")</f>
        <v/>
      </c>
      <c r="I365" s="109" t="s">
        <v>23</v>
      </c>
      <c r="J365" s="9" t="str">
        <f>IFERROR(MID(VLOOKUP($B365,Seqs!$A:$B,2,0),K365,1),"")</f>
        <v/>
      </c>
      <c r="K365" s="109" t="s">
        <v>23</v>
      </c>
      <c r="L365" s="9" t="str">
        <f>IFERROR(MID(VLOOKUP($B365,Seqs!$A:$B,2,0),M365,1),"")</f>
        <v>S</v>
      </c>
      <c r="M365" s="9">
        <v>61</v>
      </c>
      <c r="N365" s="9" t="str">
        <f>IFERROR(MID(VLOOKUP($B365,Seqs!$A:$B,2,0),O365,1),"")</f>
        <v>A</v>
      </c>
      <c r="O365" s="9">
        <v>91</v>
      </c>
      <c r="P365" s="9" t="str">
        <f>IFERROR(MID(VLOOKUP($B365,Seqs!$A:$B,2,0),Q365,1),"")</f>
        <v>E</v>
      </c>
      <c r="Q365" s="9">
        <v>94</v>
      </c>
      <c r="R365" s="9" t="str">
        <f>IFERROR(MID(VLOOKUP($B365,Seqs!$A:$B,2,0),S365,1),"")</f>
        <v>V</v>
      </c>
      <c r="S365" s="9">
        <v>98</v>
      </c>
      <c r="T365" s="9" t="str">
        <f>IFERROR(MID(VLOOKUP($B365,Seqs!$A:$B,2,0),U365,1),"")</f>
        <v>C</v>
      </c>
      <c r="U365" s="9">
        <v>102</v>
      </c>
      <c r="V365" s="9" t="str">
        <f>IFERROR(MID(VLOOKUP($B365,Seqs!$A:$B,2,0),W365,1),"")</f>
        <v>R</v>
      </c>
      <c r="W365" s="9">
        <v>136</v>
      </c>
      <c r="X365" s="9" t="str">
        <f>IFERROR(MID(VLOOKUP($B365,Seqs!$A:$B,2,0),Y365,1),"")</f>
        <v>P</v>
      </c>
      <c r="Y365" s="9">
        <v>137</v>
      </c>
      <c r="Z365" s="9" t="str">
        <f>IFERROR(MID(VLOOKUP($B365,Seqs!$A:$B,2,0),AA365,1),"")</f>
        <v>A</v>
      </c>
      <c r="AA365" s="9">
        <v>144</v>
      </c>
      <c r="AB365" s="9" t="str">
        <f>IFERROR(MID(VLOOKUP($B365,Seqs!$A:$B,2,0),AC365,1),"")</f>
        <v>S</v>
      </c>
      <c r="AC365" s="9">
        <v>145</v>
      </c>
      <c r="AD365" s="9" t="str">
        <f>IFERROR(MID(VLOOKUP($B365,Seqs!$A:$B,2,0),AE365,1),"")</f>
        <v>G</v>
      </c>
      <c r="AE365" s="9">
        <v>170</v>
      </c>
      <c r="AF365" s="9" t="str">
        <f>IFERROR(MID(VLOOKUP($B365,Seqs!$A:$B,2,0),AG365,1),"")</f>
        <v>C</v>
      </c>
      <c r="AG365" s="9">
        <v>183</v>
      </c>
      <c r="AH365" s="9" t="str">
        <f>IFERROR(MID(VLOOKUP($B365,Seqs!$A:$B,2,0),AI365,1),"")</f>
        <v>L</v>
      </c>
      <c r="AI365" s="9">
        <v>185</v>
      </c>
      <c r="AJ365" s="9" t="str">
        <f>IFERROR(MID(VLOOKUP($B365,Seqs!$A:$B,2,0),AK365,1),"")</f>
        <v>E</v>
      </c>
      <c r="AK365" s="9">
        <v>190</v>
      </c>
      <c r="AL365" s="9" t="str">
        <f>IFERROR(MID(VLOOKUP($B365,Seqs!$A:$B,2,0),AM365,1),"")</f>
        <v>P</v>
      </c>
      <c r="AM365" s="9">
        <v>236</v>
      </c>
      <c r="AN365" s="9" t="str">
        <f>IFERROR(MID(VLOOKUP($B365,Seqs!$A:$B,2,0),AO365,1),"")</f>
        <v>E</v>
      </c>
      <c r="AO365" s="9">
        <v>240</v>
      </c>
      <c r="AP365" s="9" t="str">
        <f>IFERROR(MID(VLOOKUP($B365,Seqs!$A:$B,2,0),AQ365,1),"")</f>
        <v>R</v>
      </c>
      <c r="AQ365" s="9">
        <v>271</v>
      </c>
      <c r="AR365" s="9" t="str">
        <f>IFERROR(MID(VLOOKUP($B365,Seqs!$A:$B,2,0),AS365,1),"")</f>
        <v>S</v>
      </c>
      <c r="AS365" s="9">
        <v>283</v>
      </c>
      <c r="AT365" s="9" t="str">
        <f>IFERROR(MID(VLOOKUP($B365,Seqs!$A:$B,2,0),AU365,1),"")</f>
        <v>F</v>
      </c>
      <c r="AU365" s="9">
        <v>311</v>
      </c>
      <c r="AV365" s="9" t="str">
        <f>IFERROR(MID(VLOOKUP($B365,Seqs!$A:$B,2,0),AW365,1),"")</f>
        <v>R</v>
      </c>
      <c r="AW365" s="9">
        <v>312</v>
      </c>
      <c r="AX365" s="9" t="str">
        <f>IFERROR(MID(VLOOKUP($B365,Seqs!$A:$B,2,0),AY365,1),"")</f>
        <v>S</v>
      </c>
      <c r="AY365" s="9">
        <v>331</v>
      </c>
      <c r="AZ365" s="110" t="str">
        <f>VLOOKUP(B365,Classification!A:D,2,0)</f>
        <v>A</v>
      </c>
      <c r="BA365" s="98" t="str">
        <f>VLOOKUP(B365,Classification!A:D,4,0)</f>
        <v>Prostanoid</v>
      </c>
      <c r="BB365" s="36" t="b">
        <f t="shared" ref="BB365:BB366" si="2741">AND(E365&lt;G365,OR(G365&lt;I365,I365="-"),OR(I365&lt;K365,I365="-"),OR(K365&lt;M365,K365="-"),M365&lt;O365,OR(O365&lt;Q365,Q365="-"),OR(Q365&lt;S365,Q365="-"),OR(S365&lt;U365,S365="-"),U365&lt;W365,OR(W365&lt;Y365,Y365="-"),OR(Y365&lt;AA365,Y365="-"),OR(AA365&lt;AC365,AA365="-"),AC365&lt;AE365,OR(AE365&lt;AG365,AG365="-"),OR(AG365&lt;AI365,AG365="-"),OR(AI365&lt;AK365,AI365="-"),AK365&lt;AM365,AM365&lt;AO365,AO365&lt;AQ365,AQ365&lt;AS365,AS365&lt;AU365,OR(AU365&lt;AW365,AW365="-"),OR(AW365&lt;AY365,AW365="-"))</f>
        <v>1</v>
      </c>
      <c r="BC365" s="109">
        <f t="shared" ref="BC365:BC366" si="2742">_xlfn.AGGREGATE(9,6,CH365:CS365)-_xlfn.AGGREGATE(9,6,BV365:CG365)+12</f>
        <v>265</v>
      </c>
      <c r="BD365" s="11" t="s">
        <v>23</v>
      </c>
      <c r="BE365" s="9" t="s">
        <v>23</v>
      </c>
      <c r="BF365" s="119" t="s">
        <v>23</v>
      </c>
      <c r="BG365" s="51" t="s">
        <v>1</v>
      </c>
      <c r="BH365" s="51" t="s">
        <v>1</v>
      </c>
      <c r="BI365" s="12"/>
      <c r="BJ365" s="111" t="s">
        <v>1287</v>
      </c>
      <c r="BK365" s="112" t="s">
        <v>1287</v>
      </c>
      <c r="BL365" s="112" t="s">
        <v>1287</v>
      </c>
      <c r="BM365" s="112" t="s">
        <v>1287</v>
      </c>
      <c r="BN365" s="112" t="s">
        <v>1287</v>
      </c>
      <c r="BO365" s="112" t="s">
        <v>1287</v>
      </c>
      <c r="BP365" s="112" t="s">
        <v>1287</v>
      </c>
      <c r="BQ365" s="112" t="s">
        <v>1287</v>
      </c>
      <c r="BR365" s="112" t="s">
        <v>1287</v>
      </c>
      <c r="BS365" s="112" t="s">
        <v>1287</v>
      </c>
      <c r="BT365" s="112" t="s">
        <v>1287</v>
      </c>
      <c r="BU365" s="112" t="s">
        <v>1287</v>
      </c>
      <c r="BV365" s="111">
        <f t="shared" ref="BV365:BV366" si="2743">E365</f>
        <v>27</v>
      </c>
      <c r="BW365" s="113" t="str">
        <f t="shared" ref="BW365:BW366" si="2744">I365</f>
        <v>-</v>
      </c>
      <c r="BX365" s="114">
        <f t="shared" ref="BX365:BX366" si="2745">M365</f>
        <v>61</v>
      </c>
      <c r="BY365" s="113">
        <f t="shared" ref="BY365:BY366" si="2746">Q365</f>
        <v>94</v>
      </c>
      <c r="BZ365" s="114">
        <f t="shared" ref="BZ365:BZ366" si="2747">U365</f>
        <v>102</v>
      </c>
      <c r="CA365" s="113">
        <f t="shared" ref="CA365:CA366" si="2748">Y365</f>
        <v>137</v>
      </c>
      <c r="CB365" s="114">
        <f t="shared" ref="CB365:CB366" si="2749">AC365</f>
        <v>145</v>
      </c>
      <c r="CC365" s="113">
        <f t="shared" ref="CC365:CC366" si="2750">AG365</f>
        <v>183</v>
      </c>
      <c r="CD365" s="114">
        <f t="shared" ref="CD365:CD366" si="2751">AK365</f>
        <v>190</v>
      </c>
      <c r="CE365" s="113">
        <f t="shared" ref="CE365:CE366" si="2752">AO365</f>
        <v>240</v>
      </c>
      <c r="CF365" s="114">
        <f t="shared" ref="CF365:CF366" si="2753">AS365</f>
        <v>283</v>
      </c>
      <c r="CG365" s="113">
        <f t="shared" ref="CG365:CG366" si="2754">AW365</f>
        <v>312</v>
      </c>
      <c r="CH365" s="111">
        <f t="shared" ref="CH365:CH366" si="2755">G365</f>
        <v>54</v>
      </c>
      <c r="CI365" s="113" t="str">
        <f t="shared" ref="CI365:CI366" si="2756">K365</f>
        <v>-</v>
      </c>
      <c r="CJ365" s="114">
        <f t="shared" ref="CJ365:CJ366" si="2757">O365</f>
        <v>91</v>
      </c>
      <c r="CK365" s="114">
        <f t="shared" ref="CK365:CK366" si="2758">S365</f>
        <v>98</v>
      </c>
      <c r="CL365" s="114">
        <f t="shared" ref="CL365:CL366" si="2759">W365</f>
        <v>136</v>
      </c>
      <c r="CM365" s="114">
        <f t="shared" ref="CM365:CM366" si="2760">AA365</f>
        <v>144</v>
      </c>
      <c r="CN365" s="114">
        <f t="shared" ref="CN365:CN366" si="2761">AE365</f>
        <v>170</v>
      </c>
      <c r="CO365" s="114">
        <f t="shared" ref="CO365:CO366" si="2762">AI365</f>
        <v>185</v>
      </c>
      <c r="CP365" s="114">
        <f t="shared" ref="CP365:CP366" si="2763">AM365</f>
        <v>236</v>
      </c>
      <c r="CQ365" s="114">
        <f t="shared" ref="CQ365:CQ366" si="2764">AQ365</f>
        <v>271</v>
      </c>
      <c r="CR365" s="114">
        <f t="shared" ref="CR365:CR366" si="2765">AU365</f>
        <v>311</v>
      </c>
      <c r="CS365" s="114">
        <f t="shared" ref="CS365:CS366" si="2766">AY365</f>
        <v>331</v>
      </c>
      <c r="CT365" s="109" t="e">
        <f t="shared" ref="CT365:CT366" si="2767">M365-K365</f>
        <v>#VALUE!</v>
      </c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  <c r="SG365" s="6"/>
      <c r="SH365" s="6"/>
      <c r="SI365" s="6"/>
      <c r="SJ365" s="6"/>
      <c r="SK365" s="6"/>
      <c r="SL365" s="6"/>
      <c r="SM365" s="6"/>
      <c r="SN365" s="6"/>
      <c r="SO365" s="6"/>
      <c r="SP365" s="6"/>
      <c r="SQ365" s="6"/>
      <c r="SR365" s="6"/>
      <c r="SS365" s="6"/>
      <c r="ST365" s="6"/>
      <c r="SU365" s="6"/>
      <c r="SV365" s="6"/>
      <c r="SW365" s="6"/>
      <c r="SX365" s="6"/>
      <c r="SY365" s="6"/>
      <c r="SZ365" s="6"/>
      <c r="TA365" s="6"/>
      <c r="TB365" s="6"/>
      <c r="TC365" s="6"/>
      <c r="TD365" s="6"/>
      <c r="TE365" s="6"/>
      <c r="TF365" s="6"/>
      <c r="TG365" s="6"/>
      <c r="TH365" s="6"/>
      <c r="TI365" s="6"/>
      <c r="TJ365" s="6"/>
      <c r="TK365" s="6"/>
      <c r="TL365" s="6"/>
      <c r="TM365" s="6"/>
      <c r="TN365" s="6"/>
      <c r="TO365" s="6"/>
      <c r="TP365" s="6"/>
      <c r="TQ365" s="6"/>
      <c r="TR365" s="6"/>
      <c r="TS365" s="6"/>
      <c r="TT365" s="6"/>
      <c r="TU365" s="6"/>
      <c r="TV365" s="6"/>
      <c r="TW365" s="6"/>
      <c r="TX365" s="6"/>
      <c r="TY365" s="6"/>
      <c r="TZ365" s="6"/>
      <c r="UA365" s="6"/>
      <c r="UB365" s="6"/>
      <c r="UC365" s="6"/>
      <c r="UD365" s="6"/>
      <c r="UE365" s="6"/>
      <c r="UF365" s="6"/>
      <c r="UG365" s="6"/>
      <c r="UH365" s="6"/>
      <c r="UI365" s="6"/>
      <c r="UJ365" s="6"/>
      <c r="UK365" s="6"/>
      <c r="UL365" s="6"/>
      <c r="UM365" s="6"/>
      <c r="UN365" s="6"/>
      <c r="UO365" s="6"/>
      <c r="UP365" s="6"/>
      <c r="UQ365" s="6"/>
      <c r="UR365" s="6"/>
      <c r="US365" s="6"/>
      <c r="UT365" s="6"/>
      <c r="UU365" s="6"/>
      <c r="UV365" s="6"/>
      <c r="UW365" s="6"/>
      <c r="UX365" s="6"/>
      <c r="UY365" s="6"/>
      <c r="UZ365" s="6"/>
      <c r="VA365" s="6"/>
      <c r="VB365" s="6"/>
      <c r="VC365" s="6"/>
      <c r="VD365" s="6"/>
      <c r="VE365" s="6"/>
      <c r="VF365" s="6"/>
      <c r="VG365" s="6"/>
      <c r="VH365" s="6"/>
      <c r="VI365" s="6"/>
      <c r="VJ365" s="6"/>
      <c r="VK365" s="6"/>
      <c r="VL365" s="6"/>
      <c r="VM365" s="6"/>
      <c r="VN365" s="6"/>
      <c r="VO365" s="6"/>
      <c r="VP365" s="6"/>
      <c r="VQ365" s="6"/>
      <c r="VR365" s="6"/>
      <c r="VS365" s="6"/>
      <c r="VT365" s="6"/>
      <c r="VU365" s="6"/>
      <c r="VV365" s="6"/>
      <c r="VW365" s="6"/>
      <c r="VX365" s="6"/>
      <c r="VY365" s="6"/>
      <c r="VZ365" s="6"/>
      <c r="WA365" s="6"/>
      <c r="WB365" s="6"/>
      <c r="WC365" s="6"/>
      <c r="WD365" s="6"/>
      <c r="WE365" s="6"/>
      <c r="WF365" s="6"/>
      <c r="WG365" s="6"/>
      <c r="WH365" s="6"/>
      <c r="WI365" s="6"/>
      <c r="WJ365" s="6"/>
      <c r="WK365" s="6"/>
      <c r="WL365" s="6"/>
      <c r="WM365" s="6"/>
      <c r="WN365" s="6"/>
      <c r="WO365" s="6"/>
      <c r="WP365" s="6"/>
      <c r="WQ365" s="6"/>
      <c r="WR365" s="6"/>
      <c r="WS365" s="6"/>
      <c r="WT365" s="6"/>
      <c r="WU365" s="6"/>
      <c r="WV365" s="6"/>
      <c r="WW365" s="6"/>
      <c r="WX365" s="6"/>
      <c r="WY365" s="6"/>
      <c r="WZ365" s="6"/>
      <c r="XA365" s="6"/>
      <c r="XB365" s="6"/>
      <c r="XC365" s="6"/>
      <c r="XD365" s="6"/>
      <c r="XE365" s="6"/>
      <c r="XF365" s="6"/>
      <c r="XG365" s="6"/>
      <c r="XH365" s="6"/>
      <c r="XI365" s="6"/>
      <c r="XJ365" s="6"/>
      <c r="XK365" s="6"/>
      <c r="XL365" s="6"/>
      <c r="XM365" s="6"/>
      <c r="XN365" s="6"/>
      <c r="XO365" s="6"/>
      <c r="XP365" s="6"/>
      <c r="XQ365" s="6"/>
      <c r="XR365" s="6"/>
      <c r="XS365" s="6"/>
      <c r="XT365" s="6"/>
      <c r="XU365" s="6"/>
      <c r="XV365" s="6"/>
      <c r="XW365" s="6"/>
      <c r="XX365" s="6"/>
      <c r="XY365" s="6"/>
      <c r="XZ365" s="6"/>
      <c r="YA365" s="6"/>
      <c r="YB365" s="6"/>
      <c r="YC365" s="6"/>
      <c r="YD365" s="6"/>
      <c r="YE365" s="6"/>
      <c r="YF365" s="6"/>
      <c r="YG365" s="6"/>
      <c r="YH365" s="6"/>
      <c r="YI365" s="6"/>
      <c r="YJ365" s="6"/>
      <c r="YK365" s="6"/>
      <c r="YL365" s="6"/>
      <c r="YM365" s="6"/>
      <c r="YN365" s="6"/>
      <c r="YO365" s="6"/>
      <c r="YP365" s="6"/>
      <c r="YQ365" s="6"/>
      <c r="YR365" s="6"/>
      <c r="YS365" s="6"/>
      <c r="YT365" s="6"/>
      <c r="YU365" s="6"/>
      <c r="YV365" s="6"/>
      <c r="YW365" s="6"/>
      <c r="YX365" s="6"/>
      <c r="YY365" s="6"/>
      <c r="YZ365" s="6"/>
      <c r="ZA365" s="6"/>
      <c r="ZB365" s="6"/>
      <c r="ZC365" s="6"/>
      <c r="ZD365" s="6"/>
      <c r="ZE365" s="6"/>
      <c r="ZF365" s="6"/>
      <c r="ZG365" s="6"/>
      <c r="ZH365" s="6"/>
      <c r="ZI365" s="6"/>
      <c r="ZJ365" s="6"/>
      <c r="ZK365" s="6"/>
      <c r="ZL365" s="6"/>
      <c r="ZM365" s="6"/>
      <c r="ZN365" s="6"/>
      <c r="ZO365" s="6"/>
      <c r="ZP365" s="6"/>
      <c r="ZQ365" s="6"/>
      <c r="ZR365" s="6"/>
      <c r="ZS365" s="6"/>
      <c r="ZT365" s="6"/>
      <c r="ZU365" s="6"/>
      <c r="ZV365" s="6"/>
      <c r="ZW365" s="6"/>
      <c r="ZX365" s="6"/>
      <c r="ZY365" s="6"/>
      <c r="ZZ365" s="6"/>
      <c r="AAA365" s="6"/>
      <c r="AAB365" s="6"/>
      <c r="AAC365" s="6"/>
      <c r="AAD365" s="6"/>
      <c r="AAE365" s="6"/>
      <c r="AAF365" s="6"/>
      <c r="AAG365" s="6"/>
      <c r="AAH365" s="6"/>
      <c r="AAI365" s="6"/>
      <c r="AAJ365" s="6"/>
      <c r="AAK365" s="6"/>
      <c r="AAL365" s="6"/>
      <c r="AAM365" s="6"/>
      <c r="AAN365" s="6"/>
      <c r="AAO365" s="6"/>
      <c r="AAP365" s="6"/>
      <c r="AAQ365" s="6"/>
      <c r="AAR365" s="6"/>
      <c r="AAS365" s="6"/>
      <c r="AAT365" s="6"/>
      <c r="AAU365" s="6"/>
      <c r="AAV365" s="6"/>
      <c r="AAW365" s="6"/>
      <c r="AAX365" s="6"/>
      <c r="AAY365" s="6"/>
      <c r="AAZ365" s="6"/>
      <c r="ABA365" s="6"/>
      <c r="ABB365" s="6"/>
      <c r="ABC365" s="6"/>
      <c r="ABD365" s="6"/>
      <c r="ABE365" s="6"/>
      <c r="ABF365" s="6"/>
      <c r="ABG365" s="6"/>
      <c r="ABH365" s="6"/>
      <c r="ABI365" s="6"/>
      <c r="ABJ365" s="6"/>
      <c r="ABK365" s="6"/>
      <c r="ABL365" s="6"/>
      <c r="ABM365" s="6"/>
      <c r="ABN365" s="6"/>
      <c r="ABO365" s="6"/>
      <c r="ABP365" s="6"/>
      <c r="ABQ365" s="6"/>
      <c r="ABR365" s="6"/>
      <c r="ABS365" s="6"/>
      <c r="ABT365" s="6"/>
      <c r="ABU365" s="6"/>
      <c r="ABV365" s="6"/>
      <c r="ABW365" s="6"/>
      <c r="ABX365" s="6"/>
      <c r="ABY365" s="6"/>
      <c r="ABZ365" s="6"/>
      <c r="ACA365" s="6"/>
      <c r="ACB365" s="6"/>
      <c r="ACC365" s="6"/>
      <c r="ACD365" s="6"/>
      <c r="ACE365" s="6"/>
      <c r="ACF365" s="6"/>
      <c r="ACG365" s="6"/>
      <c r="ACH365" s="6"/>
      <c r="ACI365" s="6"/>
      <c r="ACJ365" s="6"/>
      <c r="ACK365" s="6"/>
      <c r="ACL365" s="6"/>
      <c r="ACM365" s="6"/>
      <c r="ACN365" s="6"/>
      <c r="ACO365" s="6"/>
      <c r="ACP365" s="6"/>
      <c r="ACQ365" s="6"/>
      <c r="ACR365" s="6"/>
      <c r="ACS365" s="6"/>
      <c r="ACT365" s="6"/>
      <c r="ACU365" s="6"/>
      <c r="ACV365" s="6"/>
      <c r="ACW365" s="6"/>
      <c r="ACX365" s="6"/>
      <c r="ACY365" s="6"/>
      <c r="ACZ365" s="6"/>
      <c r="ADA365" s="6"/>
      <c r="ADB365" s="6"/>
      <c r="ADC365" s="6"/>
      <c r="ADD365" s="6"/>
      <c r="ADE365" s="6"/>
      <c r="ADF365" s="6"/>
      <c r="ADG365" s="6"/>
      <c r="ADH365" s="6"/>
      <c r="ADI365" s="6"/>
      <c r="ADJ365" s="6"/>
      <c r="ADK365" s="6"/>
      <c r="ADL365" s="6"/>
      <c r="ADM365" s="6"/>
      <c r="ADN365" s="6"/>
      <c r="ADO365" s="6"/>
      <c r="ADP365" s="6"/>
      <c r="ADQ365" s="6"/>
      <c r="ADR365" s="6"/>
      <c r="ADS365" s="6"/>
      <c r="ADT365" s="6"/>
      <c r="ADU365" s="6"/>
      <c r="ADV365" s="6"/>
      <c r="ADW365" s="6"/>
      <c r="ADX365" s="6"/>
      <c r="ADY365" s="6"/>
      <c r="ADZ365" s="6"/>
      <c r="AEA365" s="6"/>
      <c r="AEB365" s="6"/>
      <c r="AEC365" s="6"/>
      <c r="AED365" s="6"/>
      <c r="AEE365" s="6"/>
      <c r="AEF365" s="6"/>
      <c r="AEG365" s="6"/>
      <c r="AEH365" s="6"/>
      <c r="AEI365" s="6"/>
      <c r="AEJ365" s="6"/>
      <c r="AEK365" s="6"/>
      <c r="AEL365" s="6"/>
      <c r="AEM365" s="6"/>
      <c r="AEN365" s="6"/>
      <c r="AEO365" s="6"/>
      <c r="AEP365" s="6"/>
      <c r="AEQ365" s="6"/>
      <c r="AER365" s="6"/>
      <c r="AES365" s="6"/>
      <c r="AET365" s="6"/>
      <c r="AEU365" s="6"/>
      <c r="AEV365" s="6"/>
      <c r="AEW365" s="6"/>
      <c r="AEX365" s="6"/>
      <c r="AEY365" s="6"/>
      <c r="AEZ365" s="6"/>
      <c r="AFA365" s="6"/>
      <c r="AFB365" s="6"/>
      <c r="AFC365" s="6"/>
      <c r="AFD365" s="6"/>
      <c r="AFE365" s="6"/>
      <c r="AFF365" s="6"/>
      <c r="AFG365" s="6"/>
      <c r="AFH365" s="6"/>
      <c r="AFI365" s="6"/>
      <c r="AFJ365" s="6"/>
      <c r="AFK365" s="6"/>
      <c r="AFL365" s="6"/>
      <c r="AFM365" s="6"/>
      <c r="AFN365" s="6"/>
      <c r="AFO365" s="6"/>
      <c r="AFP365" s="6"/>
      <c r="AFQ365" s="6"/>
      <c r="AFR365" s="6"/>
      <c r="AFS365" s="6"/>
      <c r="AFT365" s="6"/>
      <c r="AFU365" s="6"/>
      <c r="AFV365" s="6"/>
      <c r="AFW365" s="6"/>
      <c r="AFX365" s="6"/>
      <c r="AFY365" s="6"/>
      <c r="AFZ365" s="6"/>
      <c r="AGA365" s="6"/>
      <c r="AGB365" s="6"/>
      <c r="AGC365" s="6"/>
      <c r="AGD365" s="6"/>
      <c r="AGE365" s="6"/>
      <c r="AGF365" s="6"/>
      <c r="AGG365" s="6"/>
      <c r="AGH365" s="6"/>
      <c r="AGI365" s="6"/>
      <c r="AGJ365" s="6"/>
      <c r="AGK365" s="6"/>
      <c r="AGL365" s="6"/>
      <c r="AGM365" s="6"/>
      <c r="AGN365" s="6"/>
      <c r="AGO365" s="6"/>
      <c r="AGP365" s="6"/>
      <c r="AGQ365" s="6"/>
      <c r="AGR365" s="6"/>
      <c r="AGS365" s="6"/>
      <c r="AGT365" s="6"/>
      <c r="AGU365" s="6"/>
      <c r="AGV365" s="6"/>
      <c r="AGW365" s="6"/>
      <c r="AGX365" s="6"/>
      <c r="AGY365" s="6"/>
      <c r="AGZ365" s="6"/>
      <c r="AHA365" s="6"/>
      <c r="AHB365" s="6"/>
      <c r="AHC365" s="6"/>
      <c r="AHD365" s="6"/>
      <c r="AHE365" s="6"/>
      <c r="AHF365" s="6"/>
      <c r="AHG365" s="6"/>
      <c r="AHH365" s="6"/>
      <c r="AHI365" s="6"/>
      <c r="AHJ365" s="6"/>
      <c r="AHK365" s="6"/>
      <c r="AHL365" s="6"/>
      <c r="AHM365" s="6"/>
      <c r="AHN365" s="6"/>
      <c r="AHO365" s="6"/>
      <c r="AHP365" s="6"/>
      <c r="AHQ365" s="6"/>
      <c r="AHR365" s="6"/>
      <c r="AHS365" s="6"/>
      <c r="AHT365" s="6"/>
      <c r="AHU365" s="6"/>
      <c r="AHV365" s="6"/>
      <c r="AHW365" s="6"/>
      <c r="AHX365" s="6"/>
      <c r="AHY365" s="6"/>
      <c r="AHZ365" s="6"/>
      <c r="AIA365" s="6"/>
      <c r="AIB365" s="6"/>
      <c r="AIC365" s="6"/>
      <c r="AID365" s="6"/>
      <c r="AIE365" s="6"/>
      <c r="AIF365" s="6"/>
      <c r="AIG365" s="6"/>
      <c r="AIH365" s="6"/>
      <c r="AII365" s="6"/>
      <c r="AIJ365" s="6"/>
      <c r="AIK365" s="6"/>
      <c r="AIL365" s="6"/>
      <c r="AIM365" s="6"/>
      <c r="AIN365" s="6"/>
      <c r="AIO365" s="6"/>
      <c r="AIP365" s="6"/>
      <c r="AIQ365" s="6"/>
      <c r="AIR365" s="6"/>
      <c r="AIS365" s="6"/>
      <c r="AIT365" s="6"/>
      <c r="AIU365" s="6"/>
      <c r="AIV365" s="6"/>
      <c r="AIW365" s="6"/>
      <c r="AIX365" s="6"/>
      <c r="AIY365" s="6"/>
      <c r="AIZ365" s="6"/>
      <c r="AJA365" s="6"/>
      <c r="AJB365" s="6"/>
      <c r="AJC365" s="6"/>
      <c r="AJD365" s="6"/>
      <c r="AJE365" s="6"/>
      <c r="AJF365" s="6"/>
      <c r="AJG365" s="6"/>
      <c r="AJH365" s="6"/>
      <c r="AJI365" s="6"/>
      <c r="AJJ365" s="6"/>
      <c r="AJK365" s="6"/>
      <c r="AJL365" s="6"/>
      <c r="AJM365" s="6"/>
      <c r="AJN365" s="6"/>
      <c r="AJO365" s="6"/>
      <c r="AJP365" s="6"/>
      <c r="AJQ365" s="6"/>
      <c r="AJR365" s="6"/>
      <c r="AJS365" s="6"/>
      <c r="AJT365" s="6"/>
      <c r="AJU365" s="6"/>
      <c r="AJV365" s="6"/>
      <c r="AJW365" s="6"/>
      <c r="AJX365" s="6"/>
      <c r="AJY365" s="6"/>
      <c r="AJZ365" s="6"/>
      <c r="AKA365" s="6"/>
      <c r="AKB365" s="6"/>
      <c r="AKC365" s="6"/>
      <c r="AKD365" s="6"/>
      <c r="AKE365" s="6"/>
      <c r="AKF365" s="6"/>
      <c r="AKG365" s="6"/>
      <c r="AKH365" s="6"/>
      <c r="AKI365" s="6"/>
      <c r="AKJ365" s="6"/>
      <c r="AKK365" s="6"/>
      <c r="AKL365" s="6"/>
      <c r="AKM365" s="6"/>
      <c r="AKN365" s="6"/>
      <c r="AKO365" s="6"/>
      <c r="AKP365" s="6"/>
      <c r="AKQ365" s="6"/>
      <c r="AKR365" s="6"/>
      <c r="AKS365" s="6"/>
      <c r="AKT365" s="6"/>
      <c r="AKU365" s="6"/>
      <c r="AKV365" s="6"/>
      <c r="AKW365" s="6"/>
      <c r="AKX365" s="6"/>
      <c r="AKY365" s="6"/>
      <c r="AKZ365" s="6"/>
      <c r="ALA365" s="6"/>
      <c r="ALB365" s="6"/>
      <c r="ALC365" s="6"/>
      <c r="ALD365" s="6"/>
      <c r="ALE365" s="6"/>
      <c r="ALF365" s="6"/>
      <c r="ALG365" s="6"/>
      <c r="ALH365" s="6"/>
      <c r="ALI365" s="6"/>
      <c r="ALJ365" s="6"/>
      <c r="ALK365" s="6"/>
      <c r="ALL365" s="6"/>
      <c r="ALM365" s="6"/>
      <c r="ALN365" s="6"/>
      <c r="ALO365" s="6"/>
      <c r="ALP365" s="6"/>
      <c r="ALQ365" s="6"/>
      <c r="ALR365" s="6"/>
      <c r="ALS365" s="6"/>
      <c r="ALT365" s="6"/>
      <c r="ALU365" s="6"/>
      <c r="ALV365" s="6"/>
      <c r="ALW365" s="6"/>
      <c r="ALX365" s="6"/>
      <c r="ALY365" s="6"/>
      <c r="ALZ365" s="6"/>
      <c r="AMA365" s="6"/>
      <c r="AMB365" s="6"/>
      <c r="AMC365" s="6"/>
      <c r="AMD365" s="6"/>
      <c r="AME365" s="6"/>
      <c r="AMF365" s="6"/>
      <c r="AMG365" s="6"/>
      <c r="AMH365" s="6"/>
      <c r="AMI365" s="6"/>
      <c r="AMJ365" s="6"/>
      <c r="AMK365" s="6"/>
      <c r="AML365" s="6"/>
      <c r="AMM365" s="6"/>
      <c r="AMN365" s="6"/>
      <c r="AMO365" s="6"/>
      <c r="AMP365" s="6"/>
    </row>
    <row r="366" spans="1:1030" x14ac:dyDescent="0.2">
      <c r="A366" s="9" t="str">
        <f t="shared" si="2740"/>
        <v>ta2r_human_6IIU</v>
      </c>
      <c r="B366" s="40" t="s">
        <v>473</v>
      </c>
      <c r="C366" s="9" t="s">
        <v>1548</v>
      </c>
      <c r="D366" s="9" t="str">
        <f>IFERROR(MID(VLOOKUP($B366,Seqs!$A:$B,2,0),E366,1),"")</f>
        <v>S</v>
      </c>
      <c r="E366" s="9">
        <v>27</v>
      </c>
      <c r="F366" s="9" t="str">
        <f>IFERROR(MID(VLOOKUP($B366,Seqs!$A:$B,2,0),G366,1),"")</f>
        <v>A</v>
      </c>
      <c r="G366" s="9">
        <v>52</v>
      </c>
      <c r="H366" s="9" t="str">
        <f>IFERROR(MID(VLOOKUP($B366,Seqs!$A:$B,2,0),I366,1),"")</f>
        <v/>
      </c>
      <c r="I366" s="109" t="s">
        <v>23</v>
      </c>
      <c r="J366" s="9" t="str">
        <f>IFERROR(MID(VLOOKUP($B366,Seqs!$A:$B,2,0),K366,1),"")</f>
        <v/>
      </c>
      <c r="K366" s="109" t="s">
        <v>23</v>
      </c>
      <c r="L366" s="9" t="str">
        <f>IFERROR(MID(VLOOKUP($B366,Seqs!$A:$B,2,0),M366,1),"")</f>
        <v>S</v>
      </c>
      <c r="M366" s="9">
        <v>61</v>
      </c>
      <c r="N366" s="9" t="str">
        <f>IFERROR(MID(VLOOKUP($B366,Seqs!$A:$B,2,0),O366,1),"")</f>
        <v>A</v>
      </c>
      <c r="O366" s="9">
        <v>91</v>
      </c>
      <c r="P366" s="9" t="str">
        <f>IFERROR(MID(VLOOKUP($B366,Seqs!$A:$B,2,0),Q366,1),"")</f>
        <v>E</v>
      </c>
      <c r="Q366" s="9">
        <v>94</v>
      </c>
      <c r="R366" s="9" t="str">
        <f>IFERROR(MID(VLOOKUP($B366,Seqs!$A:$B,2,0),S366,1),"")</f>
        <v>V</v>
      </c>
      <c r="S366" s="9">
        <v>98</v>
      </c>
      <c r="T366" s="9" t="str">
        <f>IFERROR(MID(VLOOKUP($B366,Seqs!$A:$B,2,0),U366,1),"")</f>
        <v>C</v>
      </c>
      <c r="U366" s="9">
        <v>102</v>
      </c>
      <c r="V366" s="9" t="str">
        <f>IFERROR(MID(VLOOKUP($B366,Seqs!$A:$B,2,0),W366,1),"")</f>
        <v>R</v>
      </c>
      <c r="W366" s="9">
        <v>136</v>
      </c>
      <c r="X366" s="9" t="str">
        <f>IFERROR(MID(VLOOKUP($B366,Seqs!$A:$B,2,0),Y366,1),"")</f>
        <v/>
      </c>
      <c r="Y366" s="9" t="s">
        <v>23</v>
      </c>
      <c r="Z366" s="9" t="str">
        <f>IFERROR(MID(VLOOKUP($B366,Seqs!$A:$B,2,0),AA366,1),"")</f>
        <v/>
      </c>
      <c r="AA366" s="9" t="s">
        <v>23</v>
      </c>
      <c r="AB366" s="9" t="str">
        <f>IFERROR(MID(VLOOKUP($B366,Seqs!$A:$B,2,0),AC366,1),"")</f>
        <v>A</v>
      </c>
      <c r="AC366" s="9">
        <v>142</v>
      </c>
      <c r="AD366" s="9" t="str">
        <f>IFERROR(MID(VLOOKUP($B366,Seqs!$A:$B,2,0),AE366,1),"")</f>
        <v>L</v>
      </c>
      <c r="AE366" s="9">
        <v>169</v>
      </c>
      <c r="AF366" s="9" t="str">
        <f>IFERROR(MID(VLOOKUP($B366,Seqs!$A:$B,2,0),AG366,1),"")</f>
        <v>C</v>
      </c>
      <c r="AG366" s="9">
        <v>183</v>
      </c>
      <c r="AH366" s="9" t="str">
        <f>IFERROR(MID(VLOOKUP($B366,Seqs!$A:$B,2,0),AI366,1),"")</f>
        <v>L</v>
      </c>
      <c r="AI366" s="9">
        <v>185</v>
      </c>
      <c r="AJ366" s="9" t="str">
        <f>IFERROR(MID(VLOOKUP($B366,Seqs!$A:$B,2,0),AK366,1),"")</f>
        <v>E</v>
      </c>
      <c r="AK366" s="9">
        <v>190</v>
      </c>
      <c r="AL366" s="9" t="str">
        <f>IFERROR(MID(VLOOKUP($B366,Seqs!$A:$B,2,0),AM366,1),"")</f>
        <v>Y</v>
      </c>
      <c r="AM366" s="9">
        <v>226</v>
      </c>
      <c r="AN366" s="9" t="str">
        <f>IFERROR(MID(VLOOKUP($B366,Seqs!$A:$B,2,0),AO366,1),"")</f>
        <v>R</v>
      </c>
      <c r="AO366" s="9">
        <v>237</v>
      </c>
      <c r="AP366" s="9" t="str">
        <f>IFERROR(MID(VLOOKUP($B366,Seqs!$A:$B,2,0),AQ366,1),"")</f>
        <v>R</v>
      </c>
      <c r="AQ366" s="9">
        <v>271</v>
      </c>
      <c r="AR366" s="9" t="str">
        <f>IFERROR(MID(VLOOKUP($B366,Seqs!$A:$B,2,0),AS366,1),"")</f>
        <v>S</v>
      </c>
      <c r="AS366" s="9">
        <v>283</v>
      </c>
      <c r="AT366" s="9" t="str">
        <f>IFERROR(MID(VLOOKUP($B366,Seqs!$A:$B,2,0),AU366,1),"")</f>
        <v>F</v>
      </c>
      <c r="AU366" s="9">
        <v>311</v>
      </c>
      <c r="AV366" s="9" t="str">
        <f>IFERROR(MID(VLOOKUP($B366,Seqs!$A:$B,2,0),AW366,1),"")</f>
        <v>R</v>
      </c>
      <c r="AW366" s="9">
        <v>312</v>
      </c>
      <c r="AX366" s="9" t="str">
        <f>IFERROR(MID(VLOOKUP($B366,Seqs!$A:$B,2,0),AY366,1),"")</f>
        <v>Q</v>
      </c>
      <c r="AY366" s="9">
        <v>320</v>
      </c>
      <c r="AZ366" s="110" t="str">
        <f>VLOOKUP(B366,Classification!A:D,2,0)</f>
        <v>A</v>
      </c>
      <c r="BA366" s="98" t="str">
        <f>VLOOKUP(B366,Classification!A:D,4,0)</f>
        <v>Prostanoid</v>
      </c>
      <c r="BB366" s="36" t="b">
        <f t="shared" si="2741"/>
        <v>1</v>
      </c>
      <c r="BC366" s="109">
        <f t="shared" si="2742"/>
        <v>240</v>
      </c>
      <c r="BD366" s="11" t="s">
        <v>23</v>
      </c>
      <c r="BE366" s="9" t="s">
        <v>1374</v>
      </c>
      <c r="BF366" s="119">
        <v>2.5</v>
      </c>
      <c r="BG366" s="51" t="s">
        <v>1</v>
      </c>
      <c r="BH366" s="51" t="s">
        <v>1</v>
      </c>
      <c r="BI366" s="12"/>
      <c r="BJ366" s="111" t="s">
        <v>1287</v>
      </c>
      <c r="BK366" s="112" t="s">
        <v>1287</v>
      </c>
      <c r="BL366" s="112" t="s">
        <v>1287</v>
      </c>
      <c r="BM366" s="112" t="s">
        <v>1287</v>
      </c>
      <c r="BN366" s="112" t="s">
        <v>1287</v>
      </c>
      <c r="BO366" s="112" t="s">
        <v>1287</v>
      </c>
      <c r="BP366" s="112" t="s">
        <v>1287</v>
      </c>
      <c r="BQ366" s="112" t="s">
        <v>1287</v>
      </c>
      <c r="BR366" s="112" t="s">
        <v>1287</v>
      </c>
      <c r="BS366" s="112" t="s">
        <v>1287</v>
      </c>
      <c r="BT366" s="112" t="s">
        <v>1287</v>
      </c>
      <c r="BU366" s="112" t="s">
        <v>1287</v>
      </c>
      <c r="BV366" s="111">
        <f t="shared" si="2743"/>
        <v>27</v>
      </c>
      <c r="BW366" s="113" t="str">
        <f t="shared" si="2744"/>
        <v>-</v>
      </c>
      <c r="BX366" s="114">
        <f t="shared" si="2745"/>
        <v>61</v>
      </c>
      <c r="BY366" s="113">
        <f t="shared" si="2746"/>
        <v>94</v>
      </c>
      <c r="BZ366" s="114">
        <f t="shared" si="2747"/>
        <v>102</v>
      </c>
      <c r="CA366" s="113" t="str">
        <f t="shared" si="2748"/>
        <v>-</v>
      </c>
      <c r="CB366" s="114">
        <f t="shared" si="2749"/>
        <v>142</v>
      </c>
      <c r="CC366" s="113">
        <f t="shared" si="2750"/>
        <v>183</v>
      </c>
      <c r="CD366" s="114">
        <f t="shared" si="2751"/>
        <v>190</v>
      </c>
      <c r="CE366" s="113">
        <f t="shared" si="2752"/>
        <v>237</v>
      </c>
      <c r="CF366" s="114">
        <f t="shared" si="2753"/>
        <v>283</v>
      </c>
      <c r="CG366" s="113">
        <f t="shared" si="2754"/>
        <v>312</v>
      </c>
      <c r="CH366" s="111">
        <f t="shared" si="2755"/>
        <v>52</v>
      </c>
      <c r="CI366" s="113" t="str">
        <f t="shared" si="2756"/>
        <v>-</v>
      </c>
      <c r="CJ366" s="114">
        <f t="shared" si="2757"/>
        <v>91</v>
      </c>
      <c r="CK366" s="114">
        <f t="shared" si="2758"/>
        <v>98</v>
      </c>
      <c r="CL366" s="114">
        <f t="shared" si="2759"/>
        <v>136</v>
      </c>
      <c r="CM366" s="114" t="str">
        <f t="shared" si="2760"/>
        <v>-</v>
      </c>
      <c r="CN366" s="114">
        <f t="shared" si="2761"/>
        <v>169</v>
      </c>
      <c r="CO366" s="114">
        <f t="shared" si="2762"/>
        <v>185</v>
      </c>
      <c r="CP366" s="114">
        <f t="shared" si="2763"/>
        <v>226</v>
      </c>
      <c r="CQ366" s="114">
        <f t="shared" si="2764"/>
        <v>271</v>
      </c>
      <c r="CR366" s="114">
        <f t="shared" si="2765"/>
        <v>311</v>
      </c>
      <c r="CS366" s="114">
        <f t="shared" si="2766"/>
        <v>320</v>
      </c>
      <c r="CT366" s="109" t="e">
        <f t="shared" si="2767"/>
        <v>#VALUE!</v>
      </c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r="SM366" s="6"/>
      <c r="SN366" s="6"/>
      <c r="SO366" s="6"/>
      <c r="SP366" s="6"/>
      <c r="SQ366" s="6"/>
      <c r="SR366" s="6"/>
      <c r="SS366" s="6"/>
      <c r="ST366" s="6"/>
      <c r="SU366" s="6"/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r="UJ366" s="6"/>
      <c r="UK366" s="6"/>
      <c r="UL366" s="6"/>
      <c r="UM366" s="6"/>
      <c r="UN366" s="6"/>
      <c r="UO366" s="6"/>
      <c r="UP366" s="6"/>
      <c r="UQ366" s="6"/>
      <c r="UR366" s="6"/>
      <c r="US366" s="6"/>
      <c r="UT366" s="6"/>
      <c r="UU366" s="6"/>
      <c r="UV366" s="6"/>
      <c r="UW366" s="6"/>
      <c r="UX366" s="6"/>
      <c r="UY366" s="6"/>
      <c r="UZ366" s="6"/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6"/>
      <c r="VM366" s="6"/>
      <c r="VN366" s="6"/>
      <c r="VO366" s="6"/>
      <c r="VP366" s="6"/>
      <c r="VQ366" s="6"/>
      <c r="VR366" s="6"/>
      <c r="VS366" s="6"/>
      <c r="VT366" s="6"/>
      <c r="VU366" s="6"/>
      <c r="VV366" s="6"/>
      <c r="VW366" s="6"/>
      <c r="VX366" s="6"/>
      <c r="VY366" s="6"/>
      <c r="VZ366" s="6"/>
      <c r="WA366" s="6"/>
      <c r="WB366" s="6"/>
      <c r="WC366" s="6"/>
      <c r="WD366" s="6"/>
      <c r="WE366" s="6"/>
      <c r="WF366" s="6"/>
      <c r="WG366" s="6"/>
      <c r="WH366" s="6"/>
      <c r="WI366" s="6"/>
      <c r="WJ366" s="6"/>
      <c r="WK366" s="6"/>
      <c r="WL366" s="6"/>
      <c r="WM366" s="6"/>
      <c r="WN366" s="6"/>
      <c r="WO366" s="6"/>
      <c r="WP366" s="6"/>
      <c r="WQ366" s="6"/>
      <c r="WR366" s="6"/>
      <c r="WS366" s="6"/>
      <c r="WT366" s="6"/>
      <c r="WU366" s="6"/>
      <c r="WV366" s="6"/>
      <c r="WW366" s="6"/>
      <c r="WX366" s="6"/>
      <c r="WY366" s="6"/>
      <c r="WZ366" s="6"/>
      <c r="XA366" s="6"/>
      <c r="XB366" s="6"/>
      <c r="XC366" s="6"/>
      <c r="XD366" s="6"/>
      <c r="XE366" s="6"/>
      <c r="XF366" s="6"/>
      <c r="XG366" s="6"/>
      <c r="XH366" s="6"/>
      <c r="XI366" s="6"/>
      <c r="XJ366" s="6"/>
      <c r="XK366" s="6"/>
      <c r="XL366" s="6"/>
      <c r="XM366" s="6"/>
      <c r="XN366" s="6"/>
      <c r="XO366" s="6"/>
      <c r="XP366" s="6"/>
      <c r="XQ366" s="6"/>
      <c r="XR366" s="6"/>
      <c r="XS366" s="6"/>
      <c r="XT366" s="6"/>
      <c r="XU366" s="6"/>
      <c r="XV366" s="6"/>
      <c r="XW366" s="6"/>
      <c r="XX366" s="6"/>
      <c r="XY366" s="6"/>
      <c r="XZ366" s="6"/>
      <c r="YA366" s="6"/>
      <c r="YB366" s="6"/>
      <c r="YC366" s="6"/>
      <c r="YD366" s="6"/>
      <c r="YE366" s="6"/>
      <c r="YF366" s="6"/>
      <c r="YG366" s="6"/>
      <c r="YH366" s="6"/>
      <c r="YI366" s="6"/>
      <c r="YJ366" s="6"/>
      <c r="YK366" s="6"/>
      <c r="YL366" s="6"/>
      <c r="YM366" s="6"/>
      <c r="YN366" s="6"/>
      <c r="YO366" s="6"/>
      <c r="YP366" s="6"/>
      <c r="YQ366" s="6"/>
      <c r="YR366" s="6"/>
      <c r="YS366" s="6"/>
      <c r="YT366" s="6"/>
      <c r="YU366" s="6"/>
      <c r="YV366" s="6"/>
      <c r="YW366" s="6"/>
      <c r="YX366" s="6"/>
      <c r="YY366" s="6"/>
      <c r="YZ366" s="6"/>
      <c r="ZA366" s="6"/>
      <c r="ZB366" s="6"/>
      <c r="ZC366" s="6"/>
      <c r="ZD366" s="6"/>
      <c r="ZE366" s="6"/>
      <c r="ZF366" s="6"/>
      <c r="ZG366" s="6"/>
      <c r="ZH366" s="6"/>
      <c r="ZI366" s="6"/>
      <c r="ZJ366" s="6"/>
      <c r="ZK366" s="6"/>
      <c r="ZL366" s="6"/>
      <c r="ZM366" s="6"/>
      <c r="ZN366" s="6"/>
      <c r="ZO366" s="6"/>
      <c r="ZP366" s="6"/>
      <c r="ZQ366" s="6"/>
      <c r="ZR366" s="6"/>
      <c r="ZS366" s="6"/>
      <c r="ZT366" s="6"/>
      <c r="ZU366" s="6"/>
      <c r="ZV366" s="6"/>
      <c r="ZW366" s="6"/>
      <c r="ZX366" s="6"/>
      <c r="ZY366" s="6"/>
      <c r="ZZ366" s="6"/>
      <c r="AAA366" s="6"/>
      <c r="AAB366" s="6"/>
      <c r="AAC366" s="6"/>
      <c r="AAD366" s="6"/>
      <c r="AAE366" s="6"/>
      <c r="AAF366" s="6"/>
      <c r="AAG366" s="6"/>
      <c r="AAH366" s="6"/>
      <c r="AAI366" s="6"/>
      <c r="AAJ366" s="6"/>
      <c r="AAK366" s="6"/>
      <c r="AAL366" s="6"/>
      <c r="AAM366" s="6"/>
      <c r="AAN366" s="6"/>
      <c r="AAO366" s="6"/>
      <c r="AAP366" s="6"/>
      <c r="AAQ366" s="6"/>
      <c r="AAR366" s="6"/>
      <c r="AAS366" s="6"/>
      <c r="AAT366" s="6"/>
      <c r="AAU366" s="6"/>
      <c r="AAV366" s="6"/>
      <c r="AAW366" s="6"/>
      <c r="AAX366" s="6"/>
      <c r="AAY366" s="6"/>
      <c r="AAZ366" s="6"/>
      <c r="ABA366" s="6"/>
      <c r="ABB366" s="6"/>
      <c r="ABC366" s="6"/>
      <c r="ABD366" s="6"/>
      <c r="ABE366" s="6"/>
      <c r="ABF366" s="6"/>
      <c r="ABG366" s="6"/>
      <c r="ABH366" s="6"/>
      <c r="ABI366" s="6"/>
      <c r="ABJ366" s="6"/>
      <c r="ABK366" s="6"/>
      <c r="ABL366" s="6"/>
      <c r="ABM366" s="6"/>
      <c r="ABN366" s="6"/>
      <c r="ABO366" s="6"/>
      <c r="ABP366" s="6"/>
      <c r="ABQ366" s="6"/>
      <c r="ABR366" s="6"/>
      <c r="ABS366" s="6"/>
      <c r="ABT366" s="6"/>
      <c r="ABU366" s="6"/>
      <c r="ABV366" s="6"/>
      <c r="ABW366" s="6"/>
      <c r="ABX366" s="6"/>
      <c r="ABY366" s="6"/>
      <c r="ABZ366" s="6"/>
      <c r="ACA366" s="6"/>
      <c r="ACB366" s="6"/>
      <c r="ACC366" s="6"/>
      <c r="ACD366" s="6"/>
      <c r="ACE366" s="6"/>
      <c r="ACF366" s="6"/>
      <c r="ACG366" s="6"/>
      <c r="ACH366" s="6"/>
      <c r="ACI366" s="6"/>
      <c r="ACJ366" s="6"/>
      <c r="ACK366" s="6"/>
      <c r="ACL366" s="6"/>
      <c r="ACM366" s="6"/>
      <c r="ACN366" s="6"/>
      <c r="ACO366" s="6"/>
      <c r="ACP366" s="6"/>
      <c r="ACQ366" s="6"/>
      <c r="ACR366" s="6"/>
      <c r="ACS366" s="6"/>
      <c r="ACT366" s="6"/>
      <c r="ACU366" s="6"/>
      <c r="ACV366" s="6"/>
      <c r="ACW366" s="6"/>
      <c r="ACX366" s="6"/>
      <c r="ACY366" s="6"/>
      <c r="ACZ366" s="6"/>
      <c r="ADA366" s="6"/>
      <c r="ADB366" s="6"/>
      <c r="ADC366" s="6"/>
      <c r="ADD366" s="6"/>
      <c r="ADE366" s="6"/>
      <c r="ADF366" s="6"/>
      <c r="ADG366" s="6"/>
      <c r="ADH366" s="6"/>
      <c r="ADI366" s="6"/>
      <c r="ADJ366" s="6"/>
      <c r="ADK366" s="6"/>
      <c r="ADL366" s="6"/>
      <c r="ADM366" s="6"/>
      <c r="ADN366" s="6"/>
      <c r="ADO366" s="6"/>
      <c r="ADP366" s="6"/>
      <c r="ADQ366" s="6"/>
      <c r="ADR366" s="6"/>
      <c r="ADS366" s="6"/>
      <c r="ADT366" s="6"/>
      <c r="ADU366" s="6"/>
      <c r="ADV366" s="6"/>
      <c r="ADW366" s="6"/>
      <c r="ADX366" s="6"/>
      <c r="ADY366" s="6"/>
      <c r="ADZ366" s="6"/>
      <c r="AEA366" s="6"/>
      <c r="AEB366" s="6"/>
      <c r="AEC366" s="6"/>
      <c r="AED366" s="6"/>
      <c r="AEE366" s="6"/>
      <c r="AEF366" s="6"/>
      <c r="AEG366" s="6"/>
      <c r="AEH366" s="6"/>
      <c r="AEI366" s="6"/>
      <c r="AEJ366" s="6"/>
      <c r="AEK366" s="6"/>
      <c r="AEL366" s="6"/>
      <c r="AEM366" s="6"/>
      <c r="AEN366" s="6"/>
      <c r="AEO366" s="6"/>
      <c r="AEP366" s="6"/>
      <c r="AEQ366" s="6"/>
      <c r="AER366" s="6"/>
      <c r="AES366" s="6"/>
      <c r="AET366" s="6"/>
      <c r="AEU366" s="6"/>
      <c r="AEV366" s="6"/>
      <c r="AEW366" s="6"/>
      <c r="AEX366" s="6"/>
      <c r="AEY366" s="6"/>
      <c r="AEZ366" s="6"/>
      <c r="AFA366" s="6"/>
      <c r="AFB366" s="6"/>
      <c r="AFC366" s="6"/>
      <c r="AFD366" s="6"/>
      <c r="AFE366" s="6"/>
      <c r="AFF366" s="6"/>
      <c r="AFG366" s="6"/>
      <c r="AFH366" s="6"/>
      <c r="AFI366" s="6"/>
      <c r="AFJ366" s="6"/>
      <c r="AFK366" s="6"/>
      <c r="AFL366" s="6"/>
      <c r="AFM366" s="6"/>
      <c r="AFN366" s="6"/>
      <c r="AFO366" s="6"/>
      <c r="AFP366" s="6"/>
      <c r="AFQ366" s="6"/>
      <c r="AFR366" s="6"/>
      <c r="AFS366" s="6"/>
      <c r="AFT366" s="6"/>
      <c r="AFU366" s="6"/>
      <c r="AFV366" s="6"/>
      <c r="AFW366" s="6"/>
      <c r="AFX366" s="6"/>
      <c r="AFY366" s="6"/>
      <c r="AFZ366" s="6"/>
      <c r="AGA366" s="6"/>
      <c r="AGB366" s="6"/>
      <c r="AGC366" s="6"/>
      <c r="AGD366" s="6"/>
      <c r="AGE366" s="6"/>
      <c r="AGF366" s="6"/>
      <c r="AGG366" s="6"/>
      <c r="AGH366" s="6"/>
      <c r="AGI366" s="6"/>
      <c r="AGJ366" s="6"/>
      <c r="AGK366" s="6"/>
      <c r="AGL366" s="6"/>
      <c r="AGM366" s="6"/>
      <c r="AGN366" s="6"/>
      <c r="AGO366" s="6"/>
      <c r="AGP366" s="6"/>
      <c r="AGQ366" s="6"/>
      <c r="AGR366" s="6"/>
      <c r="AGS366" s="6"/>
      <c r="AGT366" s="6"/>
      <c r="AGU366" s="6"/>
      <c r="AGV366" s="6"/>
      <c r="AGW366" s="6"/>
      <c r="AGX366" s="6"/>
      <c r="AGY366" s="6"/>
      <c r="AGZ366" s="6"/>
      <c r="AHA366" s="6"/>
      <c r="AHB366" s="6"/>
      <c r="AHC366" s="6"/>
      <c r="AHD366" s="6"/>
      <c r="AHE366" s="6"/>
      <c r="AHF366" s="6"/>
      <c r="AHG366" s="6"/>
      <c r="AHH366" s="6"/>
      <c r="AHI366" s="6"/>
      <c r="AHJ366" s="6"/>
      <c r="AHK366" s="6"/>
      <c r="AHL366" s="6"/>
      <c r="AHM366" s="6"/>
      <c r="AHN366" s="6"/>
      <c r="AHO366" s="6"/>
      <c r="AHP366" s="6"/>
      <c r="AHQ366" s="6"/>
      <c r="AHR366" s="6"/>
      <c r="AHS366" s="6"/>
      <c r="AHT366" s="6"/>
      <c r="AHU366" s="6"/>
      <c r="AHV366" s="6"/>
      <c r="AHW366" s="6"/>
      <c r="AHX366" s="6"/>
      <c r="AHY366" s="6"/>
      <c r="AHZ366" s="6"/>
      <c r="AIA366" s="6"/>
      <c r="AIB366" s="6"/>
      <c r="AIC366" s="6"/>
      <c r="AID366" s="6"/>
      <c r="AIE366" s="6"/>
      <c r="AIF366" s="6"/>
      <c r="AIG366" s="6"/>
      <c r="AIH366" s="6"/>
      <c r="AII366" s="6"/>
      <c r="AIJ366" s="6"/>
      <c r="AIK366" s="6"/>
      <c r="AIL366" s="6"/>
      <c r="AIM366" s="6"/>
      <c r="AIN366" s="6"/>
      <c r="AIO366" s="6"/>
      <c r="AIP366" s="6"/>
      <c r="AIQ366" s="6"/>
      <c r="AIR366" s="6"/>
      <c r="AIS366" s="6"/>
      <c r="AIT366" s="6"/>
      <c r="AIU366" s="6"/>
      <c r="AIV366" s="6"/>
      <c r="AIW366" s="6"/>
      <c r="AIX366" s="6"/>
      <c r="AIY366" s="6"/>
      <c r="AIZ366" s="6"/>
      <c r="AJA366" s="6"/>
      <c r="AJB366" s="6"/>
      <c r="AJC366" s="6"/>
      <c r="AJD366" s="6"/>
      <c r="AJE366" s="6"/>
      <c r="AJF366" s="6"/>
      <c r="AJG366" s="6"/>
      <c r="AJH366" s="6"/>
      <c r="AJI366" s="6"/>
      <c r="AJJ366" s="6"/>
      <c r="AJK366" s="6"/>
      <c r="AJL366" s="6"/>
      <c r="AJM366" s="6"/>
      <c r="AJN366" s="6"/>
      <c r="AJO366" s="6"/>
      <c r="AJP366" s="6"/>
      <c r="AJQ366" s="6"/>
      <c r="AJR366" s="6"/>
      <c r="AJS366" s="6"/>
      <c r="AJT366" s="6"/>
      <c r="AJU366" s="6"/>
      <c r="AJV366" s="6"/>
      <c r="AJW366" s="6"/>
      <c r="AJX366" s="6"/>
      <c r="AJY366" s="6"/>
      <c r="AJZ366" s="6"/>
      <c r="AKA366" s="6"/>
      <c r="AKB366" s="6"/>
      <c r="AKC366" s="6"/>
      <c r="AKD366" s="6"/>
      <c r="AKE366" s="6"/>
      <c r="AKF366" s="6"/>
      <c r="AKG366" s="6"/>
      <c r="AKH366" s="6"/>
      <c r="AKI366" s="6"/>
      <c r="AKJ366" s="6"/>
      <c r="AKK366" s="6"/>
      <c r="AKL366" s="6"/>
      <c r="AKM366" s="6"/>
      <c r="AKN366" s="6"/>
      <c r="AKO366" s="6"/>
      <c r="AKP366" s="6"/>
      <c r="AKQ366" s="6"/>
      <c r="AKR366" s="6"/>
      <c r="AKS366" s="6"/>
      <c r="AKT366" s="6"/>
      <c r="AKU366" s="6"/>
      <c r="AKV366" s="6"/>
      <c r="AKW366" s="6"/>
      <c r="AKX366" s="6"/>
      <c r="AKY366" s="6"/>
      <c r="AKZ366" s="6"/>
      <c r="ALA366" s="6"/>
      <c r="ALB366" s="6"/>
      <c r="ALC366" s="6"/>
      <c r="ALD366" s="6"/>
      <c r="ALE366" s="6"/>
      <c r="ALF366" s="6"/>
      <c r="ALG366" s="6"/>
      <c r="ALH366" s="6"/>
      <c r="ALI366" s="6"/>
      <c r="ALJ366" s="6"/>
      <c r="ALK366" s="6"/>
      <c r="ALL366" s="6"/>
      <c r="ALM366" s="6"/>
      <c r="ALN366" s="6"/>
      <c r="ALO366" s="6"/>
      <c r="ALP366" s="6"/>
      <c r="ALQ366" s="6"/>
      <c r="ALR366" s="6"/>
      <c r="ALS366" s="6"/>
      <c r="ALT366" s="6"/>
      <c r="ALU366" s="6"/>
      <c r="ALV366" s="6"/>
      <c r="ALW366" s="6"/>
      <c r="ALX366" s="6"/>
      <c r="ALY366" s="6"/>
      <c r="ALZ366" s="6"/>
      <c r="AMA366" s="6"/>
      <c r="AMB366" s="6"/>
      <c r="AMC366" s="6"/>
      <c r="AMD366" s="6"/>
      <c r="AME366" s="6"/>
      <c r="AMF366" s="6"/>
      <c r="AMG366" s="6"/>
      <c r="AMH366" s="6"/>
      <c r="AMI366" s="6"/>
      <c r="AMJ366" s="6"/>
      <c r="AMK366" s="6"/>
      <c r="AML366" s="6"/>
      <c r="AMM366" s="6"/>
      <c r="AMN366" s="6"/>
      <c r="AMO366" s="6"/>
      <c r="AMP366" s="6"/>
    </row>
    <row r="367" spans="1:1030" x14ac:dyDescent="0.2">
      <c r="A367" s="9" t="str">
        <f t="shared" ref="A367" si="2768">CONCATENATE(B367,"_",C367)</f>
        <v>ta2r_human_6IIV</v>
      </c>
      <c r="B367" s="40" t="s">
        <v>473</v>
      </c>
      <c r="C367" s="9" t="s">
        <v>1549</v>
      </c>
      <c r="D367" s="9" t="str">
        <f>IFERROR(MID(VLOOKUP($B367,Seqs!$A:$B,2,0),E367,1),"")</f>
        <v>S</v>
      </c>
      <c r="E367" s="9">
        <v>27</v>
      </c>
      <c r="F367" s="9" t="str">
        <f>IFERROR(MID(VLOOKUP($B367,Seqs!$A:$B,2,0),G367,1),"")</f>
        <v>R</v>
      </c>
      <c r="G367" s="9">
        <v>53</v>
      </c>
      <c r="H367" s="9" t="str">
        <f>IFERROR(MID(VLOOKUP($B367,Seqs!$A:$B,2,0),I367,1),"")</f>
        <v/>
      </c>
      <c r="I367" s="109" t="s">
        <v>23</v>
      </c>
      <c r="J367" s="9" t="str">
        <f>IFERROR(MID(VLOOKUP($B367,Seqs!$A:$B,2,0),K367,1),"")</f>
        <v/>
      </c>
      <c r="K367" s="109" t="s">
        <v>23</v>
      </c>
      <c r="L367" s="9" t="str">
        <f>IFERROR(MID(VLOOKUP($B367,Seqs!$A:$B,2,0),M367,1),"")</f>
        <v>S</v>
      </c>
      <c r="M367" s="9">
        <v>61</v>
      </c>
      <c r="N367" s="9" t="str">
        <f>IFERROR(MID(VLOOKUP($B367,Seqs!$A:$B,2,0),O367,1),"")</f>
        <v>A</v>
      </c>
      <c r="O367" s="9">
        <v>91</v>
      </c>
      <c r="P367" s="9" t="str">
        <f>IFERROR(MID(VLOOKUP($B367,Seqs!$A:$B,2,0),Q367,1),"")</f>
        <v>E</v>
      </c>
      <c r="Q367" s="9">
        <v>94</v>
      </c>
      <c r="R367" s="9" t="str">
        <f>IFERROR(MID(VLOOKUP($B367,Seqs!$A:$B,2,0),S367,1),"")</f>
        <v>V</v>
      </c>
      <c r="S367" s="9">
        <v>98</v>
      </c>
      <c r="T367" s="9" t="str">
        <f>IFERROR(MID(VLOOKUP($B367,Seqs!$A:$B,2,0),U367,1),"")</f>
        <v>C</v>
      </c>
      <c r="U367" s="9">
        <v>102</v>
      </c>
      <c r="V367" s="9" t="str">
        <f>IFERROR(MID(VLOOKUP($B367,Seqs!$A:$B,2,0),W367,1),"")</f>
        <v>R</v>
      </c>
      <c r="W367" s="9">
        <v>136</v>
      </c>
      <c r="X367" s="9" t="str">
        <f>IFERROR(MID(VLOOKUP($B367,Seqs!$A:$B,2,0),Y367,1),"")</f>
        <v/>
      </c>
      <c r="Y367" s="9" t="s">
        <v>23</v>
      </c>
      <c r="Z367" s="9" t="str">
        <f>IFERROR(MID(VLOOKUP($B367,Seqs!$A:$B,2,0),AA367,1),"")</f>
        <v/>
      </c>
      <c r="AA367" s="9" t="s">
        <v>23</v>
      </c>
      <c r="AB367" s="9" t="str">
        <f>IFERROR(MID(VLOOKUP($B367,Seqs!$A:$B,2,0),AC367,1),"")</f>
        <v>P</v>
      </c>
      <c r="AC367" s="9">
        <v>141</v>
      </c>
      <c r="AD367" s="9" t="str">
        <f>IFERROR(MID(VLOOKUP($B367,Seqs!$A:$B,2,0),AE367,1),"")</f>
        <v>G</v>
      </c>
      <c r="AE367" s="9">
        <v>170</v>
      </c>
      <c r="AF367" s="9" t="str">
        <f>IFERROR(MID(VLOOKUP($B367,Seqs!$A:$B,2,0),AG367,1),"")</f>
        <v>C</v>
      </c>
      <c r="AG367" s="9">
        <v>183</v>
      </c>
      <c r="AH367" s="9" t="str">
        <f>IFERROR(MID(VLOOKUP($B367,Seqs!$A:$B,2,0),AI367,1),"")</f>
        <v>L</v>
      </c>
      <c r="AI367" s="9">
        <v>185</v>
      </c>
      <c r="AJ367" s="9" t="str">
        <f>IFERROR(MID(VLOOKUP($B367,Seqs!$A:$B,2,0),AK367,1),"")</f>
        <v>E</v>
      </c>
      <c r="AK367" s="9">
        <v>190</v>
      </c>
      <c r="AL367" s="9" t="str">
        <f>IFERROR(MID(VLOOKUP($B367,Seqs!$A:$B,2,0),AM367,1),"")</f>
        <v>Y</v>
      </c>
      <c r="AM367" s="9">
        <v>226</v>
      </c>
      <c r="AN367" s="9" t="str">
        <f>IFERROR(MID(VLOOKUP($B367,Seqs!$A:$B,2,0),AO367,1),"")</f>
        <v>R</v>
      </c>
      <c r="AO367" s="9">
        <v>237</v>
      </c>
      <c r="AP367" s="9" t="str">
        <f>IFERROR(MID(VLOOKUP($B367,Seqs!$A:$B,2,0),AQ367,1),"")</f>
        <v>R</v>
      </c>
      <c r="AQ367" s="9">
        <v>271</v>
      </c>
      <c r="AR367" s="9" t="str">
        <f>IFERROR(MID(VLOOKUP($B367,Seqs!$A:$B,2,0),AS367,1),"")</f>
        <v>S</v>
      </c>
      <c r="AS367" s="9">
        <v>283</v>
      </c>
      <c r="AT367" s="9" t="str">
        <f>IFERROR(MID(VLOOKUP($B367,Seqs!$A:$B,2,0),AU367,1),"")</f>
        <v>F</v>
      </c>
      <c r="AU367" s="9">
        <v>311</v>
      </c>
      <c r="AV367" s="9" t="str">
        <f>IFERROR(MID(VLOOKUP($B367,Seqs!$A:$B,2,0),AW367,1),"")</f>
        <v>R</v>
      </c>
      <c r="AW367" s="9">
        <v>312</v>
      </c>
      <c r="AX367" s="9" t="str">
        <f>IFERROR(MID(VLOOKUP($B367,Seqs!$A:$B,2,0),AY367,1),"")</f>
        <v>L</v>
      </c>
      <c r="AY367" s="9">
        <v>319</v>
      </c>
      <c r="AZ367" s="110" t="str">
        <f>VLOOKUP(B367,Classification!A:D,2,0)</f>
        <v>A</v>
      </c>
      <c r="BA367" s="98" t="str">
        <f>VLOOKUP(B367,Classification!A:D,4,0)</f>
        <v>Prostanoid</v>
      </c>
      <c r="BB367" s="36" t="b">
        <f t="shared" ref="BB367" si="2769">AND(E367&lt;G367,OR(G367&lt;I367,I367="-"),OR(I367&lt;K367,I367="-"),OR(K367&lt;M367,K367="-"),M367&lt;O367,OR(O367&lt;Q367,Q367="-"),OR(Q367&lt;S367,Q367="-"),OR(S367&lt;U367,S367="-"),U367&lt;W367,OR(W367&lt;Y367,Y367="-"),OR(Y367&lt;AA367,Y367="-"),OR(AA367&lt;AC367,AA367="-"),AC367&lt;AE367,OR(AE367&lt;AG367,AG367="-"),OR(AG367&lt;AI367,AG367="-"),OR(AI367&lt;AK367,AI367="-"),AK367&lt;AM367,AM367&lt;AO367,AO367&lt;AQ367,AQ367&lt;AS367,AS367&lt;AU367,OR(AU367&lt;AW367,AW367="-"),OR(AW367&lt;AY367,AW367="-"))</f>
        <v>1</v>
      </c>
      <c r="BC367" s="109">
        <f t="shared" ref="BC367" si="2770">_xlfn.AGGREGATE(9,6,CH367:CS367)-_xlfn.AGGREGATE(9,6,BV367:CG367)+12</f>
        <v>242</v>
      </c>
      <c r="BD367" s="11" t="s">
        <v>1376</v>
      </c>
      <c r="BE367" s="9" t="s">
        <v>1374</v>
      </c>
      <c r="BF367" s="119">
        <v>3</v>
      </c>
      <c r="BG367" s="51" t="s">
        <v>1</v>
      </c>
      <c r="BH367" s="51" t="s">
        <v>1</v>
      </c>
      <c r="BI367" s="12"/>
      <c r="BJ367" s="111" t="s">
        <v>1287</v>
      </c>
      <c r="BK367" s="112" t="s">
        <v>1287</v>
      </c>
      <c r="BL367" s="112" t="s">
        <v>1287</v>
      </c>
      <c r="BM367" s="112" t="s">
        <v>1287</v>
      </c>
      <c r="BN367" s="112" t="s">
        <v>1287</v>
      </c>
      <c r="BO367" s="112" t="s">
        <v>1287</v>
      </c>
      <c r="BP367" s="112" t="s">
        <v>1287</v>
      </c>
      <c r="BQ367" s="112" t="s">
        <v>1287</v>
      </c>
      <c r="BR367" s="112" t="s">
        <v>1287</v>
      </c>
      <c r="BS367" s="112" t="s">
        <v>1287</v>
      </c>
      <c r="BT367" s="112" t="s">
        <v>1287</v>
      </c>
      <c r="BU367" s="112" t="s">
        <v>1287</v>
      </c>
      <c r="BV367" s="111">
        <f t="shared" ref="BV367" si="2771">E367</f>
        <v>27</v>
      </c>
      <c r="BW367" s="113" t="str">
        <f t="shared" ref="BW367" si="2772">I367</f>
        <v>-</v>
      </c>
      <c r="BX367" s="114">
        <f t="shared" ref="BX367" si="2773">M367</f>
        <v>61</v>
      </c>
      <c r="BY367" s="113">
        <f t="shared" ref="BY367" si="2774">Q367</f>
        <v>94</v>
      </c>
      <c r="BZ367" s="114">
        <f t="shared" ref="BZ367" si="2775">U367</f>
        <v>102</v>
      </c>
      <c r="CA367" s="113" t="str">
        <f t="shared" ref="CA367" si="2776">Y367</f>
        <v>-</v>
      </c>
      <c r="CB367" s="114">
        <f t="shared" ref="CB367" si="2777">AC367</f>
        <v>141</v>
      </c>
      <c r="CC367" s="113">
        <f t="shared" ref="CC367" si="2778">AG367</f>
        <v>183</v>
      </c>
      <c r="CD367" s="114">
        <f t="shared" ref="CD367" si="2779">AK367</f>
        <v>190</v>
      </c>
      <c r="CE367" s="113">
        <f t="shared" ref="CE367" si="2780">AO367</f>
        <v>237</v>
      </c>
      <c r="CF367" s="114">
        <f t="shared" ref="CF367" si="2781">AS367</f>
        <v>283</v>
      </c>
      <c r="CG367" s="113">
        <f t="shared" ref="CG367" si="2782">AW367</f>
        <v>312</v>
      </c>
      <c r="CH367" s="111">
        <f t="shared" ref="CH367" si="2783">G367</f>
        <v>53</v>
      </c>
      <c r="CI367" s="113" t="str">
        <f t="shared" ref="CI367" si="2784">K367</f>
        <v>-</v>
      </c>
      <c r="CJ367" s="114">
        <f t="shared" ref="CJ367" si="2785">O367</f>
        <v>91</v>
      </c>
      <c r="CK367" s="114">
        <f t="shared" ref="CK367" si="2786">S367</f>
        <v>98</v>
      </c>
      <c r="CL367" s="114">
        <f t="shared" ref="CL367" si="2787">W367</f>
        <v>136</v>
      </c>
      <c r="CM367" s="114" t="str">
        <f t="shared" ref="CM367" si="2788">AA367</f>
        <v>-</v>
      </c>
      <c r="CN367" s="114">
        <f t="shared" ref="CN367" si="2789">AE367</f>
        <v>170</v>
      </c>
      <c r="CO367" s="114">
        <f t="shared" ref="CO367" si="2790">AI367</f>
        <v>185</v>
      </c>
      <c r="CP367" s="114">
        <f t="shared" ref="CP367" si="2791">AM367</f>
        <v>226</v>
      </c>
      <c r="CQ367" s="114">
        <f t="shared" ref="CQ367" si="2792">AQ367</f>
        <v>271</v>
      </c>
      <c r="CR367" s="114">
        <f t="shared" ref="CR367" si="2793">AU367</f>
        <v>311</v>
      </c>
      <c r="CS367" s="114">
        <f t="shared" ref="CS367" si="2794">AY367</f>
        <v>319</v>
      </c>
      <c r="CT367" s="109" t="e">
        <f t="shared" ref="CT367" si="2795">M367-K367</f>
        <v>#VALUE!</v>
      </c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"/>
      <c r="PA367" s="6"/>
      <c r="PB367" s="6"/>
      <c r="PC367" s="6"/>
      <c r="PD367" s="6"/>
      <c r="PE367" s="6"/>
      <c r="PF367" s="6"/>
      <c r="PG367" s="6"/>
      <c r="PH367" s="6"/>
      <c r="PI367" s="6"/>
      <c r="PJ367" s="6"/>
      <c r="PK367" s="6"/>
      <c r="PL367" s="6"/>
      <c r="PM367" s="6"/>
      <c r="PN367" s="6"/>
      <c r="PO367" s="6"/>
      <c r="PP367" s="6"/>
      <c r="PQ367" s="6"/>
      <c r="PR367" s="6"/>
      <c r="PS367" s="6"/>
      <c r="PT367" s="6"/>
      <c r="PU367" s="6"/>
      <c r="PV367" s="6"/>
      <c r="PW367" s="6"/>
      <c r="PX367" s="6"/>
      <c r="PY367" s="6"/>
      <c r="PZ367" s="6"/>
      <c r="QA367" s="6"/>
      <c r="QB367" s="6"/>
      <c r="QC367" s="6"/>
      <c r="QD367" s="6"/>
      <c r="QE367" s="6"/>
      <c r="QF367" s="6"/>
      <c r="QG367" s="6"/>
      <c r="QH367" s="6"/>
      <c r="QI367" s="6"/>
      <c r="QJ367" s="6"/>
      <c r="QK367" s="6"/>
      <c r="QL367" s="6"/>
      <c r="QM367" s="6"/>
      <c r="QN367" s="6"/>
      <c r="QO367" s="6"/>
      <c r="QP367" s="6"/>
      <c r="QQ367" s="6"/>
      <c r="QR367" s="6"/>
      <c r="QS367" s="6"/>
      <c r="QT367" s="6"/>
      <c r="QU367" s="6"/>
      <c r="QV367" s="6"/>
      <c r="QW367" s="6"/>
      <c r="QX367" s="6"/>
      <c r="QY367" s="6"/>
      <c r="QZ367" s="6"/>
      <c r="RA367" s="6"/>
      <c r="RB367" s="6"/>
      <c r="RC367" s="6"/>
      <c r="RD367" s="6"/>
      <c r="RE367" s="6"/>
      <c r="RF367" s="6"/>
      <c r="RG367" s="6"/>
      <c r="RH367" s="6"/>
      <c r="RI367" s="6"/>
      <c r="RJ367" s="6"/>
      <c r="RK367" s="6"/>
      <c r="RL367" s="6"/>
      <c r="RM367" s="6"/>
      <c r="RN367" s="6"/>
      <c r="RO367" s="6"/>
      <c r="RP367" s="6"/>
      <c r="RQ367" s="6"/>
      <c r="RR367" s="6"/>
      <c r="RS367" s="6"/>
      <c r="RT367" s="6"/>
      <c r="RU367" s="6"/>
      <c r="RV367" s="6"/>
      <c r="RW367" s="6"/>
      <c r="RX367" s="6"/>
      <c r="RY367" s="6"/>
      <c r="RZ367" s="6"/>
      <c r="SA367" s="6"/>
      <c r="SB367" s="6"/>
      <c r="SC367" s="6"/>
      <c r="SD367" s="6"/>
      <c r="SE367" s="6"/>
      <c r="SF367" s="6"/>
      <c r="SG367" s="6"/>
      <c r="SH367" s="6"/>
      <c r="SI367" s="6"/>
      <c r="SJ367" s="6"/>
      <c r="SK367" s="6"/>
      <c r="SL367" s="6"/>
      <c r="SM367" s="6"/>
      <c r="SN367" s="6"/>
      <c r="SO367" s="6"/>
      <c r="SP367" s="6"/>
      <c r="SQ367" s="6"/>
      <c r="SR367" s="6"/>
      <c r="SS367" s="6"/>
      <c r="ST367" s="6"/>
      <c r="SU367" s="6"/>
      <c r="SV367" s="6"/>
      <c r="SW367" s="6"/>
      <c r="SX367" s="6"/>
      <c r="SY367" s="6"/>
      <c r="SZ367" s="6"/>
      <c r="TA367" s="6"/>
      <c r="TB367" s="6"/>
      <c r="TC367" s="6"/>
      <c r="TD367" s="6"/>
      <c r="TE367" s="6"/>
      <c r="TF367" s="6"/>
      <c r="TG367" s="6"/>
      <c r="TH367" s="6"/>
      <c r="TI367" s="6"/>
      <c r="TJ367" s="6"/>
      <c r="TK367" s="6"/>
      <c r="TL367" s="6"/>
      <c r="TM367" s="6"/>
      <c r="TN367" s="6"/>
      <c r="TO367" s="6"/>
      <c r="TP367" s="6"/>
      <c r="TQ367" s="6"/>
      <c r="TR367" s="6"/>
      <c r="TS367" s="6"/>
      <c r="TT367" s="6"/>
      <c r="TU367" s="6"/>
      <c r="TV367" s="6"/>
      <c r="TW367" s="6"/>
      <c r="TX367" s="6"/>
      <c r="TY367" s="6"/>
      <c r="TZ367" s="6"/>
      <c r="UA367" s="6"/>
      <c r="UB367" s="6"/>
      <c r="UC367" s="6"/>
      <c r="UD367" s="6"/>
      <c r="UE367" s="6"/>
      <c r="UF367" s="6"/>
      <c r="UG367" s="6"/>
      <c r="UH367" s="6"/>
      <c r="UI367" s="6"/>
      <c r="UJ367" s="6"/>
      <c r="UK367" s="6"/>
      <c r="UL367" s="6"/>
      <c r="UM367" s="6"/>
      <c r="UN367" s="6"/>
      <c r="UO367" s="6"/>
      <c r="UP367" s="6"/>
      <c r="UQ367" s="6"/>
      <c r="UR367" s="6"/>
      <c r="US367" s="6"/>
      <c r="UT367" s="6"/>
      <c r="UU367" s="6"/>
      <c r="UV367" s="6"/>
      <c r="UW367" s="6"/>
      <c r="UX367" s="6"/>
      <c r="UY367" s="6"/>
      <c r="UZ367" s="6"/>
      <c r="VA367" s="6"/>
      <c r="VB367" s="6"/>
      <c r="VC367" s="6"/>
      <c r="VD367" s="6"/>
      <c r="VE367" s="6"/>
      <c r="VF367" s="6"/>
      <c r="VG367" s="6"/>
      <c r="VH367" s="6"/>
      <c r="VI367" s="6"/>
      <c r="VJ367" s="6"/>
      <c r="VK367" s="6"/>
      <c r="VL367" s="6"/>
      <c r="VM367" s="6"/>
      <c r="VN367" s="6"/>
      <c r="VO367" s="6"/>
      <c r="VP367" s="6"/>
      <c r="VQ367" s="6"/>
      <c r="VR367" s="6"/>
      <c r="VS367" s="6"/>
      <c r="VT367" s="6"/>
      <c r="VU367" s="6"/>
      <c r="VV367" s="6"/>
      <c r="VW367" s="6"/>
      <c r="VX367" s="6"/>
      <c r="VY367" s="6"/>
      <c r="VZ367" s="6"/>
      <c r="WA367" s="6"/>
      <c r="WB367" s="6"/>
      <c r="WC367" s="6"/>
      <c r="WD367" s="6"/>
      <c r="WE367" s="6"/>
      <c r="WF367" s="6"/>
      <c r="WG367" s="6"/>
      <c r="WH367" s="6"/>
      <c r="WI367" s="6"/>
      <c r="WJ367" s="6"/>
      <c r="WK367" s="6"/>
      <c r="WL367" s="6"/>
      <c r="WM367" s="6"/>
      <c r="WN367" s="6"/>
      <c r="WO367" s="6"/>
      <c r="WP367" s="6"/>
      <c r="WQ367" s="6"/>
      <c r="WR367" s="6"/>
      <c r="WS367" s="6"/>
      <c r="WT367" s="6"/>
      <c r="WU367" s="6"/>
      <c r="WV367" s="6"/>
      <c r="WW367" s="6"/>
      <c r="WX367" s="6"/>
      <c r="WY367" s="6"/>
      <c r="WZ367" s="6"/>
      <c r="XA367" s="6"/>
      <c r="XB367" s="6"/>
      <c r="XC367" s="6"/>
      <c r="XD367" s="6"/>
      <c r="XE367" s="6"/>
      <c r="XF367" s="6"/>
      <c r="XG367" s="6"/>
      <c r="XH367" s="6"/>
      <c r="XI367" s="6"/>
      <c r="XJ367" s="6"/>
      <c r="XK367" s="6"/>
      <c r="XL367" s="6"/>
      <c r="XM367" s="6"/>
      <c r="XN367" s="6"/>
      <c r="XO367" s="6"/>
      <c r="XP367" s="6"/>
      <c r="XQ367" s="6"/>
      <c r="XR367" s="6"/>
      <c r="XS367" s="6"/>
      <c r="XT367" s="6"/>
      <c r="XU367" s="6"/>
      <c r="XV367" s="6"/>
      <c r="XW367" s="6"/>
      <c r="XX367" s="6"/>
      <c r="XY367" s="6"/>
      <c r="XZ367" s="6"/>
      <c r="YA367" s="6"/>
      <c r="YB367" s="6"/>
      <c r="YC367" s="6"/>
      <c r="YD367" s="6"/>
      <c r="YE367" s="6"/>
      <c r="YF367" s="6"/>
      <c r="YG367" s="6"/>
      <c r="YH367" s="6"/>
      <c r="YI367" s="6"/>
      <c r="YJ367" s="6"/>
      <c r="YK367" s="6"/>
      <c r="YL367" s="6"/>
      <c r="YM367" s="6"/>
      <c r="YN367" s="6"/>
      <c r="YO367" s="6"/>
      <c r="YP367" s="6"/>
      <c r="YQ367" s="6"/>
      <c r="YR367" s="6"/>
      <c r="YS367" s="6"/>
      <c r="YT367" s="6"/>
      <c r="YU367" s="6"/>
      <c r="YV367" s="6"/>
      <c r="YW367" s="6"/>
      <c r="YX367" s="6"/>
      <c r="YY367" s="6"/>
      <c r="YZ367" s="6"/>
      <c r="ZA367" s="6"/>
      <c r="ZB367" s="6"/>
      <c r="ZC367" s="6"/>
      <c r="ZD367" s="6"/>
      <c r="ZE367" s="6"/>
      <c r="ZF367" s="6"/>
      <c r="ZG367" s="6"/>
      <c r="ZH367" s="6"/>
      <c r="ZI367" s="6"/>
      <c r="ZJ367" s="6"/>
      <c r="ZK367" s="6"/>
      <c r="ZL367" s="6"/>
      <c r="ZM367" s="6"/>
      <c r="ZN367" s="6"/>
      <c r="ZO367" s="6"/>
      <c r="ZP367" s="6"/>
      <c r="ZQ367" s="6"/>
      <c r="ZR367" s="6"/>
      <c r="ZS367" s="6"/>
      <c r="ZT367" s="6"/>
      <c r="ZU367" s="6"/>
      <c r="ZV367" s="6"/>
      <c r="ZW367" s="6"/>
      <c r="ZX367" s="6"/>
      <c r="ZY367" s="6"/>
      <c r="ZZ367" s="6"/>
      <c r="AAA367" s="6"/>
      <c r="AAB367" s="6"/>
      <c r="AAC367" s="6"/>
      <c r="AAD367" s="6"/>
      <c r="AAE367" s="6"/>
      <c r="AAF367" s="6"/>
      <c r="AAG367" s="6"/>
      <c r="AAH367" s="6"/>
      <c r="AAI367" s="6"/>
      <c r="AAJ367" s="6"/>
      <c r="AAK367" s="6"/>
      <c r="AAL367" s="6"/>
      <c r="AAM367" s="6"/>
      <c r="AAN367" s="6"/>
      <c r="AAO367" s="6"/>
      <c r="AAP367" s="6"/>
      <c r="AAQ367" s="6"/>
      <c r="AAR367" s="6"/>
      <c r="AAS367" s="6"/>
      <c r="AAT367" s="6"/>
      <c r="AAU367" s="6"/>
      <c r="AAV367" s="6"/>
      <c r="AAW367" s="6"/>
      <c r="AAX367" s="6"/>
      <c r="AAY367" s="6"/>
      <c r="AAZ367" s="6"/>
      <c r="ABA367" s="6"/>
      <c r="ABB367" s="6"/>
      <c r="ABC367" s="6"/>
      <c r="ABD367" s="6"/>
      <c r="ABE367" s="6"/>
      <c r="ABF367" s="6"/>
      <c r="ABG367" s="6"/>
      <c r="ABH367" s="6"/>
      <c r="ABI367" s="6"/>
      <c r="ABJ367" s="6"/>
      <c r="ABK367" s="6"/>
      <c r="ABL367" s="6"/>
      <c r="ABM367" s="6"/>
      <c r="ABN367" s="6"/>
      <c r="ABO367" s="6"/>
      <c r="ABP367" s="6"/>
      <c r="ABQ367" s="6"/>
      <c r="ABR367" s="6"/>
      <c r="ABS367" s="6"/>
      <c r="ABT367" s="6"/>
      <c r="ABU367" s="6"/>
      <c r="ABV367" s="6"/>
      <c r="ABW367" s="6"/>
      <c r="ABX367" s="6"/>
      <c r="ABY367" s="6"/>
      <c r="ABZ367" s="6"/>
      <c r="ACA367" s="6"/>
      <c r="ACB367" s="6"/>
      <c r="ACC367" s="6"/>
      <c r="ACD367" s="6"/>
      <c r="ACE367" s="6"/>
      <c r="ACF367" s="6"/>
      <c r="ACG367" s="6"/>
      <c r="ACH367" s="6"/>
      <c r="ACI367" s="6"/>
      <c r="ACJ367" s="6"/>
      <c r="ACK367" s="6"/>
      <c r="ACL367" s="6"/>
      <c r="ACM367" s="6"/>
      <c r="ACN367" s="6"/>
      <c r="ACO367" s="6"/>
      <c r="ACP367" s="6"/>
      <c r="ACQ367" s="6"/>
      <c r="ACR367" s="6"/>
      <c r="ACS367" s="6"/>
      <c r="ACT367" s="6"/>
      <c r="ACU367" s="6"/>
      <c r="ACV367" s="6"/>
      <c r="ACW367" s="6"/>
      <c r="ACX367" s="6"/>
      <c r="ACY367" s="6"/>
      <c r="ACZ367" s="6"/>
      <c r="ADA367" s="6"/>
      <c r="ADB367" s="6"/>
      <c r="ADC367" s="6"/>
      <c r="ADD367" s="6"/>
      <c r="ADE367" s="6"/>
      <c r="ADF367" s="6"/>
      <c r="ADG367" s="6"/>
      <c r="ADH367" s="6"/>
      <c r="ADI367" s="6"/>
      <c r="ADJ367" s="6"/>
      <c r="ADK367" s="6"/>
      <c r="ADL367" s="6"/>
      <c r="ADM367" s="6"/>
      <c r="ADN367" s="6"/>
      <c r="ADO367" s="6"/>
      <c r="ADP367" s="6"/>
      <c r="ADQ367" s="6"/>
      <c r="ADR367" s="6"/>
      <c r="ADS367" s="6"/>
      <c r="ADT367" s="6"/>
      <c r="ADU367" s="6"/>
      <c r="ADV367" s="6"/>
      <c r="ADW367" s="6"/>
      <c r="ADX367" s="6"/>
      <c r="ADY367" s="6"/>
      <c r="ADZ367" s="6"/>
      <c r="AEA367" s="6"/>
      <c r="AEB367" s="6"/>
      <c r="AEC367" s="6"/>
      <c r="AED367" s="6"/>
      <c r="AEE367" s="6"/>
      <c r="AEF367" s="6"/>
      <c r="AEG367" s="6"/>
      <c r="AEH367" s="6"/>
      <c r="AEI367" s="6"/>
      <c r="AEJ367" s="6"/>
      <c r="AEK367" s="6"/>
      <c r="AEL367" s="6"/>
      <c r="AEM367" s="6"/>
      <c r="AEN367" s="6"/>
      <c r="AEO367" s="6"/>
      <c r="AEP367" s="6"/>
      <c r="AEQ367" s="6"/>
      <c r="AER367" s="6"/>
      <c r="AES367" s="6"/>
      <c r="AET367" s="6"/>
      <c r="AEU367" s="6"/>
      <c r="AEV367" s="6"/>
      <c r="AEW367" s="6"/>
      <c r="AEX367" s="6"/>
      <c r="AEY367" s="6"/>
      <c r="AEZ367" s="6"/>
      <c r="AFA367" s="6"/>
      <c r="AFB367" s="6"/>
      <c r="AFC367" s="6"/>
      <c r="AFD367" s="6"/>
      <c r="AFE367" s="6"/>
      <c r="AFF367" s="6"/>
      <c r="AFG367" s="6"/>
      <c r="AFH367" s="6"/>
      <c r="AFI367" s="6"/>
      <c r="AFJ367" s="6"/>
      <c r="AFK367" s="6"/>
      <c r="AFL367" s="6"/>
      <c r="AFM367" s="6"/>
      <c r="AFN367" s="6"/>
      <c r="AFO367" s="6"/>
      <c r="AFP367" s="6"/>
      <c r="AFQ367" s="6"/>
      <c r="AFR367" s="6"/>
      <c r="AFS367" s="6"/>
      <c r="AFT367" s="6"/>
      <c r="AFU367" s="6"/>
      <c r="AFV367" s="6"/>
      <c r="AFW367" s="6"/>
      <c r="AFX367" s="6"/>
      <c r="AFY367" s="6"/>
      <c r="AFZ367" s="6"/>
      <c r="AGA367" s="6"/>
      <c r="AGB367" s="6"/>
      <c r="AGC367" s="6"/>
      <c r="AGD367" s="6"/>
      <c r="AGE367" s="6"/>
      <c r="AGF367" s="6"/>
      <c r="AGG367" s="6"/>
      <c r="AGH367" s="6"/>
      <c r="AGI367" s="6"/>
      <c r="AGJ367" s="6"/>
      <c r="AGK367" s="6"/>
      <c r="AGL367" s="6"/>
      <c r="AGM367" s="6"/>
      <c r="AGN367" s="6"/>
      <c r="AGO367" s="6"/>
      <c r="AGP367" s="6"/>
      <c r="AGQ367" s="6"/>
      <c r="AGR367" s="6"/>
      <c r="AGS367" s="6"/>
      <c r="AGT367" s="6"/>
      <c r="AGU367" s="6"/>
      <c r="AGV367" s="6"/>
      <c r="AGW367" s="6"/>
      <c r="AGX367" s="6"/>
      <c r="AGY367" s="6"/>
      <c r="AGZ367" s="6"/>
      <c r="AHA367" s="6"/>
      <c r="AHB367" s="6"/>
      <c r="AHC367" s="6"/>
      <c r="AHD367" s="6"/>
      <c r="AHE367" s="6"/>
      <c r="AHF367" s="6"/>
      <c r="AHG367" s="6"/>
      <c r="AHH367" s="6"/>
      <c r="AHI367" s="6"/>
      <c r="AHJ367" s="6"/>
      <c r="AHK367" s="6"/>
      <c r="AHL367" s="6"/>
      <c r="AHM367" s="6"/>
      <c r="AHN367" s="6"/>
      <c r="AHO367" s="6"/>
      <c r="AHP367" s="6"/>
      <c r="AHQ367" s="6"/>
      <c r="AHR367" s="6"/>
      <c r="AHS367" s="6"/>
      <c r="AHT367" s="6"/>
      <c r="AHU367" s="6"/>
      <c r="AHV367" s="6"/>
      <c r="AHW367" s="6"/>
      <c r="AHX367" s="6"/>
      <c r="AHY367" s="6"/>
      <c r="AHZ367" s="6"/>
      <c r="AIA367" s="6"/>
      <c r="AIB367" s="6"/>
      <c r="AIC367" s="6"/>
      <c r="AID367" s="6"/>
      <c r="AIE367" s="6"/>
      <c r="AIF367" s="6"/>
      <c r="AIG367" s="6"/>
      <c r="AIH367" s="6"/>
      <c r="AII367" s="6"/>
      <c r="AIJ367" s="6"/>
      <c r="AIK367" s="6"/>
      <c r="AIL367" s="6"/>
      <c r="AIM367" s="6"/>
      <c r="AIN367" s="6"/>
      <c r="AIO367" s="6"/>
      <c r="AIP367" s="6"/>
      <c r="AIQ367" s="6"/>
      <c r="AIR367" s="6"/>
      <c r="AIS367" s="6"/>
      <c r="AIT367" s="6"/>
      <c r="AIU367" s="6"/>
      <c r="AIV367" s="6"/>
      <c r="AIW367" s="6"/>
      <c r="AIX367" s="6"/>
      <c r="AIY367" s="6"/>
      <c r="AIZ367" s="6"/>
      <c r="AJA367" s="6"/>
      <c r="AJB367" s="6"/>
      <c r="AJC367" s="6"/>
      <c r="AJD367" s="6"/>
      <c r="AJE367" s="6"/>
      <c r="AJF367" s="6"/>
      <c r="AJG367" s="6"/>
      <c r="AJH367" s="6"/>
      <c r="AJI367" s="6"/>
      <c r="AJJ367" s="6"/>
      <c r="AJK367" s="6"/>
      <c r="AJL367" s="6"/>
      <c r="AJM367" s="6"/>
      <c r="AJN367" s="6"/>
      <c r="AJO367" s="6"/>
      <c r="AJP367" s="6"/>
      <c r="AJQ367" s="6"/>
      <c r="AJR367" s="6"/>
      <c r="AJS367" s="6"/>
      <c r="AJT367" s="6"/>
      <c r="AJU367" s="6"/>
      <c r="AJV367" s="6"/>
      <c r="AJW367" s="6"/>
      <c r="AJX367" s="6"/>
      <c r="AJY367" s="6"/>
      <c r="AJZ367" s="6"/>
      <c r="AKA367" s="6"/>
      <c r="AKB367" s="6"/>
      <c r="AKC367" s="6"/>
      <c r="AKD367" s="6"/>
      <c r="AKE367" s="6"/>
      <c r="AKF367" s="6"/>
      <c r="AKG367" s="6"/>
      <c r="AKH367" s="6"/>
      <c r="AKI367" s="6"/>
      <c r="AKJ367" s="6"/>
      <c r="AKK367" s="6"/>
      <c r="AKL367" s="6"/>
      <c r="AKM367" s="6"/>
      <c r="AKN367" s="6"/>
      <c r="AKO367" s="6"/>
      <c r="AKP367" s="6"/>
      <c r="AKQ367" s="6"/>
      <c r="AKR367" s="6"/>
      <c r="AKS367" s="6"/>
      <c r="AKT367" s="6"/>
      <c r="AKU367" s="6"/>
      <c r="AKV367" s="6"/>
      <c r="AKW367" s="6"/>
      <c r="AKX367" s="6"/>
      <c r="AKY367" s="6"/>
      <c r="AKZ367" s="6"/>
      <c r="ALA367" s="6"/>
      <c r="ALB367" s="6"/>
      <c r="ALC367" s="6"/>
      <c r="ALD367" s="6"/>
      <c r="ALE367" s="6"/>
      <c r="ALF367" s="6"/>
      <c r="ALG367" s="6"/>
      <c r="ALH367" s="6"/>
      <c r="ALI367" s="6"/>
      <c r="ALJ367" s="6"/>
      <c r="ALK367" s="6"/>
      <c r="ALL367" s="6"/>
      <c r="ALM367" s="6"/>
      <c r="ALN367" s="6"/>
      <c r="ALO367" s="6"/>
      <c r="ALP367" s="6"/>
      <c r="ALQ367" s="6"/>
      <c r="ALR367" s="6"/>
      <c r="ALS367" s="6"/>
      <c r="ALT367" s="6"/>
      <c r="ALU367" s="6"/>
      <c r="ALV367" s="6"/>
      <c r="ALW367" s="6"/>
      <c r="ALX367" s="6"/>
      <c r="ALY367" s="6"/>
      <c r="ALZ367" s="6"/>
      <c r="AMA367" s="6"/>
      <c r="AMB367" s="6"/>
      <c r="AMC367" s="6"/>
      <c r="AMD367" s="6"/>
      <c r="AME367" s="6"/>
      <c r="AMF367" s="6"/>
      <c r="AMG367" s="6"/>
      <c r="AMH367" s="6"/>
      <c r="AMI367" s="6"/>
      <c r="AMJ367" s="6"/>
      <c r="AMK367" s="6"/>
      <c r="AML367" s="6"/>
      <c r="AMM367" s="6"/>
      <c r="AMN367" s="6"/>
      <c r="AMO367" s="6"/>
      <c r="AMP367" s="6"/>
    </row>
    <row r="368" spans="1:1030" x14ac:dyDescent="0.2">
      <c r="A368" s="3" t="str">
        <f t="shared" si="2739"/>
        <v>calcr_human__wt</v>
      </c>
      <c r="B368" s="2" t="s">
        <v>401</v>
      </c>
      <c r="C368" s="3" t="s">
        <v>100</v>
      </c>
      <c r="D368" s="3" t="str">
        <f>IFERROR(MID(VLOOKUP($B368,Seqs!$A:$B,2,0),E368,1),"")</f>
        <v>T</v>
      </c>
      <c r="E368" s="3">
        <v>132</v>
      </c>
      <c r="F368" s="3" t="str">
        <f>IFERROR(MID(VLOOKUP($B368,Seqs!$A:$B,2,0),G368,1),"")</f>
        <v>F</v>
      </c>
      <c r="G368" s="3">
        <v>173</v>
      </c>
      <c r="H368" s="3" t="str">
        <f>IFERROR(MID(VLOOKUP($B368,Seqs!$A:$B,2,0),I368,1),"")</f>
        <v>R</v>
      </c>
      <c r="I368" s="23">
        <v>174</v>
      </c>
      <c r="J368" s="3" t="str">
        <f>IFERROR(MID(VLOOKUP($B368,Seqs!$A:$B,2,0),K368,1),"")</f>
        <v>G</v>
      </c>
      <c r="K368" s="23">
        <v>177</v>
      </c>
      <c r="L368" s="3" t="str">
        <f>IFERROR(MID(VLOOKUP($B368,Seqs!$A:$B,2,0),M368,1),"")</f>
        <v>C</v>
      </c>
      <c r="M368" s="3">
        <v>178</v>
      </c>
      <c r="N368" s="3" t="str">
        <f>IFERROR(MID(VLOOKUP($B368,Seqs!$A:$B,2,0),O368,1),"")</f>
        <v>V</v>
      </c>
      <c r="O368" s="3">
        <v>205</v>
      </c>
      <c r="P368" s="3" t="str">
        <f>IFERROR(MID(VLOOKUP($B368,Seqs!$A:$B,2,0),Q368,1),"")</f>
        <v/>
      </c>
      <c r="Q368" s="3" t="s">
        <v>23</v>
      </c>
      <c r="R368" s="3" t="str">
        <f>IFERROR(MID(VLOOKUP($B368,Seqs!$A:$B,2,0),S368,1),"")</f>
        <v/>
      </c>
      <c r="S368" s="3" t="s">
        <v>23</v>
      </c>
      <c r="T368" s="3" t="str">
        <f>IFERROR(MID(VLOOKUP($B368,Seqs!$A:$B,2,0),U368,1),"")</f>
        <v>V</v>
      </c>
      <c r="U368" s="105">
        <v>217</v>
      </c>
      <c r="V368" s="3" t="str">
        <f>IFERROR(MID(VLOOKUP($B368,Seqs!$A:$B,2,0),W368,1),"")</f>
        <v>V</v>
      </c>
      <c r="W368" s="3">
        <v>250</v>
      </c>
      <c r="X368" s="3" t="str">
        <f>IFERROR(MID(VLOOKUP($B368,Seqs!$A:$B,2,0),Y368,1),"")</f>
        <v/>
      </c>
      <c r="Y368" s="3" t="s">
        <v>23</v>
      </c>
      <c r="Z368" s="3" t="str">
        <f>IFERROR(MID(VLOOKUP($B368,Seqs!$A:$B,2,0),AA368,1),"")</f>
        <v/>
      </c>
      <c r="AA368" s="3" t="s">
        <v>23</v>
      </c>
      <c r="AB368" s="3" t="str">
        <f>IFERROR(MID(VLOOKUP($B368,Seqs!$A:$B,2,0),AC368,1),"")</f>
        <v>R</v>
      </c>
      <c r="AC368" s="3">
        <v>258</v>
      </c>
      <c r="AD368" s="3" t="str">
        <f>IFERROR(MID(VLOOKUP($B368,Seqs!$A:$B,2,0),AE368,1),"")</f>
        <v>F</v>
      </c>
      <c r="AE368" s="3">
        <v>285</v>
      </c>
      <c r="AF368" s="3" t="str">
        <f>IFERROR(MID(VLOOKUP($B368,Seqs!$A:$B,2,0),AG368,1),"")</f>
        <v>C</v>
      </c>
      <c r="AG368" s="3">
        <v>289</v>
      </c>
      <c r="AH368" s="3" t="str">
        <f>IFERROR(MID(VLOOKUP($B368,Seqs!$A:$B,2,0),AI368,1),"")</f>
        <v>L</v>
      </c>
      <c r="AI368" s="3">
        <v>291</v>
      </c>
      <c r="AJ368" s="3" t="str">
        <f>IFERROR(MID(VLOOKUP($B368,Seqs!$A:$B,2,0),AK368,1),"")</f>
        <v>L</v>
      </c>
      <c r="AK368" s="3">
        <v>298</v>
      </c>
      <c r="AL368" s="3" t="str">
        <f>IFERROR(MID(VLOOKUP($B368,Seqs!$A:$B,2,0),AM368,1),"")</f>
        <v>R</v>
      </c>
      <c r="AM368" s="3">
        <v>328</v>
      </c>
      <c r="AN368" s="3" t="str">
        <f>IFERROR(MID(VLOOKUP($B368,Seqs!$A:$B,2,0),AO368,1),"")</f>
        <v>Y</v>
      </c>
      <c r="AO368" s="3">
        <v>338</v>
      </c>
      <c r="AP368" s="3" t="str">
        <f>IFERROR(MID(VLOOKUP($B368,Seqs!$A:$B,2,0),AQ368,1),"")</f>
        <v>W</v>
      </c>
      <c r="AQ368" s="3">
        <v>361</v>
      </c>
      <c r="AR368" s="3" t="str">
        <f>IFERROR(MID(VLOOKUP($B368,Seqs!$A:$B,2,0),AS368,1),"")</f>
        <v>K</v>
      </c>
      <c r="AS368" s="3">
        <v>366</v>
      </c>
      <c r="AT368" s="3" t="str">
        <f>IFERROR(MID(VLOOKUP($B368,Seqs!$A:$B,2,0),AU368,1),"")</f>
        <v>C</v>
      </c>
      <c r="AU368" s="3">
        <v>394</v>
      </c>
      <c r="AV368" s="3" t="str">
        <f>IFERROR(MID(VLOOKUP($B368,Seqs!$A:$B,2,0),AW368,1),"")</f>
        <v>N</v>
      </c>
      <c r="AW368" s="3">
        <v>395</v>
      </c>
      <c r="AX368" s="3" t="str">
        <f>IFERROR(MID(VLOOKUP($B368,Seqs!$A:$B,2,0),AY368,1),"")</f>
        <v>R</v>
      </c>
      <c r="AY368" s="3">
        <v>420</v>
      </c>
      <c r="AZ368" s="77" t="str">
        <f>VLOOKUP(B368,Classification!A:D,2,0)</f>
        <v>B1</v>
      </c>
      <c r="BA368" s="94" t="str">
        <f>VLOOKUP(B368,Classification!A:D,4,0)</f>
        <v>Calcitonin</v>
      </c>
      <c r="BB368" s="27" t="b">
        <f t="shared" si="2712"/>
        <v>1</v>
      </c>
      <c r="BC368" s="23">
        <f t="shared" si="2713"/>
        <v>251</v>
      </c>
      <c r="BD368" s="4" t="s">
        <v>23</v>
      </c>
      <c r="BE368" s="3" t="s">
        <v>23</v>
      </c>
      <c r="BF368" s="118" t="s">
        <v>23</v>
      </c>
      <c r="BG368" s="49" t="s">
        <v>1377</v>
      </c>
      <c r="BH368" s="49" t="s">
        <v>1377</v>
      </c>
      <c r="BI368" s="1"/>
      <c r="BJ368" s="70" t="s">
        <v>1287</v>
      </c>
      <c r="BK368" s="57" t="s">
        <v>1287</v>
      </c>
      <c r="BL368" s="57" t="s">
        <v>1287</v>
      </c>
      <c r="BM368" s="57" t="s">
        <v>1287</v>
      </c>
      <c r="BN368" s="57" t="s">
        <v>1287</v>
      </c>
      <c r="BO368" s="57" t="s">
        <v>1287</v>
      </c>
      <c r="BP368" s="57" t="s">
        <v>1287</v>
      </c>
      <c r="BQ368" s="57" t="s">
        <v>1287</v>
      </c>
      <c r="BR368" s="57" t="s">
        <v>1287</v>
      </c>
      <c r="BS368" s="57" t="s">
        <v>1287</v>
      </c>
      <c r="BT368" s="57" t="s">
        <v>1287</v>
      </c>
      <c r="BU368" s="57" t="s">
        <v>1287</v>
      </c>
      <c r="BV368" s="70">
        <f t="shared" si="2714"/>
        <v>132</v>
      </c>
      <c r="BW368" s="71">
        <f t="shared" si="2715"/>
        <v>174</v>
      </c>
      <c r="BX368" s="72">
        <f t="shared" si="2716"/>
        <v>178</v>
      </c>
      <c r="BY368" s="71" t="str">
        <f t="shared" si="2717"/>
        <v>-</v>
      </c>
      <c r="BZ368" s="72">
        <f t="shared" si="2718"/>
        <v>217</v>
      </c>
      <c r="CA368" s="71" t="str">
        <f t="shared" si="2719"/>
        <v>-</v>
      </c>
      <c r="CB368" s="72">
        <f t="shared" si="2720"/>
        <v>258</v>
      </c>
      <c r="CC368" s="71">
        <f t="shared" si="2721"/>
        <v>289</v>
      </c>
      <c r="CD368" s="72">
        <f t="shared" si="2722"/>
        <v>298</v>
      </c>
      <c r="CE368" s="71">
        <f t="shared" si="2723"/>
        <v>338</v>
      </c>
      <c r="CF368" s="72">
        <f t="shared" si="2724"/>
        <v>366</v>
      </c>
      <c r="CG368" s="71">
        <f t="shared" si="2725"/>
        <v>395</v>
      </c>
      <c r="CH368" s="70">
        <f t="shared" si="2726"/>
        <v>173</v>
      </c>
      <c r="CI368" s="71">
        <f t="shared" si="2727"/>
        <v>177</v>
      </c>
      <c r="CJ368" s="72">
        <f t="shared" si="2728"/>
        <v>205</v>
      </c>
      <c r="CK368" s="72" t="str">
        <f t="shared" si="2729"/>
        <v>-</v>
      </c>
      <c r="CL368" s="72">
        <f t="shared" si="2730"/>
        <v>250</v>
      </c>
      <c r="CM368" s="72" t="str">
        <f t="shared" si="2731"/>
        <v>-</v>
      </c>
      <c r="CN368" s="72">
        <f t="shared" si="2732"/>
        <v>285</v>
      </c>
      <c r="CO368" s="72">
        <f t="shared" si="2733"/>
        <v>291</v>
      </c>
      <c r="CP368" s="72">
        <f t="shared" si="2734"/>
        <v>328</v>
      </c>
      <c r="CQ368" s="72">
        <f t="shared" si="2735"/>
        <v>361</v>
      </c>
      <c r="CR368" s="72">
        <f t="shared" si="2736"/>
        <v>394</v>
      </c>
      <c r="CS368" s="72">
        <f t="shared" si="2737"/>
        <v>420</v>
      </c>
      <c r="CT368" s="23">
        <f t="shared" si="2738"/>
        <v>1</v>
      </c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  <c r="SC368" s="6"/>
      <c r="SD368" s="6"/>
      <c r="SE368" s="6"/>
      <c r="SF368" s="6"/>
      <c r="SG368" s="6"/>
      <c r="SH368" s="6"/>
      <c r="SI368" s="6"/>
      <c r="SJ368" s="6"/>
      <c r="SK368" s="6"/>
      <c r="SL368" s="6"/>
      <c r="SM368" s="6"/>
      <c r="SN368" s="6"/>
      <c r="SO368" s="6"/>
      <c r="SP368" s="6"/>
      <c r="SQ368" s="6"/>
      <c r="SR368" s="6"/>
      <c r="SS368" s="6"/>
      <c r="ST368" s="6"/>
      <c r="SU368" s="6"/>
      <c r="SV368" s="6"/>
      <c r="SW368" s="6"/>
      <c r="SX368" s="6"/>
      <c r="SY368" s="6"/>
      <c r="SZ368" s="6"/>
      <c r="TA368" s="6"/>
      <c r="TB368" s="6"/>
      <c r="TC368" s="6"/>
      <c r="TD368" s="6"/>
      <c r="TE368" s="6"/>
      <c r="TF368" s="6"/>
      <c r="TG368" s="6"/>
      <c r="TH368" s="6"/>
      <c r="TI368" s="6"/>
      <c r="TJ368" s="6"/>
      <c r="TK368" s="6"/>
      <c r="TL368" s="6"/>
      <c r="TM368" s="6"/>
      <c r="TN368" s="6"/>
      <c r="TO368" s="6"/>
      <c r="TP368" s="6"/>
      <c r="TQ368" s="6"/>
      <c r="TR368" s="6"/>
      <c r="TS368" s="6"/>
      <c r="TT368" s="6"/>
      <c r="TU368" s="6"/>
      <c r="TV368" s="6"/>
      <c r="TW368" s="6"/>
      <c r="TX368" s="6"/>
      <c r="TY368" s="6"/>
      <c r="TZ368" s="6"/>
      <c r="UA368" s="6"/>
      <c r="UB368" s="6"/>
      <c r="UC368" s="6"/>
      <c r="UD368" s="6"/>
      <c r="UE368" s="6"/>
      <c r="UF368" s="6"/>
      <c r="UG368" s="6"/>
      <c r="UH368" s="6"/>
      <c r="UI368" s="6"/>
      <c r="UJ368" s="6"/>
      <c r="UK368" s="6"/>
      <c r="UL368" s="6"/>
      <c r="UM368" s="6"/>
      <c r="UN368" s="6"/>
      <c r="UO368" s="6"/>
      <c r="UP368" s="6"/>
      <c r="UQ368" s="6"/>
      <c r="UR368" s="6"/>
      <c r="US368" s="6"/>
      <c r="UT368" s="6"/>
      <c r="UU368" s="6"/>
      <c r="UV368" s="6"/>
      <c r="UW368" s="6"/>
      <c r="UX368" s="6"/>
      <c r="UY368" s="6"/>
      <c r="UZ368" s="6"/>
      <c r="VA368" s="6"/>
      <c r="VB368" s="6"/>
      <c r="VC368" s="6"/>
      <c r="VD368" s="6"/>
      <c r="VE368" s="6"/>
      <c r="VF368" s="6"/>
      <c r="VG368" s="6"/>
      <c r="VH368" s="6"/>
      <c r="VI368" s="6"/>
      <c r="VJ368" s="6"/>
      <c r="VK368" s="6"/>
      <c r="VL368" s="6"/>
      <c r="VM368" s="6"/>
      <c r="VN368" s="6"/>
      <c r="VO368" s="6"/>
      <c r="VP368" s="6"/>
      <c r="VQ368" s="6"/>
      <c r="VR368" s="6"/>
      <c r="VS368" s="6"/>
      <c r="VT368" s="6"/>
      <c r="VU368" s="6"/>
      <c r="VV368" s="6"/>
      <c r="VW368" s="6"/>
      <c r="VX368" s="6"/>
      <c r="VY368" s="6"/>
      <c r="VZ368" s="6"/>
      <c r="WA368" s="6"/>
      <c r="WB368" s="6"/>
      <c r="WC368" s="6"/>
      <c r="WD368" s="6"/>
      <c r="WE368" s="6"/>
      <c r="WF368" s="6"/>
      <c r="WG368" s="6"/>
      <c r="WH368" s="6"/>
      <c r="WI368" s="6"/>
      <c r="WJ368" s="6"/>
      <c r="WK368" s="6"/>
      <c r="WL368" s="6"/>
      <c r="WM368" s="6"/>
      <c r="WN368" s="6"/>
      <c r="WO368" s="6"/>
      <c r="WP368" s="6"/>
      <c r="WQ368" s="6"/>
      <c r="WR368" s="6"/>
      <c r="WS368" s="6"/>
      <c r="WT368" s="6"/>
      <c r="WU368" s="6"/>
      <c r="WV368" s="6"/>
      <c r="WW368" s="6"/>
      <c r="WX368" s="6"/>
      <c r="WY368" s="6"/>
      <c r="WZ368" s="6"/>
      <c r="XA368" s="6"/>
      <c r="XB368" s="6"/>
      <c r="XC368" s="6"/>
      <c r="XD368" s="6"/>
      <c r="XE368" s="6"/>
      <c r="XF368" s="6"/>
      <c r="XG368" s="6"/>
      <c r="XH368" s="6"/>
      <c r="XI368" s="6"/>
      <c r="XJ368" s="6"/>
      <c r="XK368" s="6"/>
      <c r="XL368" s="6"/>
      <c r="XM368" s="6"/>
      <c r="XN368" s="6"/>
      <c r="XO368" s="6"/>
      <c r="XP368" s="6"/>
      <c r="XQ368" s="6"/>
      <c r="XR368" s="6"/>
      <c r="XS368" s="6"/>
      <c r="XT368" s="6"/>
      <c r="XU368" s="6"/>
      <c r="XV368" s="6"/>
      <c r="XW368" s="6"/>
      <c r="XX368" s="6"/>
      <c r="XY368" s="6"/>
      <c r="XZ368" s="6"/>
      <c r="YA368" s="6"/>
      <c r="YB368" s="6"/>
      <c r="YC368" s="6"/>
      <c r="YD368" s="6"/>
      <c r="YE368" s="6"/>
      <c r="YF368" s="6"/>
      <c r="YG368" s="6"/>
      <c r="YH368" s="6"/>
      <c r="YI368" s="6"/>
      <c r="YJ368" s="6"/>
      <c r="YK368" s="6"/>
      <c r="YL368" s="6"/>
      <c r="YM368" s="6"/>
      <c r="YN368" s="6"/>
      <c r="YO368" s="6"/>
      <c r="YP368" s="6"/>
      <c r="YQ368" s="6"/>
      <c r="YR368" s="6"/>
      <c r="YS368" s="6"/>
      <c r="YT368" s="6"/>
      <c r="YU368" s="6"/>
      <c r="YV368" s="6"/>
      <c r="YW368" s="6"/>
      <c r="YX368" s="6"/>
      <c r="YY368" s="6"/>
      <c r="YZ368" s="6"/>
      <c r="ZA368" s="6"/>
      <c r="ZB368" s="6"/>
      <c r="ZC368" s="6"/>
      <c r="ZD368" s="6"/>
      <c r="ZE368" s="6"/>
      <c r="ZF368" s="6"/>
      <c r="ZG368" s="6"/>
      <c r="ZH368" s="6"/>
      <c r="ZI368" s="6"/>
      <c r="ZJ368" s="6"/>
      <c r="ZK368" s="6"/>
      <c r="ZL368" s="6"/>
      <c r="ZM368" s="6"/>
      <c r="ZN368" s="6"/>
      <c r="ZO368" s="6"/>
      <c r="ZP368" s="6"/>
      <c r="ZQ368" s="6"/>
      <c r="ZR368" s="6"/>
      <c r="ZS368" s="6"/>
      <c r="ZT368" s="6"/>
      <c r="ZU368" s="6"/>
      <c r="ZV368" s="6"/>
      <c r="ZW368" s="6"/>
      <c r="ZX368" s="6"/>
      <c r="ZY368" s="6"/>
      <c r="ZZ368" s="6"/>
      <c r="AAA368" s="6"/>
      <c r="AAB368" s="6"/>
      <c r="AAC368" s="6"/>
      <c r="AAD368" s="6"/>
      <c r="AAE368" s="6"/>
      <c r="AAF368" s="6"/>
      <c r="AAG368" s="6"/>
      <c r="AAH368" s="6"/>
      <c r="AAI368" s="6"/>
      <c r="AAJ368" s="6"/>
      <c r="AAK368" s="6"/>
      <c r="AAL368" s="6"/>
      <c r="AAM368" s="6"/>
      <c r="AAN368" s="6"/>
      <c r="AAO368" s="6"/>
      <c r="AAP368" s="6"/>
      <c r="AAQ368" s="6"/>
      <c r="AAR368" s="6"/>
      <c r="AAS368" s="6"/>
      <c r="AAT368" s="6"/>
      <c r="AAU368" s="6"/>
      <c r="AAV368" s="6"/>
      <c r="AAW368" s="6"/>
      <c r="AAX368" s="6"/>
      <c r="AAY368" s="6"/>
      <c r="AAZ368" s="6"/>
      <c r="ABA368" s="6"/>
      <c r="ABB368" s="6"/>
      <c r="ABC368" s="6"/>
      <c r="ABD368" s="6"/>
      <c r="ABE368" s="6"/>
      <c r="ABF368" s="6"/>
      <c r="ABG368" s="6"/>
      <c r="ABH368" s="6"/>
      <c r="ABI368" s="6"/>
      <c r="ABJ368" s="6"/>
      <c r="ABK368" s="6"/>
      <c r="ABL368" s="6"/>
      <c r="ABM368" s="6"/>
      <c r="ABN368" s="6"/>
      <c r="ABO368" s="6"/>
      <c r="ABP368" s="6"/>
      <c r="ABQ368" s="6"/>
      <c r="ABR368" s="6"/>
      <c r="ABS368" s="6"/>
      <c r="ABT368" s="6"/>
      <c r="ABU368" s="6"/>
      <c r="ABV368" s="6"/>
      <c r="ABW368" s="6"/>
      <c r="ABX368" s="6"/>
      <c r="ABY368" s="6"/>
      <c r="ABZ368" s="6"/>
      <c r="ACA368" s="6"/>
      <c r="ACB368" s="6"/>
      <c r="ACC368" s="6"/>
      <c r="ACD368" s="6"/>
      <c r="ACE368" s="6"/>
      <c r="ACF368" s="6"/>
      <c r="ACG368" s="6"/>
      <c r="ACH368" s="6"/>
      <c r="ACI368" s="6"/>
      <c r="ACJ368" s="6"/>
      <c r="ACK368" s="6"/>
      <c r="ACL368" s="6"/>
      <c r="ACM368" s="6"/>
      <c r="ACN368" s="6"/>
      <c r="ACO368" s="6"/>
      <c r="ACP368" s="6"/>
      <c r="ACQ368" s="6"/>
      <c r="ACR368" s="6"/>
      <c r="ACS368" s="6"/>
      <c r="ACT368" s="6"/>
      <c r="ACU368" s="6"/>
      <c r="ACV368" s="6"/>
      <c r="ACW368" s="6"/>
      <c r="ACX368" s="6"/>
      <c r="ACY368" s="6"/>
      <c r="ACZ368" s="6"/>
      <c r="ADA368" s="6"/>
      <c r="ADB368" s="6"/>
      <c r="ADC368" s="6"/>
      <c r="ADD368" s="6"/>
      <c r="ADE368" s="6"/>
      <c r="ADF368" s="6"/>
      <c r="ADG368" s="6"/>
      <c r="ADH368" s="6"/>
      <c r="ADI368" s="6"/>
      <c r="ADJ368" s="6"/>
      <c r="ADK368" s="6"/>
      <c r="ADL368" s="6"/>
      <c r="ADM368" s="6"/>
      <c r="ADN368" s="6"/>
      <c r="ADO368" s="6"/>
      <c r="ADP368" s="6"/>
      <c r="ADQ368" s="6"/>
      <c r="ADR368" s="6"/>
      <c r="ADS368" s="6"/>
      <c r="ADT368" s="6"/>
      <c r="ADU368" s="6"/>
      <c r="ADV368" s="6"/>
      <c r="ADW368" s="6"/>
      <c r="ADX368" s="6"/>
      <c r="ADY368" s="6"/>
      <c r="ADZ368" s="6"/>
      <c r="AEA368" s="6"/>
      <c r="AEB368" s="6"/>
      <c r="AEC368" s="6"/>
      <c r="AED368" s="6"/>
      <c r="AEE368" s="6"/>
      <c r="AEF368" s="6"/>
      <c r="AEG368" s="6"/>
      <c r="AEH368" s="6"/>
      <c r="AEI368" s="6"/>
      <c r="AEJ368" s="6"/>
      <c r="AEK368" s="6"/>
      <c r="AEL368" s="6"/>
      <c r="AEM368" s="6"/>
      <c r="AEN368" s="6"/>
      <c r="AEO368" s="6"/>
      <c r="AEP368" s="6"/>
      <c r="AEQ368" s="6"/>
      <c r="AER368" s="6"/>
      <c r="AES368" s="6"/>
      <c r="AET368" s="6"/>
      <c r="AEU368" s="6"/>
      <c r="AEV368" s="6"/>
      <c r="AEW368" s="6"/>
      <c r="AEX368" s="6"/>
      <c r="AEY368" s="6"/>
      <c r="AEZ368" s="6"/>
      <c r="AFA368" s="6"/>
      <c r="AFB368" s="6"/>
      <c r="AFC368" s="6"/>
      <c r="AFD368" s="6"/>
      <c r="AFE368" s="6"/>
      <c r="AFF368" s="6"/>
      <c r="AFG368" s="6"/>
      <c r="AFH368" s="6"/>
      <c r="AFI368" s="6"/>
      <c r="AFJ368" s="6"/>
      <c r="AFK368" s="6"/>
      <c r="AFL368" s="6"/>
      <c r="AFM368" s="6"/>
      <c r="AFN368" s="6"/>
      <c r="AFO368" s="6"/>
      <c r="AFP368" s="6"/>
      <c r="AFQ368" s="6"/>
      <c r="AFR368" s="6"/>
      <c r="AFS368" s="6"/>
      <c r="AFT368" s="6"/>
      <c r="AFU368" s="6"/>
      <c r="AFV368" s="6"/>
      <c r="AFW368" s="6"/>
      <c r="AFX368" s="6"/>
      <c r="AFY368" s="6"/>
      <c r="AFZ368" s="6"/>
      <c r="AGA368" s="6"/>
      <c r="AGB368" s="6"/>
      <c r="AGC368" s="6"/>
      <c r="AGD368" s="6"/>
      <c r="AGE368" s="6"/>
      <c r="AGF368" s="6"/>
      <c r="AGG368" s="6"/>
      <c r="AGH368" s="6"/>
      <c r="AGI368" s="6"/>
      <c r="AGJ368" s="6"/>
      <c r="AGK368" s="6"/>
      <c r="AGL368" s="6"/>
      <c r="AGM368" s="6"/>
      <c r="AGN368" s="6"/>
      <c r="AGO368" s="6"/>
      <c r="AGP368" s="6"/>
      <c r="AGQ368" s="6"/>
      <c r="AGR368" s="6"/>
      <c r="AGS368" s="6"/>
      <c r="AGT368" s="6"/>
      <c r="AGU368" s="6"/>
      <c r="AGV368" s="6"/>
      <c r="AGW368" s="6"/>
      <c r="AGX368" s="6"/>
      <c r="AGY368" s="6"/>
      <c r="AGZ368" s="6"/>
      <c r="AHA368" s="6"/>
      <c r="AHB368" s="6"/>
      <c r="AHC368" s="6"/>
      <c r="AHD368" s="6"/>
      <c r="AHE368" s="6"/>
      <c r="AHF368" s="6"/>
      <c r="AHG368" s="6"/>
      <c r="AHH368" s="6"/>
      <c r="AHI368" s="6"/>
      <c r="AHJ368" s="6"/>
      <c r="AHK368" s="6"/>
      <c r="AHL368" s="6"/>
      <c r="AHM368" s="6"/>
      <c r="AHN368" s="6"/>
      <c r="AHO368" s="6"/>
      <c r="AHP368" s="6"/>
      <c r="AHQ368" s="6"/>
      <c r="AHR368" s="6"/>
      <c r="AHS368" s="6"/>
      <c r="AHT368" s="6"/>
      <c r="AHU368" s="6"/>
      <c r="AHV368" s="6"/>
      <c r="AHW368" s="6"/>
      <c r="AHX368" s="6"/>
      <c r="AHY368" s="6"/>
      <c r="AHZ368" s="6"/>
      <c r="AIA368" s="6"/>
      <c r="AIB368" s="6"/>
      <c r="AIC368" s="6"/>
      <c r="AID368" s="6"/>
      <c r="AIE368" s="6"/>
      <c r="AIF368" s="6"/>
      <c r="AIG368" s="6"/>
      <c r="AIH368" s="6"/>
      <c r="AII368" s="6"/>
      <c r="AIJ368" s="6"/>
      <c r="AIK368" s="6"/>
      <c r="AIL368" s="6"/>
      <c r="AIM368" s="6"/>
      <c r="AIN368" s="6"/>
      <c r="AIO368" s="6"/>
      <c r="AIP368" s="6"/>
      <c r="AIQ368" s="6"/>
      <c r="AIR368" s="6"/>
      <c r="AIS368" s="6"/>
      <c r="AIT368" s="6"/>
      <c r="AIU368" s="6"/>
      <c r="AIV368" s="6"/>
      <c r="AIW368" s="6"/>
      <c r="AIX368" s="6"/>
      <c r="AIY368" s="6"/>
      <c r="AIZ368" s="6"/>
      <c r="AJA368" s="6"/>
      <c r="AJB368" s="6"/>
      <c r="AJC368" s="6"/>
      <c r="AJD368" s="6"/>
      <c r="AJE368" s="6"/>
      <c r="AJF368" s="6"/>
      <c r="AJG368" s="6"/>
      <c r="AJH368" s="6"/>
      <c r="AJI368" s="6"/>
      <c r="AJJ368" s="6"/>
      <c r="AJK368" s="6"/>
      <c r="AJL368" s="6"/>
      <c r="AJM368" s="6"/>
      <c r="AJN368" s="6"/>
      <c r="AJO368" s="6"/>
      <c r="AJP368" s="6"/>
      <c r="AJQ368" s="6"/>
      <c r="AJR368" s="6"/>
      <c r="AJS368" s="6"/>
      <c r="AJT368" s="6"/>
      <c r="AJU368" s="6"/>
      <c r="AJV368" s="6"/>
      <c r="AJW368" s="6"/>
      <c r="AJX368" s="6"/>
      <c r="AJY368" s="6"/>
      <c r="AJZ368" s="6"/>
      <c r="AKA368" s="6"/>
      <c r="AKB368" s="6"/>
      <c r="AKC368" s="6"/>
      <c r="AKD368" s="6"/>
      <c r="AKE368" s="6"/>
      <c r="AKF368" s="6"/>
      <c r="AKG368" s="6"/>
      <c r="AKH368" s="6"/>
      <c r="AKI368" s="6"/>
      <c r="AKJ368" s="6"/>
      <c r="AKK368" s="6"/>
      <c r="AKL368" s="6"/>
      <c r="AKM368" s="6"/>
      <c r="AKN368" s="6"/>
      <c r="AKO368" s="6"/>
      <c r="AKP368" s="6"/>
      <c r="AKQ368" s="6"/>
      <c r="AKR368" s="6"/>
      <c r="AKS368" s="6"/>
      <c r="AKT368" s="6"/>
      <c r="AKU368" s="6"/>
      <c r="AKV368" s="6"/>
      <c r="AKW368" s="6"/>
      <c r="AKX368" s="6"/>
      <c r="AKY368" s="6"/>
      <c r="AKZ368" s="6"/>
      <c r="ALA368" s="6"/>
      <c r="ALB368" s="6"/>
      <c r="ALC368" s="6"/>
      <c r="ALD368" s="6"/>
      <c r="ALE368" s="6"/>
      <c r="ALF368" s="6"/>
      <c r="ALG368" s="6"/>
      <c r="ALH368" s="6"/>
      <c r="ALI368" s="6"/>
      <c r="ALJ368" s="6"/>
      <c r="ALK368" s="6"/>
      <c r="ALL368" s="6"/>
      <c r="ALM368" s="6"/>
      <c r="ALN368" s="6"/>
      <c r="ALO368" s="6"/>
      <c r="ALP368" s="6"/>
      <c r="ALQ368" s="6"/>
      <c r="ALR368" s="6"/>
      <c r="ALS368" s="6"/>
      <c r="ALT368" s="6"/>
      <c r="ALU368" s="6"/>
      <c r="ALV368" s="6"/>
      <c r="ALW368" s="6"/>
      <c r="ALX368" s="6"/>
      <c r="ALY368" s="6"/>
      <c r="ALZ368" s="6"/>
      <c r="AMA368" s="6"/>
      <c r="AMB368" s="6"/>
      <c r="AMC368" s="6"/>
      <c r="AMD368" s="6"/>
      <c r="AME368" s="6"/>
      <c r="AMF368" s="6"/>
      <c r="AMG368" s="6"/>
      <c r="AMH368" s="6"/>
      <c r="AMI368" s="6"/>
      <c r="AMJ368" s="6"/>
      <c r="AMK368" s="6"/>
      <c r="AML368" s="6"/>
      <c r="AMM368" s="6"/>
      <c r="AMN368" s="6"/>
      <c r="AMO368" s="6"/>
      <c r="AMP368" s="6"/>
    </row>
    <row r="369" spans="1:1030" x14ac:dyDescent="0.2">
      <c r="A369" s="3" t="str">
        <f t="shared" si="2739"/>
        <v>calcr_human_5UZ7</v>
      </c>
      <c r="B369" s="2" t="s">
        <v>401</v>
      </c>
      <c r="C369" s="3" t="s">
        <v>1401</v>
      </c>
      <c r="D369" s="3" t="str">
        <f>IFERROR(MID(VLOOKUP($B369,Seqs!$A:$B,2,0),E369,1),"")</f>
        <v>A</v>
      </c>
      <c r="E369" s="3">
        <v>136</v>
      </c>
      <c r="F369" s="3" t="str">
        <f>IFERROR(MID(VLOOKUP($B369,Seqs!$A:$B,2,0),G369,1),"")</f>
        <v>F</v>
      </c>
      <c r="G369" s="3">
        <v>173</v>
      </c>
      <c r="H369" s="3" t="str">
        <f>IFERROR(MID(VLOOKUP($B369,Seqs!$A:$B,2,0),I369,1),"")</f>
        <v>R</v>
      </c>
      <c r="I369" s="23">
        <v>174</v>
      </c>
      <c r="J369" s="3" t="str">
        <f>IFERROR(MID(VLOOKUP($B369,Seqs!$A:$B,2,0),K369,1),"")</f>
        <v>G</v>
      </c>
      <c r="K369" s="23">
        <v>177</v>
      </c>
      <c r="L369" s="3" t="str">
        <f>IFERROR(MID(VLOOKUP($B369,Seqs!$A:$B,2,0),M369,1),"")</f>
        <v>C</v>
      </c>
      <c r="M369" s="3">
        <v>178</v>
      </c>
      <c r="N369" s="3" t="str">
        <f>IFERROR(MID(VLOOKUP($B369,Seqs!$A:$B,2,0),O369,1),"")</f>
        <v>V</v>
      </c>
      <c r="O369" s="3">
        <v>205</v>
      </c>
      <c r="P369" s="3" t="str">
        <f>IFERROR(MID(VLOOKUP($B369,Seqs!$A:$B,2,0),Q369,1),"")</f>
        <v/>
      </c>
      <c r="Q369" s="3" t="s">
        <v>23</v>
      </c>
      <c r="R369" s="3" t="str">
        <f>IFERROR(MID(VLOOKUP($B369,Seqs!$A:$B,2,0),S369,1),"")</f>
        <v/>
      </c>
      <c r="S369" s="3" t="s">
        <v>23</v>
      </c>
      <c r="T369" s="3" t="str">
        <f>IFERROR(MID(VLOOKUP($B369,Seqs!$A:$B,2,0),U369,1),"")</f>
        <v>D</v>
      </c>
      <c r="U369" s="3">
        <v>215</v>
      </c>
      <c r="V369" s="3" t="str">
        <f>IFERROR(MID(VLOOKUP($B369,Seqs!$A:$B,2,0),W369,1),"")</f>
        <v>V</v>
      </c>
      <c r="W369" s="3">
        <v>250</v>
      </c>
      <c r="X369" s="3" t="str">
        <f>IFERROR(MID(VLOOKUP($B369,Seqs!$A:$B,2,0),Y369,1),"")</f>
        <v/>
      </c>
      <c r="Y369" s="3" t="s">
        <v>23</v>
      </c>
      <c r="Z369" s="3" t="str">
        <f>IFERROR(MID(VLOOKUP($B369,Seqs!$A:$B,2,0),AA369,1),"")</f>
        <v/>
      </c>
      <c r="AA369" s="3" t="s">
        <v>23</v>
      </c>
      <c r="AB369" s="3" t="str">
        <f>IFERROR(MID(VLOOKUP($B369,Seqs!$A:$B,2,0),AC369,1),"")</f>
        <v>R</v>
      </c>
      <c r="AC369" s="3">
        <v>258</v>
      </c>
      <c r="AD369" s="3" t="str">
        <f>IFERROR(MID(VLOOKUP($B369,Seqs!$A:$B,2,0),AE369,1),"")</f>
        <v>F</v>
      </c>
      <c r="AE369" s="3">
        <v>285</v>
      </c>
      <c r="AF369" s="3" t="str">
        <f>IFERROR(MID(VLOOKUP($B369,Seqs!$A:$B,2,0),AG369,1),"")</f>
        <v>C</v>
      </c>
      <c r="AG369" s="3">
        <v>289</v>
      </c>
      <c r="AH369" s="3" t="str">
        <f>IFERROR(MID(VLOOKUP($B369,Seqs!$A:$B,2,0),AI369,1),"")</f>
        <v>L</v>
      </c>
      <c r="AI369" s="3">
        <v>291</v>
      </c>
      <c r="AJ369" s="3" t="str">
        <f>IFERROR(MID(VLOOKUP($B369,Seqs!$A:$B,2,0),AK369,1),"")</f>
        <v>L</v>
      </c>
      <c r="AK369" s="3">
        <v>298</v>
      </c>
      <c r="AL369" s="3" t="str">
        <f>IFERROR(MID(VLOOKUP($B369,Seqs!$A:$B,2,0),AM369,1),"")</f>
        <v>R</v>
      </c>
      <c r="AM369" s="3">
        <v>328</v>
      </c>
      <c r="AN369" s="3" t="str">
        <f>IFERROR(MID(VLOOKUP($B369,Seqs!$A:$B,2,0),AO369,1),"")</f>
        <v>L</v>
      </c>
      <c r="AO369" s="3">
        <v>352</v>
      </c>
      <c r="AP369" s="3" t="str">
        <f>IFERROR(MID(VLOOKUP($B369,Seqs!$A:$B,2,0),AQ369,1),"")</f>
        <v>P</v>
      </c>
      <c r="AQ369" s="3">
        <v>360</v>
      </c>
      <c r="AR369" s="3" t="str">
        <f>IFERROR(MID(VLOOKUP($B369,Seqs!$A:$B,2,0),AS369,1),"")</f>
        <v>K</v>
      </c>
      <c r="AS369" s="3">
        <v>366</v>
      </c>
      <c r="AT369" s="3" t="str">
        <f>IFERROR(MID(VLOOKUP($B369,Seqs!$A:$B,2,0),AU369,1),"")</f>
        <v>C</v>
      </c>
      <c r="AU369" s="3">
        <v>394</v>
      </c>
      <c r="AV369" s="3" t="str">
        <f>IFERROR(MID(VLOOKUP($B369,Seqs!$A:$B,2,0),AW369,1),"")</f>
        <v>N</v>
      </c>
      <c r="AW369" s="3">
        <v>395</v>
      </c>
      <c r="AX369" s="3" t="str">
        <f>IFERROR(MID(VLOOKUP($B369,Seqs!$A:$B,2,0),AY369,1),"")</f>
        <v>G</v>
      </c>
      <c r="AY369" s="3">
        <v>418</v>
      </c>
      <c r="AZ369" s="77" t="str">
        <f>VLOOKUP(B369,Classification!A:D,2,0)</f>
        <v>B1</v>
      </c>
      <c r="BA369" s="94" t="str">
        <f>VLOOKUP(B369,Classification!A:D,4,0)</f>
        <v>Calcitonin</v>
      </c>
      <c r="BB369" s="27" t="b">
        <f t="shared" si="2712"/>
        <v>1</v>
      </c>
      <c r="BC369" s="23">
        <f t="shared" si="2713"/>
        <v>232</v>
      </c>
      <c r="BD369" s="4" t="s">
        <v>23</v>
      </c>
      <c r="BE369" s="3" t="s">
        <v>1291</v>
      </c>
      <c r="BF369" s="118">
        <v>4.0999999999999996</v>
      </c>
      <c r="BG369" s="49" t="s">
        <v>1377</v>
      </c>
      <c r="BH369" s="49" t="s">
        <v>1377</v>
      </c>
      <c r="BI369" s="1"/>
      <c r="BJ369" s="70" t="s">
        <v>1287</v>
      </c>
      <c r="BK369" s="57" t="s">
        <v>1287</v>
      </c>
      <c r="BL369" s="57" t="s">
        <v>1287</v>
      </c>
      <c r="BM369" s="57" t="s">
        <v>1287</v>
      </c>
      <c r="BN369" s="57" t="s">
        <v>1287</v>
      </c>
      <c r="BO369" s="57" t="s">
        <v>1287</v>
      </c>
      <c r="BP369" s="57" t="s">
        <v>1287</v>
      </c>
      <c r="BQ369" s="57" t="s">
        <v>1287</v>
      </c>
      <c r="BR369" s="57" t="s">
        <v>1287</v>
      </c>
      <c r="BS369" s="57" t="s">
        <v>1287</v>
      </c>
      <c r="BT369" s="57" t="s">
        <v>1287</v>
      </c>
      <c r="BU369" s="57" t="s">
        <v>1287</v>
      </c>
      <c r="BV369" s="70">
        <f t="shared" si="2714"/>
        <v>136</v>
      </c>
      <c r="BW369" s="71">
        <f t="shared" si="2715"/>
        <v>174</v>
      </c>
      <c r="BX369" s="72">
        <f t="shared" si="2716"/>
        <v>178</v>
      </c>
      <c r="BY369" s="71" t="str">
        <f t="shared" si="2717"/>
        <v>-</v>
      </c>
      <c r="BZ369" s="72">
        <f t="shared" si="2718"/>
        <v>215</v>
      </c>
      <c r="CA369" s="71" t="str">
        <f t="shared" si="2719"/>
        <v>-</v>
      </c>
      <c r="CB369" s="72">
        <f t="shared" si="2720"/>
        <v>258</v>
      </c>
      <c r="CC369" s="71">
        <f t="shared" si="2721"/>
        <v>289</v>
      </c>
      <c r="CD369" s="72">
        <f t="shared" si="2722"/>
        <v>298</v>
      </c>
      <c r="CE369" s="71">
        <f t="shared" si="2723"/>
        <v>352</v>
      </c>
      <c r="CF369" s="72">
        <f t="shared" si="2724"/>
        <v>366</v>
      </c>
      <c r="CG369" s="71">
        <f t="shared" si="2725"/>
        <v>395</v>
      </c>
      <c r="CH369" s="70">
        <f t="shared" si="2726"/>
        <v>173</v>
      </c>
      <c r="CI369" s="71">
        <f t="shared" si="2727"/>
        <v>177</v>
      </c>
      <c r="CJ369" s="72">
        <f t="shared" si="2728"/>
        <v>205</v>
      </c>
      <c r="CK369" s="72" t="str">
        <f t="shared" si="2729"/>
        <v>-</v>
      </c>
      <c r="CL369" s="72">
        <f t="shared" si="2730"/>
        <v>250</v>
      </c>
      <c r="CM369" s="72" t="str">
        <f t="shared" si="2731"/>
        <v>-</v>
      </c>
      <c r="CN369" s="72">
        <f t="shared" si="2732"/>
        <v>285</v>
      </c>
      <c r="CO369" s="72">
        <f t="shared" si="2733"/>
        <v>291</v>
      </c>
      <c r="CP369" s="72">
        <f t="shared" si="2734"/>
        <v>328</v>
      </c>
      <c r="CQ369" s="72">
        <f t="shared" si="2735"/>
        <v>360</v>
      </c>
      <c r="CR369" s="72">
        <f t="shared" si="2736"/>
        <v>394</v>
      </c>
      <c r="CS369" s="72">
        <f t="shared" si="2737"/>
        <v>418</v>
      </c>
      <c r="CT369" s="23">
        <f t="shared" si="2738"/>
        <v>1</v>
      </c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  <c r="SC369" s="6"/>
      <c r="SD369" s="6"/>
      <c r="SE369" s="6"/>
      <c r="SF369" s="6"/>
      <c r="SG369" s="6"/>
      <c r="SH369" s="6"/>
      <c r="SI369" s="6"/>
      <c r="SJ369" s="6"/>
      <c r="SK369" s="6"/>
      <c r="SL369" s="6"/>
      <c r="SM369" s="6"/>
      <c r="SN369" s="6"/>
      <c r="SO369" s="6"/>
      <c r="SP369" s="6"/>
      <c r="SQ369" s="6"/>
      <c r="SR369" s="6"/>
      <c r="SS369" s="6"/>
      <c r="ST369" s="6"/>
      <c r="SU369" s="6"/>
      <c r="SV369" s="6"/>
      <c r="SW369" s="6"/>
      <c r="SX369" s="6"/>
      <c r="SY369" s="6"/>
      <c r="SZ369" s="6"/>
      <c r="TA369" s="6"/>
      <c r="TB369" s="6"/>
      <c r="TC369" s="6"/>
      <c r="TD369" s="6"/>
      <c r="TE369" s="6"/>
      <c r="TF369" s="6"/>
      <c r="TG369" s="6"/>
      <c r="TH369" s="6"/>
      <c r="TI369" s="6"/>
      <c r="TJ369" s="6"/>
      <c r="TK369" s="6"/>
      <c r="TL369" s="6"/>
      <c r="TM369" s="6"/>
      <c r="TN369" s="6"/>
      <c r="TO369" s="6"/>
      <c r="TP369" s="6"/>
      <c r="TQ369" s="6"/>
      <c r="TR369" s="6"/>
      <c r="TS369" s="6"/>
      <c r="TT369" s="6"/>
      <c r="TU369" s="6"/>
      <c r="TV369" s="6"/>
      <c r="TW369" s="6"/>
      <c r="TX369" s="6"/>
      <c r="TY369" s="6"/>
      <c r="TZ369" s="6"/>
      <c r="UA369" s="6"/>
      <c r="UB369" s="6"/>
      <c r="UC369" s="6"/>
      <c r="UD369" s="6"/>
      <c r="UE369" s="6"/>
      <c r="UF369" s="6"/>
      <c r="UG369" s="6"/>
      <c r="UH369" s="6"/>
      <c r="UI369" s="6"/>
      <c r="UJ369" s="6"/>
      <c r="UK369" s="6"/>
      <c r="UL369" s="6"/>
      <c r="UM369" s="6"/>
      <c r="UN369" s="6"/>
      <c r="UO369" s="6"/>
      <c r="UP369" s="6"/>
      <c r="UQ369" s="6"/>
      <c r="UR369" s="6"/>
      <c r="US369" s="6"/>
      <c r="UT369" s="6"/>
      <c r="UU369" s="6"/>
      <c r="UV369" s="6"/>
      <c r="UW369" s="6"/>
      <c r="UX369" s="6"/>
      <c r="UY369" s="6"/>
      <c r="UZ369" s="6"/>
      <c r="VA369" s="6"/>
      <c r="VB369" s="6"/>
      <c r="VC369" s="6"/>
      <c r="VD369" s="6"/>
      <c r="VE369" s="6"/>
      <c r="VF369" s="6"/>
      <c r="VG369" s="6"/>
      <c r="VH369" s="6"/>
      <c r="VI369" s="6"/>
      <c r="VJ369" s="6"/>
      <c r="VK369" s="6"/>
      <c r="VL369" s="6"/>
      <c r="VM369" s="6"/>
      <c r="VN369" s="6"/>
      <c r="VO369" s="6"/>
      <c r="VP369" s="6"/>
      <c r="VQ369" s="6"/>
      <c r="VR369" s="6"/>
      <c r="VS369" s="6"/>
      <c r="VT369" s="6"/>
      <c r="VU369" s="6"/>
      <c r="VV369" s="6"/>
      <c r="VW369" s="6"/>
      <c r="VX369" s="6"/>
      <c r="VY369" s="6"/>
      <c r="VZ369" s="6"/>
      <c r="WA369" s="6"/>
      <c r="WB369" s="6"/>
      <c r="WC369" s="6"/>
      <c r="WD369" s="6"/>
      <c r="WE369" s="6"/>
      <c r="WF369" s="6"/>
      <c r="WG369" s="6"/>
      <c r="WH369" s="6"/>
      <c r="WI369" s="6"/>
      <c r="WJ369" s="6"/>
      <c r="WK369" s="6"/>
      <c r="WL369" s="6"/>
      <c r="WM369" s="6"/>
      <c r="WN369" s="6"/>
      <c r="WO369" s="6"/>
      <c r="WP369" s="6"/>
      <c r="WQ369" s="6"/>
      <c r="WR369" s="6"/>
      <c r="WS369" s="6"/>
      <c r="WT369" s="6"/>
      <c r="WU369" s="6"/>
      <c r="WV369" s="6"/>
      <c r="WW369" s="6"/>
      <c r="WX369" s="6"/>
      <c r="WY369" s="6"/>
      <c r="WZ369" s="6"/>
      <c r="XA369" s="6"/>
      <c r="XB369" s="6"/>
      <c r="XC369" s="6"/>
      <c r="XD369" s="6"/>
      <c r="XE369" s="6"/>
      <c r="XF369" s="6"/>
      <c r="XG369" s="6"/>
      <c r="XH369" s="6"/>
      <c r="XI369" s="6"/>
      <c r="XJ369" s="6"/>
      <c r="XK369" s="6"/>
      <c r="XL369" s="6"/>
      <c r="XM369" s="6"/>
      <c r="XN369" s="6"/>
      <c r="XO369" s="6"/>
      <c r="XP369" s="6"/>
      <c r="XQ369" s="6"/>
      <c r="XR369" s="6"/>
      <c r="XS369" s="6"/>
      <c r="XT369" s="6"/>
      <c r="XU369" s="6"/>
      <c r="XV369" s="6"/>
      <c r="XW369" s="6"/>
      <c r="XX369" s="6"/>
      <c r="XY369" s="6"/>
      <c r="XZ369" s="6"/>
      <c r="YA369" s="6"/>
      <c r="YB369" s="6"/>
      <c r="YC369" s="6"/>
      <c r="YD369" s="6"/>
      <c r="YE369" s="6"/>
      <c r="YF369" s="6"/>
      <c r="YG369" s="6"/>
      <c r="YH369" s="6"/>
      <c r="YI369" s="6"/>
      <c r="YJ369" s="6"/>
      <c r="YK369" s="6"/>
      <c r="YL369" s="6"/>
      <c r="YM369" s="6"/>
      <c r="YN369" s="6"/>
      <c r="YO369" s="6"/>
      <c r="YP369" s="6"/>
      <c r="YQ369" s="6"/>
      <c r="YR369" s="6"/>
      <c r="YS369" s="6"/>
      <c r="YT369" s="6"/>
      <c r="YU369" s="6"/>
      <c r="YV369" s="6"/>
      <c r="YW369" s="6"/>
      <c r="YX369" s="6"/>
      <c r="YY369" s="6"/>
      <c r="YZ369" s="6"/>
      <c r="ZA369" s="6"/>
      <c r="ZB369" s="6"/>
      <c r="ZC369" s="6"/>
      <c r="ZD369" s="6"/>
      <c r="ZE369" s="6"/>
      <c r="ZF369" s="6"/>
      <c r="ZG369" s="6"/>
      <c r="ZH369" s="6"/>
      <c r="ZI369" s="6"/>
      <c r="ZJ369" s="6"/>
      <c r="ZK369" s="6"/>
      <c r="ZL369" s="6"/>
      <c r="ZM369" s="6"/>
      <c r="ZN369" s="6"/>
      <c r="ZO369" s="6"/>
      <c r="ZP369" s="6"/>
      <c r="ZQ369" s="6"/>
      <c r="ZR369" s="6"/>
      <c r="ZS369" s="6"/>
      <c r="ZT369" s="6"/>
      <c r="ZU369" s="6"/>
      <c r="ZV369" s="6"/>
      <c r="ZW369" s="6"/>
      <c r="ZX369" s="6"/>
      <c r="ZY369" s="6"/>
      <c r="ZZ369" s="6"/>
      <c r="AAA369" s="6"/>
      <c r="AAB369" s="6"/>
      <c r="AAC369" s="6"/>
      <c r="AAD369" s="6"/>
      <c r="AAE369" s="6"/>
      <c r="AAF369" s="6"/>
      <c r="AAG369" s="6"/>
      <c r="AAH369" s="6"/>
      <c r="AAI369" s="6"/>
      <c r="AAJ369" s="6"/>
      <c r="AAK369" s="6"/>
      <c r="AAL369" s="6"/>
      <c r="AAM369" s="6"/>
      <c r="AAN369" s="6"/>
      <c r="AAO369" s="6"/>
      <c r="AAP369" s="6"/>
      <c r="AAQ369" s="6"/>
      <c r="AAR369" s="6"/>
      <c r="AAS369" s="6"/>
      <c r="AAT369" s="6"/>
      <c r="AAU369" s="6"/>
      <c r="AAV369" s="6"/>
      <c r="AAW369" s="6"/>
      <c r="AAX369" s="6"/>
      <c r="AAY369" s="6"/>
      <c r="AAZ369" s="6"/>
      <c r="ABA369" s="6"/>
      <c r="ABB369" s="6"/>
      <c r="ABC369" s="6"/>
      <c r="ABD369" s="6"/>
      <c r="ABE369" s="6"/>
      <c r="ABF369" s="6"/>
      <c r="ABG369" s="6"/>
      <c r="ABH369" s="6"/>
      <c r="ABI369" s="6"/>
      <c r="ABJ369" s="6"/>
      <c r="ABK369" s="6"/>
      <c r="ABL369" s="6"/>
      <c r="ABM369" s="6"/>
      <c r="ABN369" s="6"/>
      <c r="ABO369" s="6"/>
      <c r="ABP369" s="6"/>
      <c r="ABQ369" s="6"/>
      <c r="ABR369" s="6"/>
      <c r="ABS369" s="6"/>
      <c r="ABT369" s="6"/>
      <c r="ABU369" s="6"/>
      <c r="ABV369" s="6"/>
      <c r="ABW369" s="6"/>
      <c r="ABX369" s="6"/>
      <c r="ABY369" s="6"/>
      <c r="ABZ369" s="6"/>
      <c r="ACA369" s="6"/>
      <c r="ACB369" s="6"/>
      <c r="ACC369" s="6"/>
      <c r="ACD369" s="6"/>
      <c r="ACE369" s="6"/>
      <c r="ACF369" s="6"/>
      <c r="ACG369" s="6"/>
      <c r="ACH369" s="6"/>
      <c r="ACI369" s="6"/>
      <c r="ACJ369" s="6"/>
      <c r="ACK369" s="6"/>
      <c r="ACL369" s="6"/>
      <c r="ACM369" s="6"/>
      <c r="ACN369" s="6"/>
      <c r="ACO369" s="6"/>
      <c r="ACP369" s="6"/>
      <c r="ACQ369" s="6"/>
      <c r="ACR369" s="6"/>
      <c r="ACS369" s="6"/>
      <c r="ACT369" s="6"/>
      <c r="ACU369" s="6"/>
      <c r="ACV369" s="6"/>
      <c r="ACW369" s="6"/>
      <c r="ACX369" s="6"/>
      <c r="ACY369" s="6"/>
      <c r="ACZ369" s="6"/>
      <c r="ADA369" s="6"/>
      <c r="ADB369" s="6"/>
      <c r="ADC369" s="6"/>
      <c r="ADD369" s="6"/>
      <c r="ADE369" s="6"/>
      <c r="ADF369" s="6"/>
      <c r="ADG369" s="6"/>
      <c r="ADH369" s="6"/>
      <c r="ADI369" s="6"/>
      <c r="ADJ369" s="6"/>
      <c r="ADK369" s="6"/>
      <c r="ADL369" s="6"/>
      <c r="ADM369" s="6"/>
      <c r="ADN369" s="6"/>
      <c r="ADO369" s="6"/>
      <c r="ADP369" s="6"/>
      <c r="ADQ369" s="6"/>
      <c r="ADR369" s="6"/>
      <c r="ADS369" s="6"/>
      <c r="ADT369" s="6"/>
      <c r="ADU369" s="6"/>
      <c r="ADV369" s="6"/>
      <c r="ADW369" s="6"/>
      <c r="ADX369" s="6"/>
      <c r="ADY369" s="6"/>
      <c r="ADZ369" s="6"/>
      <c r="AEA369" s="6"/>
      <c r="AEB369" s="6"/>
      <c r="AEC369" s="6"/>
      <c r="AED369" s="6"/>
      <c r="AEE369" s="6"/>
      <c r="AEF369" s="6"/>
      <c r="AEG369" s="6"/>
      <c r="AEH369" s="6"/>
      <c r="AEI369" s="6"/>
      <c r="AEJ369" s="6"/>
      <c r="AEK369" s="6"/>
      <c r="AEL369" s="6"/>
      <c r="AEM369" s="6"/>
      <c r="AEN369" s="6"/>
      <c r="AEO369" s="6"/>
      <c r="AEP369" s="6"/>
      <c r="AEQ369" s="6"/>
      <c r="AER369" s="6"/>
      <c r="AES369" s="6"/>
      <c r="AET369" s="6"/>
      <c r="AEU369" s="6"/>
      <c r="AEV369" s="6"/>
      <c r="AEW369" s="6"/>
      <c r="AEX369" s="6"/>
      <c r="AEY369" s="6"/>
      <c r="AEZ369" s="6"/>
      <c r="AFA369" s="6"/>
      <c r="AFB369" s="6"/>
      <c r="AFC369" s="6"/>
      <c r="AFD369" s="6"/>
      <c r="AFE369" s="6"/>
      <c r="AFF369" s="6"/>
      <c r="AFG369" s="6"/>
      <c r="AFH369" s="6"/>
      <c r="AFI369" s="6"/>
      <c r="AFJ369" s="6"/>
      <c r="AFK369" s="6"/>
      <c r="AFL369" s="6"/>
      <c r="AFM369" s="6"/>
      <c r="AFN369" s="6"/>
      <c r="AFO369" s="6"/>
      <c r="AFP369" s="6"/>
      <c r="AFQ369" s="6"/>
      <c r="AFR369" s="6"/>
      <c r="AFS369" s="6"/>
      <c r="AFT369" s="6"/>
      <c r="AFU369" s="6"/>
      <c r="AFV369" s="6"/>
      <c r="AFW369" s="6"/>
      <c r="AFX369" s="6"/>
      <c r="AFY369" s="6"/>
      <c r="AFZ369" s="6"/>
      <c r="AGA369" s="6"/>
      <c r="AGB369" s="6"/>
      <c r="AGC369" s="6"/>
      <c r="AGD369" s="6"/>
      <c r="AGE369" s="6"/>
      <c r="AGF369" s="6"/>
      <c r="AGG369" s="6"/>
      <c r="AGH369" s="6"/>
      <c r="AGI369" s="6"/>
      <c r="AGJ369" s="6"/>
      <c r="AGK369" s="6"/>
      <c r="AGL369" s="6"/>
      <c r="AGM369" s="6"/>
      <c r="AGN369" s="6"/>
      <c r="AGO369" s="6"/>
      <c r="AGP369" s="6"/>
      <c r="AGQ369" s="6"/>
      <c r="AGR369" s="6"/>
      <c r="AGS369" s="6"/>
      <c r="AGT369" s="6"/>
      <c r="AGU369" s="6"/>
      <c r="AGV369" s="6"/>
      <c r="AGW369" s="6"/>
      <c r="AGX369" s="6"/>
      <c r="AGY369" s="6"/>
      <c r="AGZ369" s="6"/>
      <c r="AHA369" s="6"/>
      <c r="AHB369" s="6"/>
      <c r="AHC369" s="6"/>
      <c r="AHD369" s="6"/>
      <c r="AHE369" s="6"/>
      <c r="AHF369" s="6"/>
      <c r="AHG369" s="6"/>
      <c r="AHH369" s="6"/>
      <c r="AHI369" s="6"/>
      <c r="AHJ369" s="6"/>
      <c r="AHK369" s="6"/>
      <c r="AHL369" s="6"/>
      <c r="AHM369" s="6"/>
      <c r="AHN369" s="6"/>
      <c r="AHO369" s="6"/>
      <c r="AHP369" s="6"/>
      <c r="AHQ369" s="6"/>
      <c r="AHR369" s="6"/>
      <c r="AHS369" s="6"/>
      <c r="AHT369" s="6"/>
      <c r="AHU369" s="6"/>
      <c r="AHV369" s="6"/>
      <c r="AHW369" s="6"/>
      <c r="AHX369" s="6"/>
      <c r="AHY369" s="6"/>
      <c r="AHZ369" s="6"/>
      <c r="AIA369" s="6"/>
      <c r="AIB369" s="6"/>
      <c r="AIC369" s="6"/>
      <c r="AID369" s="6"/>
      <c r="AIE369" s="6"/>
      <c r="AIF369" s="6"/>
      <c r="AIG369" s="6"/>
      <c r="AIH369" s="6"/>
      <c r="AII369" s="6"/>
      <c r="AIJ369" s="6"/>
      <c r="AIK369" s="6"/>
      <c r="AIL369" s="6"/>
      <c r="AIM369" s="6"/>
      <c r="AIN369" s="6"/>
      <c r="AIO369" s="6"/>
      <c r="AIP369" s="6"/>
      <c r="AIQ369" s="6"/>
      <c r="AIR369" s="6"/>
      <c r="AIS369" s="6"/>
      <c r="AIT369" s="6"/>
      <c r="AIU369" s="6"/>
      <c r="AIV369" s="6"/>
      <c r="AIW369" s="6"/>
      <c r="AIX369" s="6"/>
      <c r="AIY369" s="6"/>
      <c r="AIZ369" s="6"/>
      <c r="AJA369" s="6"/>
      <c r="AJB369" s="6"/>
      <c r="AJC369" s="6"/>
      <c r="AJD369" s="6"/>
      <c r="AJE369" s="6"/>
      <c r="AJF369" s="6"/>
      <c r="AJG369" s="6"/>
      <c r="AJH369" s="6"/>
      <c r="AJI369" s="6"/>
      <c r="AJJ369" s="6"/>
      <c r="AJK369" s="6"/>
      <c r="AJL369" s="6"/>
      <c r="AJM369" s="6"/>
      <c r="AJN369" s="6"/>
      <c r="AJO369" s="6"/>
      <c r="AJP369" s="6"/>
      <c r="AJQ369" s="6"/>
      <c r="AJR369" s="6"/>
      <c r="AJS369" s="6"/>
      <c r="AJT369" s="6"/>
      <c r="AJU369" s="6"/>
      <c r="AJV369" s="6"/>
      <c r="AJW369" s="6"/>
      <c r="AJX369" s="6"/>
      <c r="AJY369" s="6"/>
      <c r="AJZ369" s="6"/>
      <c r="AKA369" s="6"/>
      <c r="AKB369" s="6"/>
      <c r="AKC369" s="6"/>
      <c r="AKD369" s="6"/>
      <c r="AKE369" s="6"/>
      <c r="AKF369" s="6"/>
      <c r="AKG369" s="6"/>
      <c r="AKH369" s="6"/>
      <c r="AKI369" s="6"/>
      <c r="AKJ369" s="6"/>
      <c r="AKK369" s="6"/>
      <c r="AKL369" s="6"/>
      <c r="AKM369" s="6"/>
      <c r="AKN369" s="6"/>
      <c r="AKO369" s="6"/>
      <c r="AKP369" s="6"/>
      <c r="AKQ369" s="6"/>
      <c r="AKR369" s="6"/>
      <c r="AKS369" s="6"/>
      <c r="AKT369" s="6"/>
      <c r="AKU369" s="6"/>
      <c r="AKV369" s="6"/>
      <c r="AKW369" s="6"/>
      <c r="AKX369" s="6"/>
      <c r="AKY369" s="6"/>
      <c r="AKZ369" s="6"/>
      <c r="ALA369" s="6"/>
      <c r="ALB369" s="6"/>
      <c r="ALC369" s="6"/>
      <c r="ALD369" s="6"/>
      <c r="ALE369" s="6"/>
      <c r="ALF369" s="6"/>
      <c r="ALG369" s="6"/>
      <c r="ALH369" s="6"/>
      <c r="ALI369" s="6"/>
      <c r="ALJ369" s="6"/>
      <c r="ALK369" s="6"/>
      <c r="ALL369" s="6"/>
      <c r="ALM369" s="6"/>
      <c r="ALN369" s="6"/>
      <c r="ALO369" s="6"/>
      <c r="ALP369" s="6"/>
      <c r="ALQ369" s="6"/>
      <c r="ALR369" s="6"/>
      <c r="ALS369" s="6"/>
      <c r="ALT369" s="6"/>
      <c r="ALU369" s="6"/>
      <c r="ALV369" s="6"/>
      <c r="ALW369" s="6"/>
      <c r="ALX369" s="6"/>
      <c r="ALY369" s="6"/>
      <c r="ALZ369" s="6"/>
      <c r="AMA369" s="6"/>
      <c r="AMB369" s="6"/>
      <c r="AMC369" s="6"/>
      <c r="AMD369" s="6"/>
      <c r="AME369" s="6"/>
      <c r="AMF369" s="6"/>
      <c r="AMG369" s="6"/>
      <c r="AMH369" s="6"/>
      <c r="AMI369" s="6"/>
      <c r="AMJ369" s="6"/>
      <c r="AMK369" s="6"/>
      <c r="AML369" s="6"/>
      <c r="AMM369" s="6"/>
      <c r="AMN369" s="6"/>
      <c r="AMO369" s="6"/>
      <c r="AMP369" s="6"/>
    </row>
    <row r="370" spans="1:1030" s="12" customFormat="1" x14ac:dyDescent="0.2">
      <c r="A370" s="9" t="str">
        <f t="shared" ref="A370" si="2796">CONCATENATE(B370,"_",C370)</f>
        <v>calcr_human_6NIY</v>
      </c>
      <c r="B370" s="40" t="s">
        <v>401</v>
      </c>
      <c r="C370" s="9" t="s">
        <v>1551</v>
      </c>
      <c r="D370" s="9" t="str">
        <f>IFERROR(MID(VLOOKUP($B370,Seqs!$A:$B,2,0),E370,1),"")</f>
        <v>T</v>
      </c>
      <c r="E370" s="9">
        <v>138</v>
      </c>
      <c r="F370" s="9" t="str">
        <f>IFERROR(MID(VLOOKUP($B370,Seqs!$A:$B,2,0),G370,1),"")</f>
        <v>F</v>
      </c>
      <c r="G370" s="9">
        <v>173</v>
      </c>
      <c r="H370" s="9" t="str">
        <f>IFERROR(MID(VLOOKUP($B370,Seqs!$A:$B,2,0),I370,1),"")</f>
        <v>R</v>
      </c>
      <c r="I370" s="109">
        <v>174</v>
      </c>
      <c r="J370" s="9" t="str">
        <f>IFERROR(MID(VLOOKUP($B370,Seqs!$A:$B,2,0),K370,1),"")</f>
        <v>G</v>
      </c>
      <c r="K370" s="109">
        <v>177</v>
      </c>
      <c r="L370" s="9" t="str">
        <f>IFERROR(MID(VLOOKUP($B370,Seqs!$A:$B,2,0),M370,1),"")</f>
        <v>C</v>
      </c>
      <c r="M370" s="9">
        <v>178</v>
      </c>
      <c r="N370" s="9" t="str">
        <f>IFERROR(MID(VLOOKUP($B370,Seqs!$A:$B,2,0),O370,1),"")</f>
        <v>V</v>
      </c>
      <c r="O370" s="9">
        <v>205</v>
      </c>
      <c r="P370" s="9" t="str">
        <f>IFERROR(MID(VLOOKUP($B370,Seqs!$A:$B,2,0),Q370,1),"")</f>
        <v/>
      </c>
      <c r="Q370" s="9" t="s">
        <v>23</v>
      </c>
      <c r="R370" s="9" t="str">
        <f>IFERROR(MID(VLOOKUP($B370,Seqs!$A:$B,2,0),S370,1),"")</f>
        <v/>
      </c>
      <c r="S370" s="9" t="s">
        <v>23</v>
      </c>
      <c r="T370" s="9" t="str">
        <f>IFERROR(MID(VLOOKUP($B370,Seqs!$A:$B,2,0),U370,1),"")</f>
        <v>V</v>
      </c>
      <c r="U370" s="9">
        <v>217</v>
      </c>
      <c r="V370" s="9" t="str">
        <f>IFERROR(MID(VLOOKUP($B370,Seqs!$A:$B,2,0),W370,1),"")</f>
        <v>V</v>
      </c>
      <c r="W370" s="9">
        <v>250</v>
      </c>
      <c r="X370" s="9" t="str">
        <f>IFERROR(MID(VLOOKUP($B370,Seqs!$A:$B,2,0),Y370,1),"")</f>
        <v/>
      </c>
      <c r="Y370" s="9" t="s">
        <v>23</v>
      </c>
      <c r="Z370" s="9" t="str">
        <f>IFERROR(MID(VLOOKUP($B370,Seqs!$A:$B,2,0),AA370,1),"")</f>
        <v/>
      </c>
      <c r="AA370" s="9" t="s">
        <v>23</v>
      </c>
      <c r="AB370" s="9" t="str">
        <f>IFERROR(MID(VLOOKUP($B370,Seqs!$A:$B,2,0),AC370,1),"")</f>
        <v>R</v>
      </c>
      <c r="AC370" s="9">
        <v>258</v>
      </c>
      <c r="AD370" s="9" t="str">
        <f>IFERROR(MID(VLOOKUP($B370,Seqs!$A:$B,2,0),AE370,1),"")</f>
        <v>F</v>
      </c>
      <c r="AE370" s="9">
        <v>285</v>
      </c>
      <c r="AF370" s="9" t="str">
        <f>IFERROR(MID(VLOOKUP($B370,Seqs!$A:$B,2,0),AG370,1),"")</f>
        <v>C</v>
      </c>
      <c r="AG370" s="9">
        <v>289</v>
      </c>
      <c r="AH370" s="9" t="str">
        <f>IFERROR(MID(VLOOKUP($B370,Seqs!$A:$B,2,0),AI370,1),"")</f>
        <v>L</v>
      </c>
      <c r="AI370" s="9">
        <v>291</v>
      </c>
      <c r="AJ370" s="9" t="str">
        <f>IFERROR(MID(VLOOKUP($B370,Seqs!$A:$B,2,0),AK370,1),"")</f>
        <v>L</v>
      </c>
      <c r="AK370" s="9">
        <v>298</v>
      </c>
      <c r="AL370" s="9" t="str">
        <f>IFERROR(MID(VLOOKUP($B370,Seqs!$A:$B,2,0),AM370,1),"")</f>
        <v>T</v>
      </c>
      <c r="AM370" s="9">
        <v>330</v>
      </c>
      <c r="AN370" s="9" t="str">
        <f>IFERROR(MID(VLOOKUP($B370,Seqs!$A:$B,2,0),AO370,1),"")</f>
        <v>H</v>
      </c>
      <c r="AO370" s="9">
        <v>336</v>
      </c>
      <c r="AP370" s="9" t="str">
        <f>IFERROR(MID(VLOOKUP($B370,Seqs!$A:$B,2,0),AQ370,1),"")</f>
        <v>F</v>
      </c>
      <c r="AQ370" s="9">
        <v>359</v>
      </c>
      <c r="AR370" s="9" t="str">
        <f>IFERROR(MID(VLOOKUP($B370,Seqs!$A:$B,2,0),AS370,1),"")</f>
        <v>N</v>
      </c>
      <c r="AS370" s="9">
        <v>365</v>
      </c>
      <c r="AT370" s="9" t="str">
        <f>IFERROR(MID(VLOOKUP($B370,Seqs!$A:$B,2,0),AU370,1),"")</f>
        <v>C</v>
      </c>
      <c r="AU370" s="9">
        <v>394</v>
      </c>
      <c r="AV370" s="9" t="str">
        <f>IFERROR(MID(VLOOKUP($B370,Seqs!$A:$B,2,0),AW370,1),"")</f>
        <v>N</v>
      </c>
      <c r="AW370" s="9">
        <v>395</v>
      </c>
      <c r="AX370" s="9" t="str">
        <f>IFERROR(MID(VLOOKUP($B370,Seqs!$A:$B,2,0),AY370,1),"")</f>
        <v>Q</v>
      </c>
      <c r="AY370" s="9">
        <v>412</v>
      </c>
      <c r="AZ370" s="110" t="str">
        <f>VLOOKUP(B370,Classification!A:D,2,0)</f>
        <v>B1</v>
      </c>
      <c r="BA370" s="98" t="str">
        <f>VLOOKUP(B370,Classification!A:D,4,0)</f>
        <v>Calcitonin</v>
      </c>
      <c r="BB370" s="36" t="b">
        <f t="shared" ref="BB370" si="2797">AND(E370&lt;G370,OR(G370&lt;I370,I370="-"),OR(I370&lt;K370,I370="-"),OR(K370&lt;M370,K370="-"),M370&lt;O370,OR(O370&lt;Q370,Q370="-"),OR(Q370&lt;S370,Q370="-"),OR(S370&lt;U370,S370="-"),U370&lt;W370,OR(W370&lt;Y370,Y370="-"),OR(Y370&lt;AA370,Y370="-"),OR(AA370&lt;AC370,AA370="-"),AC370&lt;AE370,OR(AE370&lt;AG370,AG370="-"),OR(AG370&lt;AI370,AG370="-"),OR(AI370&lt;AK370,AI370="-"),AK370&lt;AM370,AM370&lt;AO370,AO370&lt;AQ370,AQ370&lt;AS370,AS370&lt;AU370,OR(AU370&lt;AW370,AW370="-"),OR(AW370&lt;AY370,AW370="-"))</f>
        <v>1</v>
      </c>
      <c r="BC370" s="109">
        <f t="shared" ref="BC370" si="2798">_xlfn.AGGREGATE(9,6,CH370:CS370)-_xlfn.AGGREGATE(9,6,BV370:CG370)+12</f>
        <v>240</v>
      </c>
      <c r="BD370" s="11" t="s">
        <v>1375</v>
      </c>
      <c r="BE370" s="9" t="s">
        <v>1291</v>
      </c>
      <c r="BF370" s="119">
        <v>3.34</v>
      </c>
      <c r="BG370" s="51" t="s">
        <v>1422</v>
      </c>
      <c r="BH370" s="51" t="s">
        <v>1422</v>
      </c>
      <c r="BJ370" s="111" t="s">
        <v>1287</v>
      </c>
      <c r="BK370" s="112" t="s">
        <v>1287</v>
      </c>
      <c r="BL370" s="112" t="s">
        <v>1287</v>
      </c>
      <c r="BM370" s="112" t="s">
        <v>1287</v>
      </c>
      <c r="BN370" s="112" t="s">
        <v>1287</v>
      </c>
      <c r="BO370" s="112" t="s">
        <v>1287</v>
      </c>
      <c r="BP370" s="112" t="s">
        <v>1287</v>
      </c>
      <c r="BQ370" s="112" t="s">
        <v>1287</v>
      </c>
      <c r="BR370" s="112" t="s">
        <v>1287</v>
      </c>
      <c r="BS370" s="112" t="s">
        <v>1287</v>
      </c>
      <c r="BT370" s="112" t="s">
        <v>1287</v>
      </c>
      <c r="BU370" s="112" t="s">
        <v>1287</v>
      </c>
      <c r="BV370" s="111">
        <f t="shared" ref="BV370" si="2799">E370</f>
        <v>138</v>
      </c>
      <c r="BW370" s="113">
        <f t="shared" ref="BW370" si="2800">I370</f>
        <v>174</v>
      </c>
      <c r="BX370" s="114">
        <f t="shared" ref="BX370" si="2801">M370</f>
        <v>178</v>
      </c>
      <c r="BY370" s="113" t="str">
        <f t="shared" ref="BY370" si="2802">Q370</f>
        <v>-</v>
      </c>
      <c r="BZ370" s="114">
        <f t="shared" ref="BZ370" si="2803">U370</f>
        <v>217</v>
      </c>
      <c r="CA370" s="113" t="str">
        <f t="shared" ref="CA370" si="2804">Y370</f>
        <v>-</v>
      </c>
      <c r="CB370" s="114">
        <f t="shared" ref="CB370" si="2805">AC370</f>
        <v>258</v>
      </c>
      <c r="CC370" s="113">
        <f t="shared" ref="CC370" si="2806">AG370</f>
        <v>289</v>
      </c>
      <c r="CD370" s="114">
        <f t="shared" ref="CD370" si="2807">AK370</f>
        <v>298</v>
      </c>
      <c r="CE370" s="113">
        <f t="shared" ref="CE370" si="2808">AO370</f>
        <v>336</v>
      </c>
      <c r="CF370" s="114">
        <f t="shared" ref="CF370" si="2809">AS370</f>
        <v>365</v>
      </c>
      <c r="CG370" s="113">
        <f t="shared" ref="CG370" si="2810">AW370</f>
        <v>395</v>
      </c>
      <c r="CH370" s="111">
        <f t="shared" ref="CH370" si="2811">G370</f>
        <v>173</v>
      </c>
      <c r="CI370" s="113">
        <f t="shared" ref="CI370" si="2812">K370</f>
        <v>177</v>
      </c>
      <c r="CJ370" s="114">
        <f t="shared" ref="CJ370" si="2813">O370</f>
        <v>205</v>
      </c>
      <c r="CK370" s="114" t="str">
        <f t="shared" ref="CK370" si="2814">S370</f>
        <v>-</v>
      </c>
      <c r="CL370" s="114">
        <f t="shared" ref="CL370" si="2815">W370</f>
        <v>250</v>
      </c>
      <c r="CM370" s="114" t="str">
        <f t="shared" ref="CM370" si="2816">AA370</f>
        <v>-</v>
      </c>
      <c r="CN370" s="114">
        <f t="shared" ref="CN370" si="2817">AE370</f>
        <v>285</v>
      </c>
      <c r="CO370" s="114">
        <f t="shared" ref="CO370" si="2818">AI370</f>
        <v>291</v>
      </c>
      <c r="CP370" s="114">
        <f t="shared" ref="CP370" si="2819">AM370</f>
        <v>330</v>
      </c>
      <c r="CQ370" s="114">
        <f t="shared" ref="CQ370" si="2820">AQ370</f>
        <v>359</v>
      </c>
      <c r="CR370" s="114">
        <f t="shared" ref="CR370" si="2821">AU370</f>
        <v>394</v>
      </c>
      <c r="CS370" s="114">
        <f t="shared" ref="CS370" si="2822">AY370</f>
        <v>412</v>
      </c>
      <c r="CT370" s="109">
        <f t="shared" ref="CT370" si="2823">M370-K370</f>
        <v>1</v>
      </c>
      <c r="CU370" s="128"/>
      <c r="CV370" s="128"/>
      <c r="CW370" s="128"/>
      <c r="CX370" s="128"/>
      <c r="CY370" s="128"/>
      <c r="CZ370" s="128"/>
      <c r="DA370" s="128"/>
      <c r="DB370" s="128"/>
      <c r="DC370" s="128"/>
      <c r="DD370" s="128"/>
      <c r="DE370" s="128"/>
      <c r="DF370" s="128"/>
      <c r="DG370" s="128"/>
      <c r="DH370" s="128"/>
      <c r="DI370" s="128"/>
      <c r="DJ370" s="128"/>
      <c r="DK370" s="128"/>
      <c r="DL370" s="128"/>
      <c r="DM370" s="128"/>
      <c r="DN370" s="128"/>
      <c r="DO370" s="128"/>
      <c r="DP370" s="128"/>
      <c r="DQ370" s="128"/>
      <c r="DR370" s="128"/>
      <c r="DS370" s="128"/>
      <c r="DT370" s="128"/>
      <c r="DU370" s="128"/>
      <c r="DV370" s="128"/>
      <c r="DW370" s="128"/>
      <c r="DX370" s="128"/>
      <c r="DY370" s="128"/>
      <c r="DZ370" s="128"/>
      <c r="EA370" s="128"/>
      <c r="EB370" s="128"/>
      <c r="EC370" s="128"/>
      <c r="ED370" s="128"/>
      <c r="EE370" s="128"/>
      <c r="EF370" s="128"/>
      <c r="EG370" s="128"/>
      <c r="EH370" s="128"/>
      <c r="EI370" s="128"/>
      <c r="EJ370" s="128"/>
      <c r="EK370" s="128"/>
      <c r="EL370" s="128"/>
      <c r="EM370" s="128"/>
      <c r="EN370" s="128"/>
      <c r="EO370" s="128"/>
      <c r="EP370" s="128"/>
      <c r="EQ370" s="128"/>
      <c r="ER370" s="128"/>
      <c r="ES370" s="128"/>
      <c r="ET370" s="128"/>
      <c r="EU370" s="128"/>
      <c r="EV370" s="128"/>
      <c r="EW370" s="128"/>
      <c r="EX370" s="128"/>
      <c r="EY370" s="128"/>
      <c r="EZ370" s="128"/>
      <c r="FA370" s="128"/>
      <c r="FB370" s="128"/>
      <c r="FC370" s="128"/>
      <c r="FD370" s="128"/>
      <c r="FE370" s="128"/>
      <c r="FF370" s="128"/>
      <c r="FG370" s="128"/>
      <c r="FH370" s="128"/>
      <c r="FI370" s="128"/>
      <c r="FJ370" s="128"/>
      <c r="FK370" s="128"/>
      <c r="FL370" s="128"/>
      <c r="FM370" s="128"/>
      <c r="FN370" s="128"/>
      <c r="FO370" s="128"/>
      <c r="FP370" s="128"/>
      <c r="FQ370" s="128"/>
      <c r="FR370" s="128"/>
      <c r="FS370" s="128"/>
      <c r="FT370" s="128"/>
      <c r="FU370" s="128"/>
      <c r="FV370" s="128"/>
      <c r="FW370" s="128"/>
      <c r="FX370" s="128"/>
      <c r="FY370" s="128"/>
      <c r="FZ370" s="128"/>
      <c r="GA370" s="128"/>
      <c r="GB370" s="128"/>
      <c r="GC370" s="128"/>
      <c r="GD370" s="128"/>
      <c r="GE370" s="128"/>
      <c r="GF370" s="128"/>
      <c r="GG370" s="128"/>
      <c r="GH370" s="128"/>
      <c r="GI370" s="128"/>
      <c r="GJ370" s="128"/>
      <c r="GK370" s="128"/>
      <c r="GL370" s="128"/>
      <c r="GM370" s="128"/>
      <c r="GN370" s="128"/>
      <c r="GO370" s="128"/>
      <c r="GP370" s="128"/>
      <c r="GQ370" s="128"/>
      <c r="GR370" s="128"/>
      <c r="GS370" s="128"/>
      <c r="GT370" s="128"/>
      <c r="GU370" s="128"/>
      <c r="GV370" s="128"/>
      <c r="GW370" s="128"/>
      <c r="GX370" s="128"/>
      <c r="GY370" s="128"/>
      <c r="GZ370" s="128"/>
      <c r="HA370" s="128"/>
      <c r="HB370" s="128"/>
      <c r="HC370" s="128"/>
      <c r="HD370" s="128"/>
      <c r="HE370" s="128"/>
      <c r="HF370" s="128"/>
      <c r="HG370" s="128"/>
      <c r="HH370" s="128"/>
      <c r="HI370" s="128"/>
      <c r="HJ370" s="128"/>
      <c r="HK370" s="128"/>
      <c r="HL370" s="128"/>
      <c r="HM370" s="128"/>
      <c r="HN370" s="128"/>
      <c r="HO370" s="128"/>
      <c r="HP370" s="128"/>
      <c r="HQ370" s="128"/>
      <c r="HR370" s="128"/>
      <c r="HS370" s="128"/>
      <c r="HT370" s="128"/>
      <c r="HU370" s="128"/>
      <c r="HV370" s="128"/>
      <c r="HW370" s="128"/>
      <c r="HX370" s="128"/>
      <c r="HY370" s="128"/>
      <c r="HZ370" s="128"/>
      <c r="IA370" s="128"/>
      <c r="IB370" s="128"/>
      <c r="IC370" s="128"/>
      <c r="ID370" s="128"/>
      <c r="IE370" s="128"/>
      <c r="IF370" s="128"/>
      <c r="IG370" s="128"/>
      <c r="IH370" s="128"/>
      <c r="II370" s="128"/>
      <c r="IJ370" s="128"/>
      <c r="IK370" s="128"/>
      <c r="IL370" s="128"/>
      <c r="IM370" s="128"/>
      <c r="IN370" s="128"/>
      <c r="IO370" s="128"/>
      <c r="IP370" s="128"/>
      <c r="IQ370" s="128"/>
      <c r="IR370" s="128"/>
      <c r="IS370" s="128"/>
      <c r="IT370" s="128"/>
      <c r="IU370" s="128"/>
      <c r="IV370" s="128"/>
      <c r="IW370" s="128"/>
      <c r="IX370" s="128"/>
      <c r="IY370" s="128"/>
      <c r="IZ370" s="128"/>
      <c r="JA370" s="128"/>
      <c r="JB370" s="128"/>
      <c r="JC370" s="128"/>
      <c r="JD370" s="128"/>
      <c r="JE370" s="128"/>
      <c r="JF370" s="128"/>
      <c r="JG370" s="128"/>
      <c r="JH370" s="128"/>
      <c r="JI370" s="128"/>
      <c r="JJ370" s="128"/>
      <c r="JK370" s="128"/>
      <c r="JL370" s="128"/>
      <c r="JM370" s="128"/>
      <c r="JN370" s="128"/>
      <c r="JO370" s="128"/>
      <c r="JP370" s="128"/>
      <c r="JQ370" s="128"/>
      <c r="JR370" s="128"/>
      <c r="JS370" s="128"/>
      <c r="JT370" s="128"/>
      <c r="JU370" s="128"/>
      <c r="JV370" s="128"/>
      <c r="JW370" s="128"/>
      <c r="JX370" s="128"/>
      <c r="JY370" s="128"/>
      <c r="JZ370" s="128"/>
      <c r="KA370" s="128"/>
      <c r="KB370" s="128"/>
      <c r="KC370" s="128"/>
      <c r="KD370" s="128"/>
      <c r="KE370" s="128"/>
      <c r="KF370" s="128"/>
      <c r="KG370" s="128"/>
      <c r="KH370" s="128"/>
      <c r="KI370" s="128"/>
      <c r="KJ370" s="128"/>
      <c r="KK370" s="128"/>
      <c r="KL370" s="128"/>
      <c r="KM370" s="128"/>
      <c r="KN370" s="128"/>
      <c r="KO370" s="128"/>
      <c r="KP370" s="128"/>
      <c r="KQ370" s="128"/>
      <c r="KR370" s="128"/>
      <c r="KS370" s="128"/>
      <c r="KT370" s="128"/>
      <c r="KU370" s="128"/>
      <c r="KV370" s="128"/>
      <c r="KW370" s="128"/>
      <c r="KX370" s="128"/>
      <c r="KY370" s="128"/>
      <c r="KZ370" s="128"/>
      <c r="LA370" s="128"/>
      <c r="LB370" s="128"/>
      <c r="LC370" s="128"/>
      <c r="LD370" s="128"/>
      <c r="LE370" s="128"/>
      <c r="LF370" s="128"/>
      <c r="LG370" s="128"/>
      <c r="LH370" s="128"/>
      <c r="LI370" s="128"/>
      <c r="LJ370" s="128"/>
      <c r="LK370" s="128"/>
      <c r="LL370" s="128"/>
      <c r="LM370" s="128"/>
      <c r="LN370" s="128"/>
      <c r="LO370" s="128"/>
      <c r="LP370" s="128"/>
      <c r="LQ370" s="128"/>
      <c r="LR370" s="128"/>
      <c r="LS370" s="128"/>
      <c r="LT370" s="128"/>
      <c r="LU370" s="128"/>
      <c r="LV370" s="128"/>
      <c r="LW370" s="128"/>
      <c r="LX370" s="128"/>
      <c r="LY370" s="128"/>
      <c r="LZ370" s="128"/>
      <c r="MA370" s="128"/>
      <c r="MB370" s="128"/>
      <c r="MC370" s="128"/>
      <c r="MD370" s="128"/>
      <c r="ME370" s="128"/>
      <c r="MF370" s="128"/>
      <c r="MG370" s="128"/>
      <c r="MH370" s="128"/>
      <c r="MI370" s="128"/>
      <c r="MJ370" s="128"/>
      <c r="MK370" s="128"/>
      <c r="ML370" s="128"/>
      <c r="MM370" s="128"/>
      <c r="MN370" s="128"/>
      <c r="MO370" s="128"/>
      <c r="MP370" s="128"/>
      <c r="MQ370" s="128"/>
      <c r="MR370" s="128"/>
      <c r="MS370" s="128"/>
      <c r="MT370" s="128"/>
      <c r="MU370" s="128"/>
      <c r="MV370" s="128"/>
      <c r="MW370" s="128"/>
      <c r="MX370" s="128"/>
      <c r="MY370" s="128"/>
      <c r="MZ370" s="128"/>
      <c r="NA370" s="128"/>
      <c r="NB370" s="128"/>
      <c r="NC370" s="128"/>
      <c r="ND370" s="128"/>
      <c r="NE370" s="128"/>
      <c r="NF370" s="128"/>
      <c r="NG370" s="128"/>
      <c r="NH370" s="128"/>
      <c r="NI370" s="128"/>
      <c r="NJ370" s="128"/>
      <c r="NK370" s="128"/>
      <c r="NL370" s="128"/>
      <c r="NM370" s="128"/>
      <c r="NN370" s="128"/>
      <c r="NO370" s="128"/>
      <c r="NP370" s="128"/>
      <c r="NQ370" s="128"/>
      <c r="NR370" s="128"/>
      <c r="NS370" s="128"/>
      <c r="NT370" s="128"/>
      <c r="NU370" s="128"/>
      <c r="NV370" s="128"/>
      <c r="NW370" s="128"/>
      <c r="NX370" s="128"/>
      <c r="NY370" s="128"/>
      <c r="NZ370" s="128"/>
      <c r="OA370" s="128"/>
      <c r="OB370" s="128"/>
      <c r="OC370" s="128"/>
      <c r="OD370" s="128"/>
      <c r="OE370" s="128"/>
      <c r="OF370" s="128"/>
      <c r="OG370" s="128"/>
      <c r="OH370" s="128"/>
      <c r="OI370" s="128"/>
      <c r="OJ370" s="128"/>
      <c r="OK370" s="128"/>
      <c r="OL370" s="128"/>
      <c r="OM370" s="128"/>
      <c r="ON370" s="128"/>
      <c r="OO370" s="128"/>
      <c r="OP370" s="128"/>
      <c r="OQ370" s="128"/>
      <c r="OR370" s="128"/>
      <c r="OS370" s="128"/>
      <c r="OT370" s="128"/>
      <c r="OU370" s="128"/>
      <c r="OV370" s="128"/>
      <c r="OW370" s="128"/>
      <c r="OX370" s="128"/>
      <c r="OY370" s="128"/>
      <c r="OZ370" s="128"/>
      <c r="PA370" s="128"/>
      <c r="PB370" s="128"/>
      <c r="PC370" s="128"/>
      <c r="PD370" s="128"/>
      <c r="PE370" s="128"/>
      <c r="PF370" s="128"/>
      <c r="PG370" s="128"/>
      <c r="PH370" s="128"/>
      <c r="PI370" s="128"/>
      <c r="PJ370" s="128"/>
      <c r="PK370" s="128"/>
      <c r="PL370" s="128"/>
      <c r="PM370" s="128"/>
      <c r="PN370" s="128"/>
      <c r="PO370" s="128"/>
      <c r="PP370" s="128"/>
      <c r="PQ370" s="128"/>
      <c r="PR370" s="128"/>
      <c r="PS370" s="128"/>
      <c r="PT370" s="128"/>
      <c r="PU370" s="128"/>
      <c r="PV370" s="128"/>
      <c r="PW370" s="128"/>
      <c r="PX370" s="128"/>
      <c r="PY370" s="128"/>
      <c r="PZ370" s="128"/>
      <c r="QA370" s="128"/>
      <c r="QB370" s="128"/>
      <c r="QC370" s="128"/>
      <c r="QD370" s="128"/>
      <c r="QE370" s="128"/>
      <c r="QF370" s="128"/>
      <c r="QG370" s="128"/>
      <c r="QH370" s="128"/>
      <c r="QI370" s="128"/>
      <c r="QJ370" s="128"/>
      <c r="QK370" s="128"/>
      <c r="QL370" s="128"/>
      <c r="QM370" s="128"/>
      <c r="QN370" s="128"/>
      <c r="QO370" s="128"/>
      <c r="QP370" s="128"/>
      <c r="QQ370" s="128"/>
      <c r="QR370" s="128"/>
      <c r="QS370" s="128"/>
      <c r="QT370" s="128"/>
      <c r="QU370" s="128"/>
      <c r="QV370" s="128"/>
      <c r="QW370" s="128"/>
      <c r="QX370" s="128"/>
      <c r="QY370" s="128"/>
      <c r="QZ370" s="128"/>
      <c r="RA370" s="128"/>
      <c r="RB370" s="128"/>
      <c r="RC370" s="128"/>
      <c r="RD370" s="128"/>
      <c r="RE370" s="128"/>
      <c r="RF370" s="128"/>
      <c r="RG370" s="128"/>
      <c r="RH370" s="128"/>
      <c r="RI370" s="128"/>
      <c r="RJ370" s="128"/>
      <c r="RK370" s="128"/>
      <c r="RL370" s="128"/>
      <c r="RM370" s="128"/>
      <c r="RN370" s="128"/>
      <c r="RO370" s="128"/>
      <c r="RP370" s="128"/>
      <c r="RQ370" s="128"/>
      <c r="RR370" s="128"/>
      <c r="RS370" s="128"/>
      <c r="RT370" s="128"/>
      <c r="RU370" s="128"/>
      <c r="RV370" s="128"/>
      <c r="RW370" s="128"/>
      <c r="RX370" s="128"/>
      <c r="RY370" s="128"/>
      <c r="RZ370" s="128"/>
      <c r="SA370" s="128"/>
      <c r="SB370" s="128"/>
      <c r="SC370" s="128"/>
      <c r="SD370" s="128"/>
      <c r="SE370" s="128"/>
      <c r="SF370" s="128"/>
      <c r="SG370" s="128"/>
      <c r="SH370" s="128"/>
      <c r="SI370" s="128"/>
      <c r="SJ370" s="128"/>
      <c r="SK370" s="128"/>
      <c r="SL370" s="128"/>
      <c r="SM370" s="128"/>
      <c r="SN370" s="128"/>
      <c r="SO370" s="128"/>
      <c r="SP370" s="128"/>
      <c r="SQ370" s="128"/>
      <c r="SR370" s="128"/>
      <c r="SS370" s="128"/>
      <c r="ST370" s="128"/>
      <c r="SU370" s="128"/>
      <c r="SV370" s="128"/>
      <c r="SW370" s="128"/>
      <c r="SX370" s="128"/>
      <c r="SY370" s="128"/>
      <c r="SZ370" s="128"/>
      <c r="TA370" s="128"/>
      <c r="TB370" s="128"/>
      <c r="TC370" s="128"/>
      <c r="TD370" s="128"/>
      <c r="TE370" s="128"/>
      <c r="TF370" s="128"/>
      <c r="TG370" s="128"/>
      <c r="TH370" s="128"/>
      <c r="TI370" s="128"/>
      <c r="TJ370" s="128"/>
      <c r="TK370" s="128"/>
      <c r="TL370" s="128"/>
      <c r="TM370" s="128"/>
      <c r="TN370" s="128"/>
      <c r="TO370" s="128"/>
      <c r="TP370" s="128"/>
      <c r="TQ370" s="128"/>
      <c r="TR370" s="128"/>
      <c r="TS370" s="128"/>
      <c r="TT370" s="128"/>
      <c r="TU370" s="128"/>
      <c r="TV370" s="128"/>
      <c r="TW370" s="128"/>
      <c r="TX370" s="128"/>
      <c r="TY370" s="128"/>
      <c r="TZ370" s="128"/>
      <c r="UA370" s="128"/>
      <c r="UB370" s="128"/>
      <c r="UC370" s="128"/>
      <c r="UD370" s="128"/>
      <c r="UE370" s="128"/>
      <c r="UF370" s="128"/>
      <c r="UG370" s="128"/>
      <c r="UH370" s="128"/>
      <c r="UI370" s="128"/>
      <c r="UJ370" s="128"/>
      <c r="UK370" s="128"/>
      <c r="UL370" s="128"/>
      <c r="UM370" s="128"/>
      <c r="UN370" s="128"/>
      <c r="UO370" s="128"/>
      <c r="UP370" s="128"/>
      <c r="UQ370" s="128"/>
      <c r="UR370" s="128"/>
      <c r="US370" s="128"/>
      <c r="UT370" s="128"/>
      <c r="UU370" s="128"/>
      <c r="UV370" s="128"/>
      <c r="UW370" s="128"/>
      <c r="UX370" s="128"/>
      <c r="UY370" s="128"/>
      <c r="UZ370" s="128"/>
      <c r="VA370" s="128"/>
      <c r="VB370" s="128"/>
      <c r="VC370" s="128"/>
      <c r="VD370" s="128"/>
      <c r="VE370" s="128"/>
      <c r="VF370" s="128"/>
      <c r="VG370" s="128"/>
      <c r="VH370" s="128"/>
      <c r="VI370" s="128"/>
      <c r="VJ370" s="128"/>
      <c r="VK370" s="128"/>
      <c r="VL370" s="128"/>
      <c r="VM370" s="128"/>
      <c r="VN370" s="128"/>
      <c r="VO370" s="128"/>
      <c r="VP370" s="128"/>
      <c r="VQ370" s="128"/>
      <c r="VR370" s="128"/>
      <c r="VS370" s="128"/>
      <c r="VT370" s="128"/>
      <c r="VU370" s="128"/>
      <c r="VV370" s="128"/>
      <c r="VW370" s="128"/>
      <c r="VX370" s="128"/>
      <c r="VY370" s="128"/>
      <c r="VZ370" s="128"/>
      <c r="WA370" s="128"/>
      <c r="WB370" s="128"/>
      <c r="WC370" s="128"/>
      <c r="WD370" s="128"/>
      <c r="WE370" s="128"/>
      <c r="WF370" s="128"/>
      <c r="WG370" s="128"/>
      <c r="WH370" s="128"/>
      <c r="WI370" s="128"/>
      <c r="WJ370" s="128"/>
      <c r="WK370" s="128"/>
      <c r="WL370" s="128"/>
      <c r="WM370" s="128"/>
      <c r="WN370" s="128"/>
      <c r="WO370" s="128"/>
      <c r="WP370" s="128"/>
      <c r="WQ370" s="128"/>
      <c r="WR370" s="128"/>
      <c r="WS370" s="128"/>
      <c r="WT370" s="128"/>
      <c r="WU370" s="128"/>
      <c r="WV370" s="128"/>
      <c r="WW370" s="128"/>
      <c r="WX370" s="128"/>
      <c r="WY370" s="128"/>
      <c r="WZ370" s="128"/>
      <c r="XA370" s="128"/>
      <c r="XB370" s="128"/>
      <c r="XC370" s="128"/>
      <c r="XD370" s="128"/>
      <c r="XE370" s="128"/>
      <c r="XF370" s="128"/>
      <c r="XG370" s="128"/>
      <c r="XH370" s="128"/>
      <c r="XI370" s="128"/>
      <c r="XJ370" s="128"/>
      <c r="XK370" s="128"/>
      <c r="XL370" s="128"/>
      <c r="XM370" s="128"/>
      <c r="XN370" s="128"/>
      <c r="XO370" s="128"/>
      <c r="XP370" s="128"/>
      <c r="XQ370" s="128"/>
      <c r="XR370" s="128"/>
      <c r="XS370" s="128"/>
      <c r="XT370" s="128"/>
      <c r="XU370" s="128"/>
      <c r="XV370" s="128"/>
      <c r="XW370" s="128"/>
      <c r="XX370" s="128"/>
      <c r="XY370" s="128"/>
      <c r="XZ370" s="128"/>
      <c r="YA370" s="128"/>
      <c r="YB370" s="128"/>
      <c r="YC370" s="128"/>
      <c r="YD370" s="128"/>
      <c r="YE370" s="128"/>
      <c r="YF370" s="128"/>
      <c r="YG370" s="128"/>
      <c r="YH370" s="128"/>
      <c r="YI370" s="128"/>
      <c r="YJ370" s="128"/>
      <c r="YK370" s="128"/>
      <c r="YL370" s="128"/>
      <c r="YM370" s="128"/>
      <c r="YN370" s="128"/>
      <c r="YO370" s="128"/>
      <c r="YP370" s="128"/>
      <c r="YQ370" s="128"/>
      <c r="YR370" s="128"/>
      <c r="YS370" s="128"/>
      <c r="YT370" s="128"/>
      <c r="YU370" s="128"/>
      <c r="YV370" s="128"/>
      <c r="YW370" s="128"/>
      <c r="YX370" s="128"/>
      <c r="YY370" s="128"/>
      <c r="YZ370" s="128"/>
      <c r="ZA370" s="128"/>
      <c r="ZB370" s="128"/>
      <c r="ZC370" s="128"/>
      <c r="ZD370" s="128"/>
      <c r="ZE370" s="128"/>
      <c r="ZF370" s="128"/>
      <c r="ZG370" s="128"/>
      <c r="ZH370" s="128"/>
      <c r="ZI370" s="128"/>
      <c r="ZJ370" s="128"/>
      <c r="ZK370" s="128"/>
      <c r="ZL370" s="128"/>
      <c r="ZM370" s="128"/>
      <c r="ZN370" s="128"/>
      <c r="ZO370" s="128"/>
      <c r="ZP370" s="128"/>
      <c r="ZQ370" s="128"/>
      <c r="ZR370" s="128"/>
      <c r="ZS370" s="128"/>
      <c r="ZT370" s="128"/>
      <c r="ZU370" s="128"/>
      <c r="ZV370" s="128"/>
      <c r="ZW370" s="128"/>
      <c r="ZX370" s="128"/>
      <c r="ZY370" s="128"/>
      <c r="ZZ370" s="128"/>
      <c r="AAA370" s="128"/>
      <c r="AAB370" s="128"/>
      <c r="AAC370" s="128"/>
      <c r="AAD370" s="128"/>
      <c r="AAE370" s="128"/>
      <c r="AAF370" s="128"/>
      <c r="AAG370" s="128"/>
      <c r="AAH370" s="128"/>
      <c r="AAI370" s="128"/>
      <c r="AAJ370" s="128"/>
      <c r="AAK370" s="128"/>
      <c r="AAL370" s="128"/>
      <c r="AAM370" s="128"/>
      <c r="AAN370" s="128"/>
      <c r="AAO370" s="128"/>
      <c r="AAP370" s="128"/>
      <c r="AAQ370" s="128"/>
      <c r="AAR370" s="128"/>
      <c r="AAS370" s="128"/>
      <c r="AAT370" s="128"/>
      <c r="AAU370" s="128"/>
      <c r="AAV370" s="128"/>
      <c r="AAW370" s="128"/>
      <c r="AAX370" s="128"/>
      <c r="AAY370" s="128"/>
      <c r="AAZ370" s="128"/>
      <c r="ABA370" s="128"/>
      <c r="ABB370" s="128"/>
      <c r="ABC370" s="128"/>
      <c r="ABD370" s="128"/>
      <c r="ABE370" s="128"/>
      <c r="ABF370" s="128"/>
      <c r="ABG370" s="128"/>
      <c r="ABH370" s="128"/>
      <c r="ABI370" s="128"/>
      <c r="ABJ370" s="128"/>
      <c r="ABK370" s="128"/>
      <c r="ABL370" s="128"/>
      <c r="ABM370" s="128"/>
      <c r="ABN370" s="128"/>
      <c r="ABO370" s="128"/>
      <c r="ABP370" s="128"/>
      <c r="ABQ370" s="128"/>
      <c r="ABR370" s="128"/>
      <c r="ABS370" s="128"/>
      <c r="ABT370" s="128"/>
      <c r="ABU370" s="128"/>
      <c r="ABV370" s="128"/>
      <c r="ABW370" s="128"/>
      <c r="ABX370" s="128"/>
      <c r="ABY370" s="128"/>
      <c r="ABZ370" s="128"/>
      <c r="ACA370" s="128"/>
      <c r="ACB370" s="128"/>
      <c r="ACC370" s="128"/>
      <c r="ACD370" s="128"/>
      <c r="ACE370" s="128"/>
      <c r="ACF370" s="128"/>
      <c r="ACG370" s="128"/>
      <c r="ACH370" s="128"/>
      <c r="ACI370" s="128"/>
      <c r="ACJ370" s="128"/>
      <c r="ACK370" s="128"/>
      <c r="ACL370" s="128"/>
      <c r="ACM370" s="128"/>
      <c r="ACN370" s="128"/>
      <c r="ACO370" s="128"/>
      <c r="ACP370" s="128"/>
      <c r="ACQ370" s="128"/>
      <c r="ACR370" s="128"/>
      <c r="ACS370" s="128"/>
      <c r="ACT370" s="128"/>
      <c r="ACU370" s="128"/>
      <c r="ACV370" s="128"/>
      <c r="ACW370" s="128"/>
      <c r="ACX370" s="128"/>
      <c r="ACY370" s="128"/>
      <c r="ACZ370" s="128"/>
      <c r="ADA370" s="128"/>
      <c r="ADB370" s="128"/>
      <c r="ADC370" s="128"/>
      <c r="ADD370" s="128"/>
      <c r="ADE370" s="128"/>
      <c r="ADF370" s="128"/>
      <c r="ADG370" s="128"/>
      <c r="ADH370" s="128"/>
      <c r="ADI370" s="128"/>
      <c r="ADJ370" s="128"/>
      <c r="ADK370" s="128"/>
      <c r="ADL370" s="128"/>
      <c r="ADM370" s="128"/>
      <c r="ADN370" s="128"/>
      <c r="ADO370" s="128"/>
      <c r="ADP370" s="128"/>
      <c r="ADQ370" s="128"/>
      <c r="ADR370" s="128"/>
      <c r="ADS370" s="128"/>
      <c r="ADT370" s="128"/>
      <c r="ADU370" s="128"/>
      <c r="ADV370" s="128"/>
      <c r="ADW370" s="128"/>
      <c r="ADX370" s="128"/>
      <c r="ADY370" s="128"/>
      <c r="ADZ370" s="128"/>
      <c r="AEA370" s="128"/>
      <c r="AEB370" s="128"/>
      <c r="AEC370" s="128"/>
      <c r="AED370" s="128"/>
      <c r="AEE370" s="128"/>
      <c r="AEF370" s="128"/>
      <c r="AEG370" s="128"/>
      <c r="AEH370" s="128"/>
      <c r="AEI370" s="128"/>
      <c r="AEJ370" s="128"/>
      <c r="AEK370" s="128"/>
      <c r="AEL370" s="128"/>
      <c r="AEM370" s="128"/>
      <c r="AEN370" s="128"/>
      <c r="AEO370" s="128"/>
      <c r="AEP370" s="128"/>
      <c r="AEQ370" s="128"/>
      <c r="AER370" s="128"/>
      <c r="AES370" s="128"/>
      <c r="AET370" s="128"/>
      <c r="AEU370" s="128"/>
      <c r="AEV370" s="128"/>
      <c r="AEW370" s="128"/>
      <c r="AEX370" s="128"/>
      <c r="AEY370" s="128"/>
      <c r="AEZ370" s="128"/>
      <c r="AFA370" s="128"/>
      <c r="AFB370" s="128"/>
      <c r="AFC370" s="128"/>
      <c r="AFD370" s="128"/>
      <c r="AFE370" s="128"/>
      <c r="AFF370" s="128"/>
      <c r="AFG370" s="128"/>
      <c r="AFH370" s="128"/>
      <c r="AFI370" s="128"/>
      <c r="AFJ370" s="128"/>
      <c r="AFK370" s="128"/>
      <c r="AFL370" s="128"/>
      <c r="AFM370" s="128"/>
      <c r="AFN370" s="128"/>
      <c r="AFO370" s="128"/>
      <c r="AFP370" s="128"/>
      <c r="AFQ370" s="128"/>
      <c r="AFR370" s="128"/>
      <c r="AFS370" s="128"/>
      <c r="AFT370" s="128"/>
      <c r="AFU370" s="128"/>
      <c r="AFV370" s="128"/>
      <c r="AFW370" s="128"/>
      <c r="AFX370" s="128"/>
      <c r="AFY370" s="128"/>
      <c r="AFZ370" s="128"/>
      <c r="AGA370" s="128"/>
      <c r="AGB370" s="128"/>
      <c r="AGC370" s="128"/>
      <c r="AGD370" s="128"/>
      <c r="AGE370" s="128"/>
      <c r="AGF370" s="128"/>
      <c r="AGG370" s="128"/>
      <c r="AGH370" s="128"/>
      <c r="AGI370" s="128"/>
      <c r="AGJ370" s="128"/>
      <c r="AGK370" s="128"/>
      <c r="AGL370" s="128"/>
      <c r="AGM370" s="128"/>
      <c r="AGN370" s="128"/>
      <c r="AGO370" s="128"/>
      <c r="AGP370" s="128"/>
      <c r="AGQ370" s="128"/>
      <c r="AGR370" s="128"/>
      <c r="AGS370" s="128"/>
      <c r="AGT370" s="128"/>
      <c r="AGU370" s="128"/>
      <c r="AGV370" s="128"/>
      <c r="AGW370" s="128"/>
      <c r="AGX370" s="128"/>
      <c r="AGY370" s="128"/>
      <c r="AGZ370" s="128"/>
      <c r="AHA370" s="128"/>
      <c r="AHB370" s="128"/>
      <c r="AHC370" s="128"/>
      <c r="AHD370" s="128"/>
      <c r="AHE370" s="128"/>
      <c r="AHF370" s="128"/>
      <c r="AHG370" s="128"/>
      <c r="AHH370" s="128"/>
      <c r="AHI370" s="128"/>
      <c r="AHJ370" s="128"/>
      <c r="AHK370" s="128"/>
      <c r="AHL370" s="128"/>
      <c r="AHM370" s="128"/>
      <c r="AHN370" s="128"/>
      <c r="AHO370" s="128"/>
      <c r="AHP370" s="128"/>
      <c r="AHQ370" s="128"/>
      <c r="AHR370" s="128"/>
      <c r="AHS370" s="128"/>
      <c r="AHT370" s="128"/>
      <c r="AHU370" s="128"/>
      <c r="AHV370" s="128"/>
      <c r="AHW370" s="128"/>
      <c r="AHX370" s="128"/>
      <c r="AHY370" s="128"/>
      <c r="AHZ370" s="128"/>
      <c r="AIA370" s="128"/>
      <c r="AIB370" s="128"/>
      <c r="AIC370" s="128"/>
      <c r="AID370" s="128"/>
      <c r="AIE370" s="128"/>
      <c r="AIF370" s="128"/>
      <c r="AIG370" s="128"/>
      <c r="AIH370" s="128"/>
      <c r="AII370" s="128"/>
      <c r="AIJ370" s="128"/>
      <c r="AIK370" s="128"/>
      <c r="AIL370" s="128"/>
      <c r="AIM370" s="128"/>
      <c r="AIN370" s="128"/>
      <c r="AIO370" s="128"/>
      <c r="AIP370" s="128"/>
      <c r="AIQ370" s="128"/>
      <c r="AIR370" s="128"/>
      <c r="AIS370" s="128"/>
      <c r="AIT370" s="128"/>
      <c r="AIU370" s="128"/>
      <c r="AIV370" s="128"/>
      <c r="AIW370" s="128"/>
      <c r="AIX370" s="128"/>
      <c r="AIY370" s="128"/>
      <c r="AIZ370" s="128"/>
      <c r="AJA370" s="128"/>
      <c r="AJB370" s="128"/>
      <c r="AJC370" s="128"/>
      <c r="AJD370" s="128"/>
      <c r="AJE370" s="128"/>
      <c r="AJF370" s="128"/>
      <c r="AJG370" s="128"/>
      <c r="AJH370" s="128"/>
      <c r="AJI370" s="128"/>
      <c r="AJJ370" s="128"/>
      <c r="AJK370" s="128"/>
      <c r="AJL370" s="128"/>
      <c r="AJM370" s="128"/>
      <c r="AJN370" s="128"/>
      <c r="AJO370" s="128"/>
      <c r="AJP370" s="128"/>
      <c r="AJQ370" s="128"/>
      <c r="AJR370" s="128"/>
      <c r="AJS370" s="128"/>
      <c r="AJT370" s="128"/>
      <c r="AJU370" s="128"/>
      <c r="AJV370" s="128"/>
      <c r="AJW370" s="128"/>
      <c r="AJX370" s="128"/>
      <c r="AJY370" s="128"/>
      <c r="AJZ370" s="128"/>
      <c r="AKA370" s="128"/>
      <c r="AKB370" s="128"/>
      <c r="AKC370" s="128"/>
      <c r="AKD370" s="128"/>
      <c r="AKE370" s="128"/>
      <c r="AKF370" s="128"/>
      <c r="AKG370" s="128"/>
      <c r="AKH370" s="128"/>
      <c r="AKI370" s="128"/>
      <c r="AKJ370" s="128"/>
      <c r="AKK370" s="128"/>
      <c r="AKL370" s="128"/>
      <c r="AKM370" s="128"/>
      <c r="AKN370" s="128"/>
      <c r="AKO370" s="128"/>
      <c r="AKP370" s="128"/>
      <c r="AKQ370" s="128"/>
      <c r="AKR370" s="128"/>
      <c r="AKS370" s="128"/>
      <c r="AKT370" s="128"/>
      <c r="AKU370" s="128"/>
      <c r="AKV370" s="128"/>
      <c r="AKW370" s="128"/>
      <c r="AKX370" s="128"/>
      <c r="AKY370" s="128"/>
      <c r="AKZ370" s="128"/>
      <c r="ALA370" s="128"/>
      <c r="ALB370" s="128"/>
      <c r="ALC370" s="128"/>
      <c r="ALD370" s="128"/>
      <c r="ALE370" s="128"/>
      <c r="ALF370" s="128"/>
      <c r="ALG370" s="128"/>
      <c r="ALH370" s="128"/>
      <c r="ALI370" s="128"/>
      <c r="ALJ370" s="128"/>
      <c r="ALK370" s="128"/>
      <c r="ALL370" s="128"/>
      <c r="ALM370" s="128"/>
      <c r="ALN370" s="128"/>
      <c r="ALO370" s="128"/>
      <c r="ALP370" s="128"/>
      <c r="ALQ370" s="128"/>
      <c r="ALR370" s="128"/>
      <c r="ALS370" s="128"/>
      <c r="ALT370" s="128"/>
      <c r="ALU370" s="128"/>
      <c r="ALV370" s="128"/>
      <c r="ALW370" s="128"/>
      <c r="ALX370" s="128"/>
      <c r="ALY370" s="128"/>
      <c r="ALZ370" s="128"/>
      <c r="AMA370" s="128"/>
      <c r="AMB370" s="128"/>
      <c r="AMC370" s="128"/>
      <c r="AMD370" s="128"/>
      <c r="AME370" s="128"/>
      <c r="AMF370" s="128"/>
      <c r="AMG370" s="128"/>
      <c r="AMH370" s="128"/>
      <c r="AMI370" s="128"/>
      <c r="AMJ370" s="128"/>
      <c r="AMK370" s="128"/>
      <c r="AML370" s="128"/>
      <c r="AMM370" s="128"/>
      <c r="AMN370" s="128"/>
      <c r="AMO370" s="128"/>
      <c r="AMP370" s="128"/>
    </row>
    <row r="371" spans="1:1030" x14ac:dyDescent="0.2">
      <c r="A371" s="3" t="str">
        <f t="shared" si="2739"/>
        <v>calrl_human__wt</v>
      </c>
      <c r="B371" s="2" t="s">
        <v>402</v>
      </c>
      <c r="C371" s="3" t="s">
        <v>100</v>
      </c>
      <c r="D371" s="3" t="str">
        <f>IFERROR(MID(VLOOKUP($B371,Seqs!$A:$B,2,0),E371,1),"")</f>
        <v>N</v>
      </c>
      <c r="E371" s="3">
        <v>130</v>
      </c>
      <c r="F371" s="3" t="str">
        <f>IFERROR(MID(VLOOKUP($B371,Seqs!$A:$B,2,0),G371,1),"")</f>
        <v>F</v>
      </c>
      <c r="G371" s="3">
        <v>166</v>
      </c>
      <c r="H371" s="3" t="str">
        <f>IFERROR(MID(VLOOKUP($B371,Seqs!$A:$B,2,0),I371,1),"")</f>
        <v>K</v>
      </c>
      <c r="I371" s="23">
        <v>167</v>
      </c>
      <c r="J371" s="3" t="str">
        <f>IFERROR(MID(VLOOKUP($B371,Seqs!$A:$B,2,0),K371,1),"")</f>
        <v>S</v>
      </c>
      <c r="K371" s="23">
        <v>170</v>
      </c>
      <c r="L371" s="3" t="str">
        <f>IFERROR(MID(VLOOKUP($B371,Seqs!$A:$B,2,0),M371,1),"")</f>
        <v>C</v>
      </c>
      <c r="M371" s="3">
        <v>171</v>
      </c>
      <c r="N371" s="3" t="str">
        <f>IFERROR(MID(VLOOKUP($B371,Seqs!$A:$B,2,0),O371,1),"")</f>
        <v>V</v>
      </c>
      <c r="O371" s="3">
        <v>198</v>
      </c>
      <c r="P371" s="3" t="str">
        <f>IFERROR(MID(VLOOKUP($B371,Seqs!$A:$B,2,0),Q371,1),"")</f>
        <v/>
      </c>
      <c r="Q371" s="3" t="s">
        <v>23</v>
      </c>
      <c r="R371" s="3" t="str">
        <f>IFERROR(MID(VLOOKUP($B371,Seqs!$A:$B,2,0),S371,1),"")</f>
        <v/>
      </c>
      <c r="S371" s="3" t="s">
        <v>23</v>
      </c>
      <c r="T371" s="3" t="str">
        <f>IFERROR(MID(VLOOKUP($B371,Seqs!$A:$B,2,0),U371,1),"")</f>
        <v>V</v>
      </c>
      <c r="U371" s="3">
        <v>210</v>
      </c>
      <c r="V371" s="3" t="str">
        <f>IFERROR(MID(VLOOKUP($B371,Seqs!$A:$B,2,0),W371,1),"")</f>
        <v>V</v>
      </c>
      <c r="W371" s="3">
        <v>243</v>
      </c>
      <c r="X371" s="3" t="str">
        <f>IFERROR(MID(VLOOKUP($B371,Seqs!$A:$B,2,0),Y371,1),"")</f>
        <v/>
      </c>
      <c r="Y371" s="3" t="s">
        <v>23</v>
      </c>
      <c r="Z371" s="3" t="str">
        <f>IFERROR(MID(VLOOKUP($B371,Seqs!$A:$B,2,0),AA371,1),"")</f>
        <v/>
      </c>
      <c r="AA371" s="3" t="s">
        <v>23</v>
      </c>
      <c r="AB371" s="3" t="str">
        <f>IFERROR(MID(VLOOKUP($B371,Seqs!$A:$B,2,0),AC371,1),"")</f>
        <v>H</v>
      </c>
      <c r="AC371" s="3">
        <v>251</v>
      </c>
      <c r="AD371" s="3" t="str">
        <f>IFERROR(MID(VLOOKUP($B371,Seqs!$A:$B,2,0),AE371,1),"")</f>
        <v>Y</v>
      </c>
      <c r="AE371" s="3">
        <v>277</v>
      </c>
      <c r="AF371" s="3" t="str">
        <f>IFERROR(MID(VLOOKUP($B371,Seqs!$A:$B,2,0),AG371,1),"")</f>
        <v>C</v>
      </c>
      <c r="AG371" s="3">
        <v>282</v>
      </c>
      <c r="AH371" s="3" t="str">
        <f>IFERROR(MID(VLOOKUP($B371,Seqs!$A:$B,2,0),AI371,1),"")</f>
        <v>I</v>
      </c>
      <c r="AI371" s="3">
        <v>284</v>
      </c>
      <c r="AJ371" s="3" t="str">
        <f>IFERROR(MID(VLOOKUP($B371,Seqs!$A:$B,2,0),AK371,1),"")</f>
        <v>L</v>
      </c>
      <c r="AK371" s="3">
        <v>290</v>
      </c>
      <c r="AL371" s="3" t="str">
        <f>IFERROR(MID(VLOOKUP($B371,Seqs!$A:$B,2,0),AM371,1),"")</f>
        <v>K</v>
      </c>
      <c r="AM371" s="3">
        <v>321</v>
      </c>
      <c r="AN371" s="3" t="str">
        <f>IFERROR(MID(VLOOKUP($B371,Seqs!$A:$B,2,0),AO371,1),"")</f>
        <v>Y</v>
      </c>
      <c r="AO371" s="3">
        <v>331</v>
      </c>
      <c r="AP371" s="3" t="str">
        <f>IFERROR(MID(VLOOKUP($B371,Seqs!$A:$B,2,0),AQ371,1),"")</f>
        <v>W</v>
      </c>
      <c r="AQ371" s="3">
        <v>354</v>
      </c>
      <c r="AR371" s="3" t="str">
        <f>IFERROR(MID(VLOOKUP($B371,Seqs!$A:$B,2,0),AS371,1),"")</f>
        <v>K</v>
      </c>
      <c r="AS371" s="3">
        <v>359</v>
      </c>
      <c r="AT371" s="3" t="str">
        <f>IFERROR(MID(VLOOKUP($B371,Seqs!$A:$B,2,0),AU371,1),"")</f>
        <v>F</v>
      </c>
      <c r="AU371" s="3">
        <v>387</v>
      </c>
      <c r="AV371" s="3" t="str">
        <f>IFERROR(MID(VLOOKUP($B371,Seqs!$A:$B,2,0),AW371,1),"")</f>
        <v>N</v>
      </c>
      <c r="AW371" s="3">
        <v>388</v>
      </c>
      <c r="AX371" s="3" t="str">
        <f>IFERROR(MID(VLOOKUP($B371,Seqs!$A:$B,2,0),AY371,1),"")</f>
        <v>S</v>
      </c>
      <c r="AY371" s="3">
        <v>413</v>
      </c>
      <c r="AZ371" s="77" t="str">
        <f>VLOOKUP(B371,Classification!A:D,2,0)</f>
        <v>B1</v>
      </c>
      <c r="BA371" s="94" t="str">
        <f>VLOOKUP(B371,Classification!A:D,4,0)</f>
        <v>Calcitonin</v>
      </c>
      <c r="BB371" s="27" t="b">
        <f t="shared" ref="BB371" si="2824">AND(E371&lt;G371,OR(G371&lt;I371,I371="-"),OR(I371&lt;K371,I371="-"),OR(K371&lt;M371,K371="-"),M371&lt;O371,OR(O371&lt;Q371,Q371="-"),OR(Q371&lt;S371,Q371="-"),OR(S371&lt;U371,S371="-"),U371&lt;W371,OR(W371&lt;Y371,Y371="-"),OR(Y371&lt;AA371,Y371="-"),OR(AA371&lt;AC371,AA371="-"),AC371&lt;AE371,OR(AE371&lt;AG371,AG371="-"),OR(AG371&lt;AI371,AG371="-"),OR(AI371&lt;AK371,AI371="-"),AK371&lt;AM371,AM371&lt;AO371,AO371&lt;AQ371,AQ371&lt;AS371,AS371&lt;AU371,OR(AU371&lt;AW371,AW371="-"),OR(AW371&lt;AY371,AW371="-"))</f>
        <v>1</v>
      </c>
      <c r="BC371" s="23">
        <f t="shared" ref="BC371" si="2825">_xlfn.AGGREGATE(9,6,CH371:CS371)-_xlfn.AGGREGATE(9,6,BV371:CG371)+12</f>
        <v>246</v>
      </c>
      <c r="BD371" s="4" t="s">
        <v>23</v>
      </c>
      <c r="BE371" s="3" t="s">
        <v>23</v>
      </c>
      <c r="BF371" s="118" t="s">
        <v>23</v>
      </c>
      <c r="BG371" s="49" t="s">
        <v>1377</v>
      </c>
      <c r="BH371" s="49" t="s">
        <v>1377</v>
      </c>
      <c r="BI371" s="1"/>
      <c r="BJ371" s="70" t="s">
        <v>1287</v>
      </c>
      <c r="BK371" s="57" t="s">
        <v>1287</v>
      </c>
      <c r="BL371" s="57" t="s">
        <v>1287</v>
      </c>
      <c r="BM371" s="57" t="s">
        <v>1287</v>
      </c>
      <c r="BN371" s="57" t="s">
        <v>1287</v>
      </c>
      <c r="BO371" s="57" t="s">
        <v>1287</v>
      </c>
      <c r="BP371" s="57" t="s">
        <v>1287</v>
      </c>
      <c r="BQ371" s="57" t="s">
        <v>1287</v>
      </c>
      <c r="BR371" s="57" t="s">
        <v>1287</v>
      </c>
      <c r="BS371" s="57" t="s">
        <v>1287</v>
      </c>
      <c r="BT371" s="57" t="s">
        <v>1287</v>
      </c>
      <c r="BU371" s="57" t="s">
        <v>1287</v>
      </c>
      <c r="BV371" s="70">
        <f t="shared" ref="BV371" si="2826">E371</f>
        <v>130</v>
      </c>
      <c r="BW371" s="71">
        <f t="shared" ref="BW371" si="2827">I371</f>
        <v>167</v>
      </c>
      <c r="BX371" s="72">
        <f t="shared" ref="BX371" si="2828">M371</f>
        <v>171</v>
      </c>
      <c r="BY371" s="71" t="str">
        <f t="shared" ref="BY371" si="2829">Q371</f>
        <v>-</v>
      </c>
      <c r="BZ371" s="72">
        <f t="shared" ref="BZ371" si="2830">U371</f>
        <v>210</v>
      </c>
      <c r="CA371" s="71" t="str">
        <f t="shared" ref="CA371" si="2831">Y371</f>
        <v>-</v>
      </c>
      <c r="CB371" s="72">
        <f t="shared" ref="CB371" si="2832">AC371</f>
        <v>251</v>
      </c>
      <c r="CC371" s="71">
        <f t="shared" ref="CC371" si="2833">AG371</f>
        <v>282</v>
      </c>
      <c r="CD371" s="72">
        <f t="shared" ref="CD371" si="2834">AK371</f>
        <v>290</v>
      </c>
      <c r="CE371" s="71">
        <f t="shared" ref="CE371" si="2835">AO371</f>
        <v>331</v>
      </c>
      <c r="CF371" s="72">
        <f t="shared" ref="CF371" si="2836">AS371</f>
        <v>359</v>
      </c>
      <c r="CG371" s="71">
        <f t="shared" ref="CG371" si="2837">AW371</f>
        <v>388</v>
      </c>
      <c r="CH371" s="70">
        <f t="shared" ref="CH371" si="2838">G371</f>
        <v>166</v>
      </c>
      <c r="CI371" s="71">
        <f t="shared" ref="CI371" si="2839">K371</f>
        <v>170</v>
      </c>
      <c r="CJ371" s="72">
        <f t="shared" ref="CJ371" si="2840">O371</f>
        <v>198</v>
      </c>
      <c r="CK371" s="72" t="str">
        <f t="shared" ref="CK371" si="2841">S371</f>
        <v>-</v>
      </c>
      <c r="CL371" s="72">
        <f t="shared" ref="CL371" si="2842">W371</f>
        <v>243</v>
      </c>
      <c r="CM371" s="72" t="str">
        <f t="shared" ref="CM371" si="2843">AA371</f>
        <v>-</v>
      </c>
      <c r="CN371" s="72">
        <f t="shared" ref="CN371" si="2844">AE371</f>
        <v>277</v>
      </c>
      <c r="CO371" s="72">
        <f t="shared" ref="CO371" si="2845">AI371</f>
        <v>284</v>
      </c>
      <c r="CP371" s="72">
        <f t="shared" ref="CP371" si="2846">AM371</f>
        <v>321</v>
      </c>
      <c r="CQ371" s="72">
        <f t="shared" ref="CQ371" si="2847">AQ371</f>
        <v>354</v>
      </c>
      <c r="CR371" s="72">
        <f t="shared" ref="CR371" si="2848">AU371</f>
        <v>387</v>
      </c>
      <c r="CS371" s="72">
        <f t="shared" ref="CS371" si="2849">AY371</f>
        <v>413</v>
      </c>
      <c r="CT371" s="23">
        <f t="shared" ref="CT371" si="2850">M371-K371</f>
        <v>1</v>
      </c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  <c r="SC371" s="6"/>
      <c r="SD371" s="6"/>
      <c r="SE371" s="6"/>
      <c r="SF371" s="6"/>
      <c r="SG371" s="6"/>
      <c r="SH371" s="6"/>
      <c r="SI371" s="6"/>
      <c r="SJ371" s="6"/>
      <c r="SK371" s="6"/>
      <c r="SL371" s="6"/>
      <c r="SM371" s="6"/>
      <c r="SN371" s="6"/>
      <c r="SO371" s="6"/>
      <c r="SP371" s="6"/>
      <c r="SQ371" s="6"/>
      <c r="SR371" s="6"/>
      <c r="SS371" s="6"/>
      <c r="ST371" s="6"/>
      <c r="SU371" s="6"/>
      <c r="SV371" s="6"/>
      <c r="SW371" s="6"/>
      <c r="SX371" s="6"/>
      <c r="SY371" s="6"/>
      <c r="SZ371" s="6"/>
      <c r="TA371" s="6"/>
      <c r="TB371" s="6"/>
      <c r="TC371" s="6"/>
      <c r="TD371" s="6"/>
      <c r="TE371" s="6"/>
      <c r="TF371" s="6"/>
      <c r="TG371" s="6"/>
      <c r="TH371" s="6"/>
      <c r="TI371" s="6"/>
      <c r="TJ371" s="6"/>
      <c r="TK371" s="6"/>
      <c r="TL371" s="6"/>
      <c r="TM371" s="6"/>
      <c r="TN371" s="6"/>
      <c r="TO371" s="6"/>
      <c r="TP371" s="6"/>
      <c r="TQ371" s="6"/>
      <c r="TR371" s="6"/>
      <c r="TS371" s="6"/>
      <c r="TT371" s="6"/>
      <c r="TU371" s="6"/>
      <c r="TV371" s="6"/>
      <c r="TW371" s="6"/>
      <c r="TX371" s="6"/>
      <c r="TY371" s="6"/>
      <c r="TZ371" s="6"/>
      <c r="UA371" s="6"/>
      <c r="UB371" s="6"/>
      <c r="UC371" s="6"/>
      <c r="UD371" s="6"/>
      <c r="UE371" s="6"/>
      <c r="UF371" s="6"/>
      <c r="UG371" s="6"/>
      <c r="UH371" s="6"/>
      <c r="UI371" s="6"/>
      <c r="UJ371" s="6"/>
      <c r="UK371" s="6"/>
      <c r="UL371" s="6"/>
      <c r="UM371" s="6"/>
      <c r="UN371" s="6"/>
      <c r="UO371" s="6"/>
      <c r="UP371" s="6"/>
      <c r="UQ371" s="6"/>
      <c r="UR371" s="6"/>
      <c r="US371" s="6"/>
      <c r="UT371" s="6"/>
      <c r="UU371" s="6"/>
      <c r="UV371" s="6"/>
      <c r="UW371" s="6"/>
      <c r="UX371" s="6"/>
      <c r="UY371" s="6"/>
      <c r="UZ371" s="6"/>
      <c r="VA371" s="6"/>
      <c r="VB371" s="6"/>
      <c r="VC371" s="6"/>
      <c r="VD371" s="6"/>
      <c r="VE371" s="6"/>
      <c r="VF371" s="6"/>
      <c r="VG371" s="6"/>
      <c r="VH371" s="6"/>
      <c r="VI371" s="6"/>
      <c r="VJ371" s="6"/>
      <c r="VK371" s="6"/>
      <c r="VL371" s="6"/>
      <c r="VM371" s="6"/>
      <c r="VN371" s="6"/>
      <c r="VO371" s="6"/>
      <c r="VP371" s="6"/>
      <c r="VQ371" s="6"/>
      <c r="VR371" s="6"/>
      <c r="VS371" s="6"/>
      <c r="VT371" s="6"/>
      <c r="VU371" s="6"/>
      <c r="VV371" s="6"/>
      <c r="VW371" s="6"/>
      <c r="VX371" s="6"/>
      <c r="VY371" s="6"/>
      <c r="VZ371" s="6"/>
      <c r="WA371" s="6"/>
      <c r="WB371" s="6"/>
      <c r="WC371" s="6"/>
      <c r="WD371" s="6"/>
      <c r="WE371" s="6"/>
      <c r="WF371" s="6"/>
      <c r="WG371" s="6"/>
      <c r="WH371" s="6"/>
      <c r="WI371" s="6"/>
      <c r="WJ371" s="6"/>
      <c r="WK371" s="6"/>
      <c r="WL371" s="6"/>
      <c r="WM371" s="6"/>
      <c r="WN371" s="6"/>
      <c r="WO371" s="6"/>
      <c r="WP371" s="6"/>
      <c r="WQ371" s="6"/>
      <c r="WR371" s="6"/>
      <c r="WS371" s="6"/>
      <c r="WT371" s="6"/>
      <c r="WU371" s="6"/>
      <c r="WV371" s="6"/>
      <c r="WW371" s="6"/>
      <c r="WX371" s="6"/>
      <c r="WY371" s="6"/>
      <c r="WZ371" s="6"/>
      <c r="XA371" s="6"/>
      <c r="XB371" s="6"/>
      <c r="XC371" s="6"/>
      <c r="XD371" s="6"/>
      <c r="XE371" s="6"/>
      <c r="XF371" s="6"/>
      <c r="XG371" s="6"/>
      <c r="XH371" s="6"/>
      <c r="XI371" s="6"/>
      <c r="XJ371" s="6"/>
      <c r="XK371" s="6"/>
      <c r="XL371" s="6"/>
      <c r="XM371" s="6"/>
      <c r="XN371" s="6"/>
      <c r="XO371" s="6"/>
      <c r="XP371" s="6"/>
      <c r="XQ371" s="6"/>
      <c r="XR371" s="6"/>
      <c r="XS371" s="6"/>
      <c r="XT371" s="6"/>
      <c r="XU371" s="6"/>
      <c r="XV371" s="6"/>
      <c r="XW371" s="6"/>
      <c r="XX371" s="6"/>
      <c r="XY371" s="6"/>
      <c r="XZ371" s="6"/>
      <c r="YA371" s="6"/>
      <c r="YB371" s="6"/>
      <c r="YC371" s="6"/>
      <c r="YD371" s="6"/>
      <c r="YE371" s="6"/>
      <c r="YF371" s="6"/>
      <c r="YG371" s="6"/>
      <c r="YH371" s="6"/>
      <c r="YI371" s="6"/>
      <c r="YJ371" s="6"/>
      <c r="YK371" s="6"/>
      <c r="YL371" s="6"/>
      <c r="YM371" s="6"/>
      <c r="YN371" s="6"/>
      <c r="YO371" s="6"/>
      <c r="YP371" s="6"/>
      <c r="YQ371" s="6"/>
      <c r="YR371" s="6"/>
      <c r="YS371" s="6"/>
      <c r="YT371" s="6"/>
      <c r="YU371" s="6"/>
      <c r="YV371" s="6"/>
      <c r="YW371" s="6"/>
      <c r="YX371" s="6"/>
      <c r="YY371" s="6"/>
      <c r="YZ371" s="6"/>
      <c r="ZA371" s="6"/>
      <c r="ZB371" s="6"/>
      <c r="ZC371" s="6"/>
      <c r="ZD371" s="6"/>
      <c r="ZE371" s="6"/>
      <c r="ZF371" s="6"/>
      <c r="ZG371" s="6"/>
      <c r="ZH371" s="6"/>
      <c r="ZI371" s="6"/>
      <c r="ZJ371" s="6"/>
      <c r="ZK371" s="6"/>
      <c r="ZL371" s="6"/>
      <c r="ZM371" s="6"/>
      <c r="ZN371" s="6"/>
      <c r="ZO371" s="6"/>
      <c r="ZP371" s="6"/>
      <c r="ZQ371" s="6"/>
      <c r="ZR371" s="6"/>
      <c r="ZS371" s="6"/>
      <c r="ZT371" s="6"/>
      <c r="ZU371" s="6"/>
      <c r="ZV371" s="6"/>
      <c r="ZW371" s="6"/>
      <c r="ZX371" s="6"/>
      <c r="ZY371" s="6"/>
      <c r="ZZ371" s="6"/>
      <c r="AAA371" s="6"/>
      <c r="AAB371" s="6"/>
      <c r="AAC371" s="6"/>
      <c r="AAD371" s="6"/>
      <c r="AAE371" s="6"/>
      <c r="AAF371" s="6"/>
      <c r="AAG371" s="6"/>
      <c r="AAH371" s="6"/>
      <c r="AAI371" s="6"/>
      <c r="AAJ371" s="6"/>
      <c r="AAK371" s="6"/>
      <c r="AAL371" s="6"/>
      <c r="AAM371" s="6"/>
      <c r="AAN371" s="6"/>
      <c r="AAO371" s="6"/>
      <c r="AAP371" s="6"/>
      <c r="AAQ371" s="6"/>
      <c r="AAR371" s="6"/>
      <c r="AAS371" s="6"/>
      <c r="AAT371" s="6"/>
      <c r="AAU371" s="6"/>
      <c r="AAV371" s="6"/>
      <c r="AAW371" s="6"/>
      <c r="AAX371" s="6"/>
      <c r="AAY371" s="6"/>
      <c r="AAZ371" s="6"/>
      <c r="ABA371" s="6"/>
      <c r="ABB371" s="6"/>
      <c r="ABC371" s="6"/>
      <c r="ABD371" s="6"/>
      <c r="ABE371" s="6"/>
      <c r="ABF371" s="6"/>
      <c r="ABG371" s="6"/>
      <c r="ABH371" s="6"/>
      <c r="ABI371" s="6"/>
      <c r="ABJ371" s="6"/>
      <c r="ABK371" s="6"/>
      <c r="ABL371" s="6"/>
      <c r="ABM371" s="6"/>
      <c r="ABN371" s="6"/>
      <c r="ABO371" s="6"/>
      <c r="ABP371" s="6"/>
      <c r="ABQ371" s="6"/>
      <c r="ABR371" s="6"/>
      <c r="ABS371" s="6"/>
      <c r="ABT371" s="6"/>
      <c r="ABU371" s="6"/>
      <c r="ABV371" s="6"/>
      <c r="ABW371" s="6"/>
      <c r="ABX371" s="6"/>
      <c r="ABY371" s="6"/>
      <c r="ABZ371" s="6"/>
      <c r="ACA371" s="6"/>
      <c r="ACB371" s="6"/>
      <c r="ACC371" s="6"/>
      <c r="ACD371" s="6"/>
      <c r="ACE371" s="6"/>
      <c r="ACF371" s="6"/>
      <c r="ACG371" s="6"/>
      <c r="ACH371" s="6"/>
      <c r="ACI371" s="6"/>
      <c r="ACJ371" s="6"/>
      <c r="ACK371" s="6"/>
      <c r="ACL371" s="6"/>
      <c r="ACM371" s="6"/>
      <c r="ACN371" s="6"/>
      <c r="ACO371" s="6"/>
      <c r="ACP371" s="6"/>
      <c r="ACQ371" s="6"/>
      <c r="ACR371" s="6"/>
      <c r="ACS371" s="6"/>
      <c r="ACT371" s="6"/>
      <c r="ACU371" s="6"/>
      <c r="ACV371" s="6"/>
      <c r="ACW371" s="6"/>
      <c r="ACX371" s="6"/>
      <c r="ACY371" s="6"/>
      <c r="ACZ371" s="6"/>
      <c r="ADA371" s="6"/>
      <c r="ADB371" s="6"/>
      <c r="ADC371" s="6"/>
      <c r="ADD371" s="6"/>
      <c r="ADE371" s="6"/>
      <c r="ADF371" s="6"/>
      <c r="ADG371" s="6"/>
      <c r="ADH371" s="6"/>
      <c r="ADI371" s="6"/>
      <c r="ADJ371" s="6"/>
      <c r="ADK371" s="6"/>
      <c r="ADL371" s="6"/>
      <c r="ADM371" s="6"/>
      <c r="ADN371" s="6"/>
      <c r="ADO371" s="6"/>
      <c r="ADP371" s="6"/>
      <c r="ADQ371" s="6"/>
      <c r="ADR371" s="6"/>
      <c r="ADS371" s="6"/>
      <c r="ADT371" s="6"/>
      <c r="ADU371" s="6"/>
      <c r="ADV371" s="6"/>
      <c r="ADW371" s="6"/>
      <c r="ADX371" s="6"/>
      <c r="ADY371" s="6"/>
      <c r="ADZ371" s="6"/>
      <c r="AEA371" s="6"/>
      <c r="AEB371" s="6"/>
      <c r="AEC371" s="6"/>
      <c r="AED371" s="6"/>
      <c r="AEE371" s="6"/>
      <c r="AEF371" s="6"/>
      <c r="AEG371" s="6"/>
      <c r="AEH371" s="6"/>
      <c r="AEI371" s="6"/>
      <c r="AEJ371" s="6"/>
      <c r="AEK371" s="6"/>
      <c r="AEL371" s="6"/>
      <c r="AEM371" s="6"/>
      <c r="AEN371" s="6"/>
      <c r="AEO371" s="6"/>
      <c r="AEP371" s="6"/>
      <c r="AEQ371" s="6"/>
      <c r="AER371" s="6"/>
      <c r="AES371" s="6"/>
      <c r="AET371" s="6"/>
      <c r="AEU371" s="6"/>
      <c r="AEV371" s="6"/>
      <c r="AEW371" s="6"/>
      <c r="AEX371" s="6"/>
      <c r="AEY371" s="6"/>
      <c r="AEZ371" s="6"/>
      <c r="AFA371" s="6"/>
      <c r="AFB371" s="6"/>
      <c r="AFC371" s="6"/>
      <c r="AFD371" s="6"/>
      <c r="AFE371" s="6"/>
      <c r="AFF371" s="6"/>
      <c r="AFG371" s="6"/>
      <c r="AFH371" s="6"/>
      <c r="AFI371" s="6"/>
      <c r="AFJ371" s="6"/>
      <c r="AFK371" s="6"/>
      <c r="AFL371" s="6"/>
      <c r="AFM371" s="6"/>
      <c r="AFN371" s="6"/>
      <c r="AFO371" s="6"/>
      <c r="AFP371" s="6"/>
      <c r="AFQ371" s="6"/>
      <c r="AFR371" s="6"/>
      <c r="AFS371" s="6"/>
      <c r="AFT371" s="6"/>
      <c r="AFU371" s="6"/>
      <c r="AFV371" s="6"/>
      <c r="AFW371" s="6"/>
      <c r="AFX371" s="6"/>
      <c r="AFY371" s="6"/>
      <c r="AFZ371" s="6"/>
      <c r="AGA371" s="6"/>
      <c r="AGB371" s="6"/>
      <c r="AGC371" s="6"/>
      <c r="AGD371" s="6"/>
      <c r="AGE371" s="6"/>
      <c r="AGF371" s="6"/>
      <c r="AGG371" s="6"/>
      <c r="AGH371" s="6"/>
      <c r="AGI371" s="6"/>
      <c r="AGJ371" s="6"/>
      <c r="AGK371" s="6"/>
      <c r="AGL371" s="6"/>
      <c r="AGM371" s="6"/>
      <c r="AGN371" s="6"/>
      <c r="AGO371" s="6"/>
      <c r="AGP371" s="6"/>
      <c r="AGQ371" s="6"/>
      <c r="AGR371" s="6"/>
      <c r="AGS371" s="6"/>
      <c r="AGT371" s="6"/>
      <c r="AGU371" s="6"/>
      <c r="AGV371" s="6"/>
      <c r="AGW371" s="6"/>
      <c r="AGX371" s="6"/>
      <c r="AGY371" s="6"/>
      <c r="AGZ371" s="6"/>
      <c r="AHA371" s="6"/>
      <c r="AHB371" s="6"/>
      <c r="AHC371" s="6"/>
      <c r="AHD371" s="6"/>
      <c r="AHE371" s="6"/>
      <c r="AHF371" s="6"/>
      <c r="AHG371" s="6"/>
      <c r="AHH371" s="6"/>
      <c r="AHI371" s="6"/>
      <c r="AHJ371" s="6"/>
      <c r="AHK371" s="6"/>
      <c r="AHL371" s="6"/>
      <c r="AHM371" s="6"/>
      <c r="AHN371" s="6"/>
      <c r="AHO371" s="6"/>
      <c r="AHP371" s="6"/>
      <c r="AHQ371" s="6"/>
      <c r="AHR371" s="6"/>
      <c r="AHS371" s="6"/>
      <c r="AHT371" s="6"/>
      <c r="AHU371" s="6"/>
      <c r="AHV371" s="6"/>
      <c r="AHW371" s="6"/>
      <c r="AHX371" s="6"/>
      <c r="AHY371" s="6"/>
      <c r="AHZ371" s="6"/>
      <c r="AIA371" s="6"/>
      <c r="AIB371" s="6"/>
      <c r="AIC371" s="6"/>
      <c r="AID371" s="6"/>
      <c r="AIE371" s="6"/>
      <c r="AIF371" s="6"/>
      <c r="AIG371" s="6"/>
      <c r="AIH371" s="6"/>
      <c r="AII371" s="6"/>
      <c r="AIJ371" s="6"/>
      <c r="AIK371" s="6"/>
      <c r="AIL371" s="6"/>
      <c r="AIM371" s="6"/>
      <c r="AIN371" s="6"/>
      <c r="AIO371" s="6"/>
      <c r="AIP371" s="6"/>
      <c r="AIQ371" s="6"/>
      <c r="AIR371" s="6"/>
      <c r="AIS371" s="6"/>
      <c r="AIT371" s="6"/>
      <c r="AIU371" s="6"/>
      <c r="AIV371" s="6"/>
      <c r="AIW371" s="6"/>
      <c r="AIX371" s="6"/>
      <c r="AIY371" s="6"/>
      <c r="AIZ371" s="6"/>
      <c r="AJA371" s="6"/>
      <c r="AJB371" s="6"/>
      <c r="AJC371" s="6"/>
      <c r="AJD371" s="6"/>
      <c r="AJE371" s="6"/>
      <c r="AJF371" s="6"/>
      <c r="AJG371" s="6"/>
      <c r="AJH371" s="6"/>
      <c r="AJI371" s="6"/>
      <c r="AJJ371" s="6"/>
      <c r="AJK371" s="6"/>
      <c r="AJL371" s="6"/>
      <c r="AJM371" s="6"/>
      <c r="AJN371" s="6"/>
      <c r="AJO371" s="6"/>
      <c r="AJP371" s="6"/>
      <c r="AJQ371" s="6"/>
      <c r="AJR371" s="6"/>
      <c r="AJS371" s="6"/>
      <c r="AJT371" s="6"/>
      <c r="AJU371" s="6"/>
      <c r="AJV371" s="6"/>
      <c r="AJW371" s="6"/>
      <c r="AJX371" s="6"/>
      <c r="AJY371" s="6"/>
      <c r="AJZ371" s="6"/>
      <c r="AKA371" s="6"/>
      <c r="AKB371" s="6"/>
      <c r="AKC371" s="6"/>
      <c r="AKD371" s="6"/>
      <c r="AKE371" s="6"/>
      <c r="AKF371" s="6"/>
      <c r="AKG371" s="6"/>
      <c r="AKH371" s="6"/>
      <c r="AKI371" s="6"/>
      <c r="AKJ371" s="6"/>
      <c r="AKK371" s="6"/>
      <c r="AKL371" s="6"/>
      <c r="AKM371" s="6"/>
      <c r="AKN371" s="6"/>
      <c r="AKO371" s="6"/>
      <c r="AKP371" s="6"/>
      <c r="AKQ371" s="6"/>
      <c r="AKR371" s="6"/>
      <c r="AKS371" s="6"/>
      <c r="AKT371" s="6"/>
      <c r="AKU371" s="6"/>
      <c r="AKV371" s="6"/>
      <c r="AKW371" s="6"/>
      <c r="AKX371" s="6"/>
      <c r="AKY371" s="6"/>
      <c r="AKZ371" s="6"/>
      <c r="ALA371" s="6"/>
      <c r="ALB371" s="6"/>
      <c r="ALC371" s="6"/>
      <c r="ALD371" s="6"/>
      <c r="ALE371" s="6"/>
      <c r="ALF371" s="6"/>
      <c r="ALG371" s="6"/>
      <c r="ALH371" s="6"/>
      <c r="ALI371" s="6"/>
      <c r="ALJ371" s="6"/>
      <c r="ALK371" s="6"/>
      <c r="ALL371" s="6"/>
      <c r="ALM371" s="6"/>
      <c r="ALN371" s="6"/>
      <c r="ALO371" s="6"/>
      <c r="ALP371" s="6"/>
      <c r="ALQ371" s="6"/>
      <c r="ALR371" s="6"/>
      <c r="ALS371" s="6"/>
      <c r="ALT371" s="6"/>
      <c r="ALU371" s="6"/>
      <c r="ALV371" s="6"/>
      <c r="ALW371" s="6"/>
      <c r="ALX371" s="6"/>
      <c r="ALY371" s="6"/>
      <c r="ALZ371" s="6"/>
      <c r="AMA371" s="6"/>
      <c r="AMB371" s="6"/>
      <c r="AMC371" s="6"/>
      <c r="AMD371" s="6"/>
      <c r="AME371" s="6"/>
      <c r="AMF371" s="6"/>
      <c r="AMG371" s="6"/>
      <c r="AMH371" s="6"/>
      <c r="AMI371" s="6"/>
      <c r="AMJ371" s="6"/>
      <c r="AMK371" s="6"/>
      <c r="AML371" s="6"/>
      <c r="AMM371" s="6"/>
      <c r="AMN371" s="6"/>
      <c r="AMO371" s="6"/>
      <c r="AMP371" s="6"/>
    </row>
    <row r="372" spans="1:1030" x14ac:dyDescent="0.2">
      <c r="A372" s="3" t="str">
        <f t="shared" si="2739"/>
        <v>calrl_human_6E3Y</v>
      </c>
      <c r="B372" s="2" t="s">
        <v>402</v>
      </c>
      <c r="C372" s="3" t="s">
        <v>1516</v>
      </c>
      <c r="D372" s="3" t="str">
        <f>IFERROR(MID(VLOOKUP($B372,Seqs!$A:$B,2,0),E372,1),"")</f>
        <v>N</v>
      </c>
      <c r="E372" s="3">
        <v>130</v>
      </c>
      <c r="F372" s="3" t="str">
        <f>IFERROR(MID(VLOOKUP($B372,Seqs!$A:$B,2,0),G372,1),"")</f>
        <v>F</v>
      </c>
      <c r="G372" s="3">
        <v>166</v>
      </c>
      <c r="H372" s="3" t="str">
        <f>IFERROR(MID(VLOOKUP($B372,Seqs!$A:$B,2,0),I372,1),"")</f>
        <v/>
      </c>
      <c r="I372" s="23" t="s">
        <v>23</v>
      </c>
      <c r="J372" s="3" t="str">
        <f>IFERROR(MID(VLOOKUP($B372,Seqs!$A:$B,2,0),K372,1),"")</f>
        <v/>
      </c>
      <c r="K372" s="23" t="s">
        <v>23</v>
      </c>
      <c r="L372" s="3" t="str">
        <f>IFERROR(MID(VLOOKUP($B372,Seqs!$A:$B,2,0),M372,1),"")</f>
        <v>C</v>
      </c>
      <c r="M372" s="3">
        <v>171</v>
      </c>
      <c r="N372" s="3" t="str">
        <f>IFERROR(MID(VLOOKUP($B372,Seqs!$A:$B,2,0),O372,1),"")</f>
        <v>V</v>
      </c>
      <c r="O372" s="3">
        <v>198</v>
      </c>
      <c r="P372" s="3" t="str">
        <f>IFERROR(MID(VLOOKUP($B372,Seqs!$A:$B,2,0),Q372,1),"")</f>
        <v/>
      </c>
      <c r="Q372" s="3" t="s">
        <v>23</v>
      </c>
      <c r="R372" s="3" t="str">
        <f>IFERROR(MID(VLOOKUP($B372,Seqs!$A:$B,2,0),S372,1),"")</f>
        <v/>
      </c>
      <c r="S372" s="3" t="s">
        <v>23</v>
      </c>
      <c r="T372" s="3" t="str">
        <f>IFERROR(MID(VLOOKUP($B372,Seqs!$A:$B,2,0),U372,1),"")</f>
        <v>V</v>
      </c>
      <c r="U372" s="3">
        <v>210</v>
      </c>
      <c r="V372" s="3" t="str">
        <f>IFERROR(MID(VLOOKUP($B372,Seqs!$A:$B,2,0),W372,1),"")</f>
        <v>V</v>
      </c>
      <c r="W372" s="3">
        <v>242</v>
      </c>
      <c r="X372" s="3" t="str">
        <f>IFERROR(MID(VLOOKUP($B372,Seqs!$A:$B,2,0),Y372,1),"")</f>
        <v/>
      </c>
      <c r="Y372" s="3" t="s">
        <v>23</v>
      </c>
      <c r="Z372" s="3" t="str">
        <f>IFERROR(MID(VLOOKUP($B372,Seqs!$A:$B,2,0),AA372,1),"")</f>
        <v/>
      </c>
      <c r="AA372" s="3" t="s">
        <v>23</v>
      </c>
      <c r="AB372" s="3" t="str">
        <f>IFERROR(MID(VLOOKUP($B372,Seqs!$A:$B,2,0),AC372,1),"")</f>
        <v>M</v>
      </c>
      <c r="AC372" s="3">
        <v>253</v>
      </c>
      <c r="AD372" s="3" t="str">
        <f>IFERROR(MID(VLOOKUP($B372,Seqs!$A:$B,2,0),AE372,1),"")</f>
        <v>Y</v>
      </c>
      <c r="AE372" s="3">
        <v>277</v>
      </c>
      <c r="AF372" s="3" t="str">
        <f>IFERROR(MID(VLOOKUP($B372,Seqs!$A:$B,2,0),AG372,1),"")</f>
        <v>C</v>
      </c>
      <c r="AG372" s="3">
        <v>282</v>
      </c>
      <c r="AH372" s="3" t="str">
        <f>IFERROR(MID(VLOOKUP($B372,Seqs!$A:$B,2,0),AI372,1),"")</f>
        <v>I</v>
      </c>
      <c r="AI372" s="3">
        <v>284</v>
      </c>
      <c r="AJ372" s="3" t="str">
        <f>IFERROR(MID(VLOOKUP($B372,Seqs!$A:$B,2,0),AK372,1),"")</f>
        <v>L</v>
      </c>
      <c r="AK372" s="3">
        <v>290</v>
      </c>
      <c r="AL372" s="3" t="str">
        <f>IFERROR(MID(VLOOKUP($B372,Seqs!$A:$B,2,0),AM372,1),"")</f>
        <v>K</v>
      </c>
      <c r="AM372" s="3">
        <v>321</v>
      </c>
      <c r="AN372" s="3" t="str">
        <f>IFERROR(MID(VLOOKUP($B372,Seqs!$A:$B,2,0),AO372,1),"")</f>
        <v>N</v>
      </c>
      <c r="AO372" s="3">
        <v>329</v>
      </c>
      <c r="AP372" s="3" t="str">
        <f>IFERROR(MID(VLOOKUP($B372,Seqs!$A:$B,2,0),AQ372,1),"")</f>
        <v>V</v>
      </c>
      <c r="AQ372" s="3">
        <v>350</v>
      </c>
      <c r="AR372" s="3" t="str">
        <f>IFERROR(MID(VLOOKUP($B372,Seqs!$A:$B,2,0),AS372,1),"")</f>
        <v>V</v>
      </c>
      <c r="AS372" s="3">
        <v>364</v>
      </c>
      <c r="AT372" s="3" t="str">
        <f>IFERROR(MID(VLOOKUP($B372,Seqs!$A:$B,2,0),AU372,1),"")</f>
        <v>F</v>
      </c>
      <c r="AU372" s="3">
        <v>387</v>
      </c>
      <c r="AV372" s="3" t="str">
        <f>IFERROR(MID(VLOOKUP($B372,Seqs!$A:$B,2,0),AW372,1),"")</f>
        <v>N</v>
      </c>
      <c r="AW372" s="3">
        <v>388</v>
      </c>
      <c r="AX372" s="3" t="str">
        <f>IFERROR(MID(VLOOKUP($B372,Seqs!$A:$B,2,0),AY372,1),"")</f>
        <v>W</v>
      </c>
      <c r="AY372" s="3">
        <v>399</v>
      </c>
      <c r="AZ372" s="77" t="str">
        <f>VLOOKUP(B372,Classification!A:D,2,0)</f>
        <v>B1</v>
      </c>
      <c r="BA372" s="94" t="str">
        <f>VLOOKUP(B372,Classification!A:D,4,0)</f>
        <v>Calcitonin</v>
      </c>
      <c r="BB372" s="27" t="b">
        <f t="shared" ref="BB372" si="2851">AND(E372&lt;G372,OR(G372&lt;I372,I372="-"),OR(I372&lt;K372,I372="-"),OR(K372&lt;M372,K372="-"),M372&lt;O372,OR(O372&lt;Q372,Q372="-"),OR(Q372&lt;S372,Q372="-"),OR(S372&lt;U372,S372="-"),U372&lt;W372,OR(W372&lt;Y372,Y372="-"),OR(Y372&lt;AA372,Y372="-"),OR(AA372&lt;AC372,AA372="-"),AC372&lt;AE372,OR(AE372&lt;AG372,AG372="-"),OR(AG372&lt;AI372,AG372="-"),OR(AI372&lt;AK372,AI372="-"),AK372&lt;AM372,AM372&lt;AO372,AO372&lt;AQ372,AQ372&lt;AS372,AS372&lt;AU372,OR(AU372&lt;AW372,AW372="-"),OR(AW372&lt;AY372,AW372="-"))</f>
        <v>1</v>
      </c>
      <c r="BC372" s="23">
        <f t="shared" ref="BC372" si="2852">_xlfn.AGGREGATE(9,6,CH372:CS372)-_xlfn.AGGREGATE(9,6,BV372:CG372)+12</f>
        <v>219</v>
      </c>
      <c r="BD372" s="4" t="s">
        <v>1375</v>
      </c>
      <c r="BE372" s="3" t="s">
        <v>1291</v>
      </c>
      <c r="BF372" s="118">
        <v>3.3</v>
      </c>
      <c r="BG372" s="49" t="s">
        <v>1422</v>
      </c>
      <c r="BH372" s="49" t="s">
        <v>1422</v>
      </c>
      <c r="BI372" s="1"/>
      <c r="BJ372" s="70" t="s">
        <v>1287</v>
      </c>
      <c r="BK372" s="57" t="s">
        <v>1287</v>
      </c>
      <c r="BL372" s="57" t="s">
        <v>1287</v>
      </c>
      <c r="BM372" s="57" t="s">
        <v>1287</v>
      </c>
      <c r="BN372" s="57" t="s">
        <v>1287</v>
      </c>
      <c r="BO372" s="57" t="s">
        <v>1287</v>
      </c>
      <c r="BP372" s="57" t="s">
        <v>1287</v>
      </c>
      <c r="BQ372" s="57" t="s">
        <v>1287</v>
      </c>
      <c r="BR372" s="57" t="s">
        <v>1287</v>
      </c>
      <c r="BS372" s="57" t="s">
        <v>1287</v>
      </c>
      <c r="BT372" s="57" t="s">
        <v>1287</v>
      </c>
      <c r="BU372" s="57" t="s">
        <v>1287</v>
      </c>
      <c r="BV372" s="70">
        <f t="shared" ref="BV372" si="2853">E372</f>
        <v>130</v>
      </c>
      <c r="BW372" s="71" t="str">
        <f t="shared" ref="BW372" si="2854">I372</f>
        <v>-</v>
      </c>
      <c r="BX372" s="72">
        <f t="shared" ref="BX372" si="2855">M372</f>
        <v>171</v>
      </c>
      <c r="BY372" s="71" t="str">
        <f t="shared" ref="BY372" si="2856">Q372</f>
        <v>-</v>
      </c>
      <c r="BZ372" s="72">
        <f t="shared" ref="BZ372" si="2857">U372</f>
        <v>210</v>
      </c>
      <c r="CA372" s="71" t="str">
        <f t="shared" ref="CA372" si="2858">Y372</f>
        <v>-</v>
      </c>
      <c r="CB372" s="72">
        <f t="shared" ref="CB372" si="2859">AC372</f>
        <v>253</v>
      </c>
      <c r="CC372" s="71">
        <f t="shared" ref="CC372" si="2860">AG372</f>
        <v>282</v>
      </c>
      <c r="CD372" s="72">
        <f t="shared" ref="CD372" si="2861">AK372</f>
        <v>290</v>
      </c>
      <c r="CE372" s="71">
        <f t="shared" ref="CE372" si="2862">AO372</f>
        <v>329</v>
      </c>
      <c r="CF372" s="72">
        <f t="shared" ref="CF372" si="2863">AS372</f>
        <v>364</v>
      </c>
      <c r="CG372" s="71">
        <f t="shared" ref="CG372" si="2864">AW372</f>
        <v>388</v>
      </c>
      <c r="CH372" s="70">
        <f t="shared" ref="CH372" si="2865">G372</f>
        <v>166</v>
      </c>
      <c r="CI372" s="71" t="str">
        <f t="shared" ref="CI372" si="2866">K372</f>
        <v>-</v>
      </c>
      <c r="CJ372" s="72">
        <f t="shared" ref="CJ372" si="2867">O372</f>
        <v>198</v>
      </c>
      <c r="CK372" s="72" t="str">
        <f t="shared" ref="CK372" si="2868">S372</f>
        <v>-</v>
      </c>
      <c r="CL372" s="72">
        <f t="shared" ref="CL372" si="2869">W372</f>
        <v>242</v>
      </c>
      <c r="CM372" s="72" t="str">
        <f t="shared" ref="CM372" si="2870">AA372</f>
        <v>-</v>
      </c>
      <c r="CN372" s="72">
        <f t="shared" ref="CN372" si="2871">AE372</f>
        <v>277</v>
      </c>
      <c r="CO372" s="72">
        <f t="shared" ref="CO372" si="2872">AI372</f>
        <v>284</v>
      </c>
      <c r="CP372" s="72">
        <f t="shared" ref="CP372" si="2873">AM372</f>
        <v>321</v>
      </c>
      <c r="CQ372" s="72">
        <f t="shared" ref="CQ372" si="2874">AQ372</f>
        <v>350</v>
      </c>
      <c r="CR372" s="72">
        <f t="shared" ref="CR372" si="2875">AU372</f>
        <v>387</v>
      </c>
      <c r="CS372" s="72">
        <f t="shared" ref="CS372" si="2876">AY372</f>
        <v>399</v>
      </c>
      <c r="CT372" s="23" t="e">
        <f t="shared" ref="CT372" si="2877">M372-K372</f>
        <v>#VALUE!</v>
      </c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  <c r="SC372" s="6"/>
      <c r="SD372" s="6"/>
      <c r="SE372" s="6"/>
      <c r="SF372" s="6"/>
      <c r="SG372" s="6"/>
      <c r="SH372" s="6"/>
      <c r="SI372" s="6"/>
      <c r="SJ372" s="6"/>
      <c r="SK372" s="6"/>
      <c r="SL372" s="6"/>
      <c r="SM372" s="6"/>
      <c r="SN372" s="6"/>
      <c r="SO372" s="6"/>
      <c r="SP372" s="6"/>
      <c r="SQ372" s="6"/>
      <c r="SR372" s="6"/>
      <c r="SS372" s="6"/>
      <c r="ST372" s="6"/>
      <c r="SU372" s="6"/>
      <c r="SV372" s="6"/>
      <c r="SW372" s="6"/>
      <c r="SX372" s="6"/>
      <c r="SY372" s="6"/>
      <c r="SZ372" s="6"/>
      <c r="TA372" s="6"/>
      <c r="TB372" s="6"/>
      <c r="TC372" s="6"/>
      <c r="TD372" s="6"/>
      <c r="TE372" s="6"/>
      <c r="TF372" s="6"/>
      <c r="TG372" s="6"/>
      <c r="TH372" s="6"/>
      <c r="TI372" s="6"/>
      <c r="TJ372" s="6"/>
      <c r="TK372" s="6"/>
      <c r="TL372" s="6"/>
      <c r="TM372" s="6"/>
      <c r="TN372" s="6"/>
      <c r="TO372" s="6"/>
      <c r="TP372" s="6"/>
      <c r="TQ372" s="6"/>
      <c r="TR372" s="6"/>
      <c r="TS372" s="6"/>
      <c r="TT372" s="6"/>
      <c r="TU372" s="6"/>
      <c r="TV372" s="6"/>
      <c r="TW372" s="6"/>
      <c r="TX372" s="6"/>
      <c r="TY372" s="6"/>
      <c r="TZ372" s="6"/>
      <c r="UA372" s="6"/>
      <c r="UB372" s="6"/>
      <c r="UC372" s="6"/>
      <c r="UD372" s="6"/>
      <c r="UE372" s="6"/>
      <c r="UF372" s="6"/>
      <c r="UG372" s="6"/>
      <c r="UH372" s="6"/>
      <c r="UI372" s="6"/>
      <c r="UJ372" s="6"/>
      <c r="UK372" s="6"/>
      <c r="UL372" s="6"/>
      <c r="UM372" s="6"/>
      <c r="UN372" s="6"/>
      <c r="UO372" s="6"/>
      <c r="UP372" s="6"/>
      <c r="UQ372" s="6"/>
      <c r="UR372" s="6"/>
      <c r="US372" s="6"/>
      <c r="UT372" s="6"/>
      <c r="UU372" s="6"/>
      <c r="UV372" s="6"/>
      <c r="UW372" s="6"/>
      <c r="UX372" s="6"/>
      <c r="UY372" s="6"/>
      <c r="UZ372" s="6"/>
      <c r="VA372" s="6"/>
      <c r="VB372" s="6"/>
      <c r="VC372" s="6"/>
      <c r="VD372" s="6"/>
      <c r="VE372" s="6"/>
      <c r="VF372" s="6"/>
      <c r="VG372" s="6"/>
      <c r="VH372" s="6"/>
      <c r="VI372" s="6"/>
      <c r="VJ372" s="6"/>
      <c r="VK372" s="6"/>
      <c r="VL372" s="6"/>
      <c r="VM372" s="6"/>
      <c r="VN372" s="6"/>
      <c r="VO372" s="6"/>
      <c r="VP372" s="6"/>
      <c r="VQ372" s="6"/>
      <c r="VR372" s="6"/>
      <c r="VS372" s="6"/>
      <c r="VT372" s="6"/>
      <c r="VU372" s="6"/>
      <c r="VV372" s="6"/>
      <c r="VW372" s="6"/>
      <c r="VX372" s="6"/>
      <c r="VY372" s="6"/>
      <c r="VZ372" s="6"/>
      <c r="WA372" s="6"/>
      <c r="WB372" s="6"/>
      <c r="WC372" s="6"/>
      <c r="WD372" s="6"/>
      <c r="WE372" s="6"/>
      <c r="WF372" s="6"/>
      <c r="WG372" s="6"/>
      <c r="WH372" s="6"/>
      <c r="WI372" s="6"/>
      <c r="WJ372" s="6"/>
      <c r="WK372" s="6"/>
      <c r="WL372" s="6"/>
      <c r="WM372" s="6"/>
      <c r="WN372" s="6"/>
      <c r="WO372" s="6"/>
      <c r="WP372" s="6"/>
      <c r="WQ372" s="6"/>
      <c r="WR372" s="6"/>
      <c r="WS372" s="6"/>
      <c r="WT372" s="6"/>
      <c r="WU372" s="6"/>
      <c r="WV372" s="6"/>
      <c r="WW372" s="6"/>
      <c r="WX372" s="6"/>
      <c r="WY372" s="6"/>
      <c r="WZ372" s="6"/>
      <c r="XA372" s="6"/>
      <c r="XB372" s="6"/>
      <c r="XC372" s="6"/>
      <c r="XD372" s="6"/>
      <c r="XE372" s="6"/>
      <c r="XF372" s="6"/>
      <c r="XG372" s="6"/>
      <c r="XH372" s="6"/>
      <c r="XI372" s="6"/>
      <c r="XJ372" s="6"/>
      <c r="XK372" s="6"/>
      <c r="XL372" s="6"/>
      <c r="XM372" s="6"/>
      <c r="XN372" s="6"/>
      <c r="XO372" s="6"/>
      <c r="XP372" s="6"/>
      <c r="XQ372" s="6"/>
      <c r="XR372" s="6"/>
      <c r="XS372" s="6"/>
      <c r="XT372" s="6"/>
      <c r="XU372" s="6"/>
      <c r="XV372" s="6"/>
      <c r="XW372" s="6"/>
      <c r="XX372" s="6"/>
      <c r="XY372" s="6"/>
      <c r="XZ372" s="6"/>
      <c r="YA372" s="6"/>
      <c r="YB372" s="6"/>
      <c r="YC372" s="6"/>
      <c r="YD372" s="6"/>
      <c r="YE372" s="6"/>
      <c r="YF372" s="6"/>
      <c r="YG372" s="6"/>
      <c r="YH372" s="6"/>
      <c r="YI372" s="6"/>
      <c r="YJ372" s="6"/>
      <c r="YK372" s="6"/>
      <c r="YL372" s="6"/>
      <c r="YM372" s="6"/>
      <c r="YN372" s="6"/>
      <c r="YO372" s="6"/>
      <c r="YP372" s="6"/>
      <c r="YQ372" s="6"/>
      <c r="YR372" s="6"/>
      <c r="YS372" s="6"/>
      <c r="YT372" s="6"/>
      <c r="YU372" s="6"/>
      <c r="YV372" s="6"/>
      <c r="YW372" s="6"/>
      <c r="YX372" s="6"/>
      <c r="YY372" s="6"/>
      <c r="YZ372" s="6"/>
      <c r="ZA372" s="6"/>
      <c r="ZB372" s="6"/>
      <c r="ZC372" s="6"/>
      <c r="ZD372" s="6"/>
      <c r="ZE372" s="6"/>
      <c r="ZF372" s="6"/>
      <c r="ZG372" s="6"/>
      <c r="ZH372" s="6"/>
      <c r="ZI372" s="6"/>
      <c r="ZJ372" s="6"/>
      <c r="ZK372" s="6"/>
      <c r="ZL372" s="6"/>
      <c r="ZM372" s="6"/>
      <c r="ZN372" s="6"/>
      <c r="ZO372" s="6"/>
      <c r="ZP372" s="6"/>
      <c r="ZQ372" s="6"/>
      <c r="ZR372" s="6"/>
      <c r="ZS372" s="6"/>
      <c r="ZT372" s="6"/>
      <c r="ZU372" s="6"/>
      <c r="ZV372" s="6"/>
      <c r="ZW372" s="6"/>
      <c r="ZX372" s="6"/>
      <c r="ZY372" s="6"/>
      <c r="ZZ372" s="6"/>
      <c r="AAA372" s="6"/>
      <c r="AAB372" s="6"/>
      <c r="AAC372" s="6"/>
      <c r="AAD372" s="6"/>
      <c r="AAE372" s="6"/>
      <c r="AAF372" s="6"/>
      <c r="AAG372" s="6"/>
      <c r="AAH372" s="6"/>
      <c r="AAI372" s="6"/>
      <c r="AAJ372" s="6"/>
      <c r="AAK372" s="6"/>
      <c r="AAL372" s="6"/>
      <c r="AAM372" s="6"/>
      <c r="AAN372" s="6"/>
      <c r="AAO372" s="6"/>
      <c r="AAP372" s="6"/>
      <c r="AAQ372" s="6"/>
      <c r="AAR372" s="6"/>
      <c r="AAS372" s="6"/>
      <c r="AAT372" s="6"/>
      <c r="AAU372" s="6"/>
      <c r="AAV372" s="6"/>
      <c r="AAW372" s="6"/>
      <c r="AAX372" s="6"/>
      <c r="AAY372" s="6"/>
      <c r="AAZ372" s="6"/>
      <c r="ABA372" s="6"/>
      <c r="ABB372" s="6"/>
      <c r="ABC372" s="6"/>
      <c r="ABD372" s="6"/>
      <c r="ABE372" s="6"/>
      <c r="ABF372" s="6"/>
      <c r="ABG372" s="6"/>
      <c r="ABH372" s="6"/>
      <c r="ABI372" s="6"/>
      <c r="ABJ372" s="6"/>
      <c r="ABK372" s="6"/>
      <c r="ABL372" s="6"/>
      <c r="ABM372" s="6"/>
      <c r="ABN372" s="6"/>
      <c r="ABO372" s="6"/>
      <c r="ABP372" s="6"/>
      <c r="ABQ372" s="6"/>
      <c r="ABR372" s="6"/>
      <c r="ABS372" s="6"/>
      <c r="ABT372" s="6"/>
      <c r="ABU372" s="6"/>
      <c r="ABV372" s="6"/>
      <c r="ABW372" s="6"/>
      <c r="ABX372" s="6"/>
      <c r="ABY372" s="6"/>
      <c r="ABZ372" s="6"/>
      <c r="ACA372" s="6"/>
      <c r="ACB372" s="6"/>
      <c r="ACC372" s="6"/>
      <c r="ACD372" s="6"/>
      <c r="ACE372" s="6"/>
      <c r="ACF372" s="6"/>
      <c r="ACG372" s="6"/>
      <c r="ACH372" s="6"/>
      <c r="ACI372" s="6"/>
      <c r="ACJ372" s="6"/>
      <c r="ACK372" s="6"/>
      <c r="ACL372" s="6"/>
      <c r="ACM372" s="6"/>
      <c r="ACN372" s="6"/>
      <c r="ACO372" s="6"/>
      <c r="ACP372" s="6"/>
      <c r="ACQ372" s="6"/>
      <c r="ACR372" s="6"/>
      <c r="ACS372" s="6"/>
      <c r="ACT372" s="6"/>
      <c r="ACU372" s="6"/>
      <c r="ACV372" s="6"/>
      <c r="ACW372" s="6"/>
      <c r="ACX372" s="6"/>
      <c r="ACY372" s="6"/>
      <c r="ACZ372" s="6"/>
      <c r="ADA372" s="6"/>
      <c r="ADB372" s="6"/>
      <c r="ADC372" s="6"/>
      <c r="ADD372" s="6"/>
      <c r="ADE372" s="6"/>
      <c r="ADF372" s="6"/>
      <c r="ADG372" s="6"/>
      <c r="ADH372" s="6"/>
      <c r="ADI372" s="6"/>
      <c r="ADJ372" s="6"/>
      <c r="ADK372" s="6"/>
      <c r="ADL372" s="6"/>
      <c r="ADM372" s="6"/>
      <c r="ADN372" s="6"/>
      <c r="ADO372" s="6"/>
      <c r="ADP372" s="6"/>
      <c r="ADQ372" s="6"/>
      <c r="ADR372" s="6"/>
      <c r="ADS372" s="6"/>
      <c r="ADT372" s="6"/>
      <c r="ADU372" s="6"/>
      <c r="ADV372" s="6"/>
      <c r="ADW372" s="6"/>
      <c r="ADX372" s="6"/>
      <c r="ADY372" s="6"/>
      <c r="ADZ372" s="6"/>
      <c r="AEA372" s="6"/>
      <c r="AEB372" s="6"/>
      <c r="AEC372" s="6"/>
      <c r="AED372" s="6"/>
      <c r="AEE372" s="6"/>
      <c r="AEF372" s="6"/>
      <c r="AEG372" s="6"/>
      <c r="AEH372" s="6"/>
      <c r="AEI372" s="6"/>
      <c r="AEJ372" s="6"/>
      <c r="AEK372" s="6"/>
      <c r="AEL372" s="6"/>
      <c r="AEM372" s="6"/>
      <c r="AEN372" s="6"/>
      <c r="AEO372" s="6"/>
      <c r="AEP372" s="6"/>
      <c r="AEQ372" s="6"/>
      <c r="AER372" s="6"/>
      <c r="AES372" s="6"/>
      <c r="AET372" s="6"/>
      <c r="AEU372" s="6"/>
      <c r="AEV372" s="6"/>
      <c r="AEW372" s="6"/>
      <c r="AEX372" s="6"/>
      <c r="AEY372" s="6"/>
      <c r="AEZ372" s="6"/>
      <c r="AFA372" s="6"/>
      <c r="AFB372" s="6"/>
      <c r="AFC372" s="6"/>
      <c r="AFD372" s="6"/>
      <c r="AFE372" s="6"/>
      <c r="AFF372" s="6"/>
      <c r="AFG372" s="6"/>
      <c r="AFH372" s="6"/>
      <c r="AFI372" s="6"/>
      <c r="AFJ372" s="6"/>
      <c r="AFK372" s="6"/>
      <c r="AFL372" s="6"/>
      <c r="AFM372" s="6"/>
      <c r="AFN372" s="6"/>
      <c r="AFO372" s="6"/>
      <c r="AFP372" s="6"/>
      <c r="AFQ372" s="6"/>
      <c r="AFR372" s="6"/>
      <c r="AFS372" s="6"/>
      <c r="AFT372" s="6"/>
      <c r="AFU372" s="6"/>
      <c r="AFV372" s="6"/>
      <c r="AFW372" s="6"/>
      <c r="AFX372" s="6"/>
      <c r="AFY372" s="6"/>
      <c r="AFZ372" s="6"/>
      <c r="AGA372" s="6"/>
      <c r="AGB372" s="6"/>
      <c r="AGC372" s="6"/>
      <c r="AGD372" s="6"/>
      <c r="AGE372" s="6"/>
      <c r="AGF372" s="6"/>
      <c r="AGG372" s="6"/>
      <c r="AGH372" s="6"/>
      <c r="AGI372" s="6"/>
      <c r="AGJ372" s="6"/>
      <c r="AGK372" s="6"/>
      <c r="AGL372" s="6"/>
      <c r="AGM372" s="6"/>
      <c r="AGN372" s="6"/>
      <c r="AGO372" s="6"/>
      <c r="AGP372" s="6"/>
      <c r="AGQ372" s="6"/>
      <c r="AGR372" s="6"/>
      <c r="AGS372" s="6"/>
      <c r="AGT372" s="6"/>
      <c r="AGU372" s="6"/>
      <c r="AGV372" s="6"/>
      <c r="AGW372" s="6"/>
      <c r="AGX372" s="6"/>
      <c r="AGY372" s="6"/>
      <c r="AGZ372" s="6"/>
      <c r="AHA372" s="6"/>
      <c r="AHB372" s="6"/>
      <c r="AHC372" s="6"/>
      <c r="AHD372" s="6"/>
      <c r="AHE372" s="6"/>
      <c r="AHF372" s="6"/>
      <c r="AHG372" s="6"/>
      <c r="AHH372" s="6"/>
      <c r="AHI372" s="6"/>
      <c r="AHJ372" s="6"/>
      <c r="AHK372" s="6"/>
      <c r="AHL372" s="6"/>
      <c r="AHM372" s="6"/>
      <c r="AHN372" s="6"/>
      <c r="AHO372" s="6"/>
      <c r="AHP372" s="6"/>
      <c r="AHQ372" s="6"/>
      <c r="AHR372" s="6"/>
      <c r="AHS372" s="6"/>
      <c r="AHT372" s="6"/>
      <c r="AHU372" s="6"/>
      <c r="AHV372" s="6"/>
      <c r="AHW372" s="6"/>
      <c r="AHX372" s="6"/>
      <c r="AHY372" s="6"/>
      <c r="AHZ372" s="6"/>
      <c r="AIA372" s="6"/>
      <c r="AIB372" s="6"/>
      <c r="AIC372" s="6"/>
      <c r="AID372" s="6"/>
      <c r="AIE372" s="6"/>
      <c r="AIF372" s="6"/>
      <c r="AIG372" s="6"/>
      <c r="AIH372" s="6"/>
      <c r="AII372" s="6"/>
      <c r="AIJ372" s="6"/>
      <c r="AIK372" s="6"/>
      <c r="AIL372" s="6"/>
      <c r="AIM372" s="6"/>
      <c r="AIN372" s="6"/>
      <c r="AIO372" s="6"/>
      <c r="AIP372" s="6"/>
      <c r="AIQ372" s="6"/>
      <c r="AIR372" s="6"/>
      <c r="AIS372" s="6"/>
      <c r="AIT372" s="6"/>
      <c r="AIU372" s="6"/>
      <c r="AIV372" s="6"/>
      <c r="AIW372" s="6"/>
      <c r="AIX372" s="6"/>
      <c r="AIY372" s="6"/>
      <c r="AIZ372" s="6"/>
      <c r="AJA372" s="6"/>
      <c r="AJB372" s="6"/>
      <c r="AJC372" s="6"/>
      <c r="AJD372" s="6"/>
      <c r="AJE372" s="6"/>
      <c r="AJF372" s="6"/>
      <c r="AJG372" s="6"/>
      <c r="AJH372" s="6"/>
      <c r="AJI372" s="6"/>
      <c r="AJJ372" s="6"/>
      <c r="AJK372" s="6"/>
      <c r="AJL372" s="6"/>
      <c r="AJM372" s="6"/>
      <c r="AJN372" s="6"/>
      <c r="AJO372" s="6"/>
      <c r="AJP372" s="6"/>
      <c r="AJQ372" s="6"/>
      <c r="AJR372" s="6"/>
      <c r="AJS372" s="6"/>
      <c r="AJT372" s="6"/>
      <c r="AJU372" s="6"/>
      <c r="AJV372" s="6"/>
      <c r="AJW372" s="6"/>
      <c r="AJX372" s="6"/>
      <c r="AJY372" s="6"/>
      <c r="AJZ372" s="6"/>
      <c r="AKA372" s="6"/>
      <c r="AKB372" s="6"/>
      <c r="AKC372" s="6"/>
      <c r="AKD372" s="6"/>
      <c r="AKE372" s="6"/>
      <c r="AKF372" s="6"/>
      <c r="AKG372" s="6"/>
      <c r="AKH372" s="6"/>
      <c r="AKI372" s="6"/>
      <c r="AKJ372" s="6"/>
      <c r="AKK372" s="6"/>
      <c r="AKL372" s="6"/>
      <c r="AKM372" s="6"/>
      <c r="AKN372" s="6"/>
      <c r="AKO372" s="6"/>
      <c r="AKP372" s="6"/>
      <c r="AKQ372" s="6"/>
      <c r="AKR372" s="6"/>
      <c r="AKS372" s="6"/>
      <c r="AKT372" s="6"/>
      <c r="AKU372" s="6"/>
      <c r="AKV372" s="6"/>
      <c r="AKW372" s="6"/>
      <c r="AKX372" s="6"/>
      <c r="AKY372" s="6"/>
      <c r="AKZ372" s="6"/>
      <c r="ALA372" s="6"/>
      <c r="ALB372" s="6"/>
      <c r="ALC372" s="6"/>
      <c r="ALD372" s="6"/>
      <c r="ALE372" s="6"/>
      <c r="ALF372" s="6"/>
      <c r="ALG372" s="6"/>
      <c r="ALH372" s="6"/>
      <c r="ALI372" s="6"/>
      <c r="ALJ372" s="6"/>
      <c r="ALK372" s="6"/>
      <c r="ALL372" s="6"/>
      <c r="ALM372" s="6"/>
      <c r="ALN372" s="6"/>
      <c r="ALO372" s="6"/>
      <c r="ALP372" s="6"/>
      <c r="ALQ372" s="6"/>
      <c r="ALR372" s="6"/>
      <c r="ALS372" s="6"/>
      <c r="ALT372" s="6"/>
      <c r="ALU372" s="6"/>
      <c r="ALV372" s="6"/>
      <c r="ALW372" s="6"/>
      <c r="ALX372" s="6"/>
      <c r="ALY372" s="6"/>
      <c r="ALZ372" s="6"/>
      <c r="AMA372" s="6"/>
      <c r="AMB372" s="6"/>
      <c r="AMC372" s="6"/>
      <c r="AMD372" s="6"/>
      <c r="AME372" s="6"/>
      <c r="AMF372" s="6"/>
      <c r="AMG372" s="6"/>
      <c r="AMH372" s="6"/>
      <c r="AMI372" s="6"/>
      <c r="AMJ372" s="6"/>
      <c r="AMK372" s="6"/>
      <c r="AML372" s="6"/>
      <c r="AMM372" s="6"/>
      <c r="AMN372" s="6"/>
      <c r="AMO372" s="6"/>
      <c r="AMP372" s="6"/>
    </row>
    <row r="373" spans="1:1030" x14ac:dyDescent="0.2">
      <c r="A373" s="3" t="str">
        <f t="shared" si="1982"/>
        <v>crfr1_human__wt</v>
      </c>
      <c r="B373" s="3" t="s">
        <v>38</v>
      </c>
      <c r="C373" s="3" t="s">
        <v>100</v>
      </c>
      <c r="D373" s="3" t="str">
        <f>IFERROR(MID(VLOOKUP($B373,Seqs!$A:$B,2,0),E373,1),"")</f>
        <v>Q</v>
      </c>
      <c r="E373" s="3">
        <v>103</v>
      </c>
      <c r="F373" s="3" t="str">
        <f>IFERROR(MID(VLOOKUP($B373,Seqs!$A:$B,2,0),G373,1),"")</f>
        <v>L</v>
      </c>
      <c r="G373" s="3">
        <v>144</v>
      </c>
      <c r="H373" s="3" t="str">
        <f>IFERROR(MID(VLOOKUP($B373,Seqs!$A:$B,2,0),I373,1),"")</f>
        <v>R</v>
      </c>
      <c r="I373" s="23">
        <v>145</v>
      </c>
      <c r="J373" s="3" t="str">
        <f>IFERROR(MID(VLOOKUP($B373,Seqs!$A:$B,2,0),K373,1),"")</f>
        <v>R</v>
      </c>
      <c r="K373" s="23">
        <v>148</v>
      </c>
      <c r="L373" s="3" t="str">
        <f>IFERROR(MID(VLOOKUP($B373,Seqs!$A:$B,2,0),M373,1),"")</f>
        <v>C</v>
      </c>
      <c r="M373" s="23">
        <v>149</v>
      </c>
      <c r="N373" s="3" t="str">
        <f>IFERROR(MID(VLOOKUP($B373,Seqs!$A:$B,2,0),O373,1),"")</f>
        <v>T</v>
      </c>
      <c r="O373" s="3">
        <v>175</v>
      </c>
      <c r="P373" s="3" t="str">
        <f>IFERROR(MID(VLOOKUP($B373,Seqs!$A:$B,2,0),Q373,1),"")</f>
        <v/>
      </c>
      <c r="Q373" s="3" t="s">
        <v>23</v>
      </c>
      <c r="R373" s="3" t="str">
        <f>IFERROR(MID(VLOOKUP($B373,Seqs!$A:$B,2,0),S373,1),"")</f>
        <v/>
      </c>
      <c r="S373" s="3" t="s">
        <v>23</v>
      </c>
      <c r="T373" s="3" t="str">
        <f>IFERROR(MID(VLOOKUP($B373,Seqs!$A:$B,2,0),U373,1),"")</f>
        <v>V</v>
      </c>
      <c r="U373" s="3">
        <v>185</v>
      </c>
      <c r="V373" s="3" t="str">
        <f>IFERROR(MID(VLOOKUP($B373,Seqs!$A:$B,2,0),W373,1),"")</f>
        <v>L</v>
      </c>
      <c r="W373" s="3">
        <v>219</v>
      </c>
      <c r="X373" s="3" t="str">
        <f>IFERROR(MID(VLOOKUP($B373,Seqs!$A:$B,2,0),Y373,1),"")</f>
        <v/>
      </c>
      <c r="Y373" s="3" t="s">
        <v>23</v>
      </c>
      <c r="Z373" s="3" t="str">
        <f>IFERROR(MID(VLOOKUP($B373,Seqs!$A:$B,2,0),AA373,1),"")</f>
        <v/>
      </c>
      <c r="AA373" s="3" t="s">
        <v>23</v>
      </c>
      <c r="AB373" s="3" t="str">
        <f>IFERROR(MID(VLOOKUP($B373,Seqs!$A:$B,2,0),AC373,1),"")</f>
        <v>L</v>
      </c>
      <c r="AC373" s="9">
        <v>226</v>
      </c>
      <c r="AD373" s="3" t="str">
        <f>IFERROR(MID(VLOOKUP($B373,Seqs!$A:$B,2,0),AE373,1),"")</f>
        <v>D</v>
      </c>
      <c r="AE373" s="3">
        <v>254</v>
      </c>
      <c r="AF373" s="3" t="str">
        <f>IFERROR(MID(VLOOKUP($B373,Seqs!$A:$B,2,0),AG373,1),"")</f>
        <v>C</v>
      </c>
      <c r="AG373" s="3">
        <v>258</v>
      </c>
      <c r="AH373" s="3" t="str">
        <f>IFERROR(MID(VLOOKUP($B373,Seqs!$A:$B,2,0),AI373,1),"")</f>
        <v>F</v>
      </c>
      <c r="AI373" s="3">
        <v>260</v>
      </c>
      <c r="AJ373" s="3" t="str">
        <f>IFERROR(MID(VLOOKUP($B373,Seqs!$A:$B,2,0),AK373,1),"")</f>
        <v>T</v>
      </c>
      <c r="AK373" s="3">
        <v>268</v>
      </c>
      <c r="AL373" s="3" t="str">
        <f>IFERROR(MID(VLOOKUP($B373,Seqs!$A:$B,2,0),AM373,1),"")</f>
        <v>L</v>
      </c>
      <c r="AM373" s="3">
        <v>298</v>
      </c>
      <c r="AN373" s="3" t="str">
        <f>IFERROR(MID(VLOOKUP($B373,Seqs!$A:$B,2,0),AO373,1),"")</f>
        <v>S</v>
      </c>
      <c r="AO373" s="3">
        <v>304</v>
      </c>
      <c r="AP373" s="3" t="str">
        <f>IFERROR(MID(VLOOKUP($B373,Seqs!$A:$B,2,0),AQ373,1),"")</f>
        <v>V</v>
      </c>
      <c r="AQ373" s="3">
        <v>332</v>
      </c>
      <c r="AR373" s="3" t="str">
        <f>IFERROR(MID(VLOOKUP($B373,Seqs!$A:$B,2,0),AS373,1),"")</f>
        <v>V</v>
      </c>
      <c r="AS373" s="3">
        <v>339</v>
      </c>
      <c r="AT373" s="3" t="str">
        <f>IFERROR(MID(VLOOKUP($B373,Seqs!$A:$B,2,0),AU373,1),"")</f>
        <v>L</v>
      </c>
      <c r="AU373" s="3">
        <v>366</v>
      </c>
      <c r="AV373" s="3" t="str">
        <f>IFERROR(MID(VLOOKUP($B373,Seqs!$A:$B,2,0),AW373,1),"")</f>
        <v>N</v>
      </c>
      <c r="AW373" s="3">
        <v>367</v>
      </c>
      <c r="AX373" s="3" t="str">
        <f>IFERROR(MID(VLOOKUP($B373,Seqs!$A:$B,2,0),AY373,1),"")</f>
        <v>A</v>
      </c>
      <c r="AY373" s="3">
        <v>392</v>
      </c>
      <c r="AZ373" s="77" t="str">
        <f>VLOOKUP(B373,Classification!A:D,2,0)</f>
        <v>B1</v>
      </c>
      <c r="BA373" s="94" t="str">
        <f>VLOOKUP(B373,Classification!A:D,4,0)</f>
        <v>Corticotropin-releasingfact</v>
      </c>
      <c r="BB373" s="27" t="b">
        <f t="shared" si="1983"/>
        <v>1</v>
      </c>
      <c r="BC373" s="23">
        <f t="shared" ref="BC373:BC419" si="2878">_xlfn.AGGREGATE(9,6,CH373:CS373)-_xlfn.AGGREGATE(9,6,BV373:CG373)+12</f>
        <v>256</v>
      </c>
      <c r="BD373" s="56" t="s">
        <v>23</v>
      </c>
      <c r="BE373" s="3" t="s">
        <v>23</v>
      </c>
      <c r="BF373" s="118" t="s">
        <v>23</v>
      </c>
      <c r="BG373" s="49" t="s">
        <v>1372</v>
      </c>
      <c r="BH373" s="49" t="s">
        <v>1377</v>
      </c>
      <c r="BI373" s="1"/>
      <c r="BJ373" s="70" t="s">
        <v>1287</v>
      </c>
      <c r="BK373" s="57" t="s">
        <v>1287</v>
      </c>
      <c r="BL373" s="57" t="s">
        <v>1287</v>
      </c>
      <c r="BM373" s="57" t="s">
        <v>1287</v>
      </c>
      <c r="BN373" s="57" t="s">
        <v>1287</v>
      </c>
      <c r="BO373" s="57" t="s">
        <v>1287</v>
      </c>
      <c r="BP373" s="57" t="s">
        <v>1287</v>
      </c>
      <c r="BQ373" s="57" t="s">
        <v>1287</v>
      </c>
      <c r="BR373" s="57" t="s">
        <v>1287</v>
      </c>
      <c r="BS373" s="57" t="s">
        <v>1287</v>
      </c>
      <c r="BT373" s="57" t="s">
        <v>1287</v>
      </c>
      <c r="BU373" s="57" t="s">
        <v>1287</v>
      </c>
      <c r="BV373" s="70">
        <f t="shared" ref="BV373:BV419" si="2879">E373</f>
        <v>103</v>
      </c>
      <c r="BW373" s="71">
        <f t="shared" ref="BW373:BW419" si="2880">I373</f>
        <v>145</v>
      </c>
      <c r="BX373" s="72">
        <f t="shared" ref="BX373:BX419" si="2881">M373</f>
        <v>149</v>
      </c>
      <c r="BY373" s="71" t="str">
        <f t="shared" ref="BY373:BY419" si="2882">Q373</f>
        <v>-</v>
      </c>
      <c r="BZ373" s="72">
        <f t="shared" ref="BZ373:BZ419" si="2883">U373</f>
        <v>185</v>
      </c>
      <c r="CA373" s="71" t="str">
        <f t="shared" ref="CA373:CA419" si="2884">Y373</f>
        <v>-</v>
      </c>
      <c r="CB373" s="72">
        <f t="shared" ref="CB373:CB419" si="2885">AC373</f>
        <v>226</v>
      </c>
      <c r="CC373" s="71">
        <f t="shared" ref="CC373:CC419" si="2886">AG373</f>
        <v>258</v>
      </c>
      <c r="CD373" s="72">
        <f t="shared" ref="CD373:CD419" si="2887">AK373</f>
        <v>268</v>
      </c>
      <c r="CE373" s="71">
        <f t="shared" ref="CE373:CE419" si="2888">AO373</f>
        <v>304</v>
      </c>
      <c r="CF373" s="72">
        <f t="shared" ref="CF373:CF419" si="2889">AS373</f>
        <v>339</v>
      </c>
      <c r="CG373" s="71">
        <f t="shared" ref="CG373:CG419" si="2890">AW373</f>
        <v>367</v>
      </c>
      <c r="CH373" s="70">
        <f t="shared" ref="CH373:CH419" si="2891">G373</f>
        <v>144</v>
      </c>
      <c r="CI373" s="71">
        <f t="shared" ref="CI373:CI419" si="2892">K373</f>
        <v>148</v>
      </c>
      <c r="CJ373" s="72">
        <f t="shared" ref="CJ373:CJ419" si="2893">O373</f>
        <v>175</v>
      </c>
      <c r="CK373" s="72" t="str">
        <f t="shared" ref="CK373:CK419" si="2894">S373</f>
        <v>-</v>
      </c>
      <c r="CL373" s="72">
        <f t="shared" ref="CL373:CL419" si="2895">W373</f>
        <v>219</v>
      </c>
      <c r="CM373" s="72" t="str">
        <f t="shared" ref="CM373:CM419" si="2896">AA373</f>
        <v>-</v>
      </c>
      <c r="CN373" s="72">
        <f t="shared" ref="CN373:CN419" si="2897">AE373</f>
        <v>254</v>
      </c>
      <c r="CO373" s="72">
        <f t="shared" ref="CO373:CO419" si="2898">AI373</f>
        <v>260</v>
      </c>
      <c r="CP373" s="72">
        <f t="shared" ref="CP373:CP419" si="2899">AM373</f>
        <v>298</v>
      </c>
      <c r="CQ373" s="72">
        <f t="shared" ref="CQ373:CQ419" si="2900">AQ373</f>
        <v>332</v>
      </c>
      <c r="CR373" s="72">
        <f t="shared" ref="CR373:CR419" si="2901">AU373</f>
        <v>366</v>
      </c>
      <c r="CS373" s="72">
        <f t="shared" ref="CS373:CS419" si="2902">AY373</f>
        <v>392</v>
      </c>
      <c r="CT373" s="23">
        <f t="shared" ref="CT373:CT419" si="2903">M373-K373</f>
        <v>1</v>
      </c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</row>
    <row r="374" spans="1:1030" x14ac:dyDescent="0.2">
      <c r="A374" s="3" t="str">
        <f t="shared" si="1982"/>
        <v>crfr1_human_4K5Y</v>
      </c>
      <c r="B374" s="3" t="s">
        <v>38</v>
      </c>
      <c r="C374" s="3" t="s">
        <v>95</v>
      </c>
      <c r="D374" s="3" t="str">
        <f>IFERROR(MID(VLOOKUP($B374,Seqs!$A:$B,2,0),E374,1),"")</f>
        <v>H</v>
      </c>
      <c r="E374" s="3">
        <v>117</v>
      </c>
      <c r="F374" s="3" t="str">
        <f>IFERROR(MID(VLOOKUP($B374,Seqs!$A:$B,2,0),G374,1),"")</f>
        <v>L</v>
      </c>
      <c r="G374" s="3">
        <v>144</v>
      </c>
      <c r="H374" s="3" t="str">
        <f>IFERROR(MID(VLOOKUP($B374,Seqs!$A:$B,2,0),I374,1),"")</f>
        <v>R</v>
      </c>
      <c r="I374" s="23">
        <v>145</v>
      </c>
      <c r="J374" s="3" t="str">
        <f>IFERROR(MID(VLOOKUP($B374,Seqs!$A:$B,2,0),K374,1),"")</f>
        <v>R</v>
      </c>
      <c r="K374" s="23">
        <v>148</v>
      </c>
      <c r="L374" s="3" t="str">
        <f>IFERROR(MID(VLOOKUP($B374,Seqs!$A:$B,2,0),M374,1),"")</f>
        <v>C</v>
      </c>
      <c r="M374" s="23">
        <v>149</v>
      </c>
      <c r="N374" s="3" t="str">
        <f>IFERROR(MID(VLOOKUP($B374,Seqs!$A:$B,2,0),O374,1),"")</f>
        <v>T</v>
      </c>
      <c r="O374" s="3">
        <v>175</v>
      </c>
      <c r="P374" s="3" t="str">
        <f>IFERROR(MID(VLOOKUP($B374,Seqs!$A:$B,2,0),Q374,1),"")</f>
        <v/>
      </c>
      <c r="Q374" s="3" t="s">
        <v>23</v>
      </c>
      <c r="R374" s="3" t="str">
        <f>IFERROR(MID(VLOOKUP($B374,Seqs!$A:$B,2,0),S374,1),"")</f>
        <v/>
      </c>
      <c r="S374" s="3" t="s">
        <v>23</v>
      </c>
      <c r="T374" s="3" t="str">
        <f>IFERROR(MID(VLOOKUP($B374,Seqs!$A:$B,2,0),U374,1),"")</f>
        <v>V</v>
      </c>
      <c r="U374" s="3">
        <v>185</v>
      </c>
      <c r="V374" s="3" t="str">
        <f>IFERROR(MID(VLOOKUP($B374,Seqs!$A:$B,2,0),W374,1),"")</f>
        <v>L</v>
      </c>
      <c r="W374" s="3">
        <v>219</v>
      </c>
      <c r="X374" s="3" t="str">
        <f>IFERROR(MID(VLOOKUP($B374,Seqs!$A:$B,2,0),Y374,1),"")</f>
        <v/>
      </c>
      <c r="Y374" s="3" t="s">
        <v>23</v>
      </c>
      <c r="Z374" s="3" t="str">
        <f>IFERROR(MID(VLOOKUP($B374,Seqs!$A:$B,2,0),AA374,1),"")</f>
        <v/>
      </c>
      <c r="AA374" s="3" t="s">
        <v>23</v>
      </c>
      <c r="AB374" s="3" t="str">
        <f>IFERROR(MID(VLOOKUP($B374,Seqs!$A:$B,2,0),AC374,1),"")</f>
        <v>L</v>
      </c>
      <c r="AC374" s="9">
        <v>226</v>
      </c>
      <c r="AD374" s="3" t="str">
        <f>IFERROR(MID(VLOOKUP($B374,Seqs!$A:$B,2,0),AE374,1),"")</f>
        <v>D</v>
      </c>
      <c r="AE374" s="3">
        <v>254</v>
      </c>
      <c r="AF374" s="3" t="str">
        <f>IFERROR(MID(VLOOKUP($B374,Seqs!$A:$B,2,0),AG374,1),"")</f>
        <v>C</v>
      </c>
      <c r="AG374" s="3">
        <v>258</v>
      </c>
      <c r="AH374" s="3" t="str">
        <f>IFERROR(MID(VLOOKUP($B374,Seqs!$A:$B,2,0),AI374,1),"")</f>
        <v>F</v>
      </c>
      <c r="AI374" s="3">
        <v>260</v>
      </c>
      <c r="AJ374" s="3" t="str">
        <f>IFERROR(MID(VLOOKUP($B374,Seqs!$A:$B,2,0),AK374,1),"")</f>
        <v>T</v>
      </c>
      <c r="AK374" s="3">
        <v>268</v>
      </c>
      <c r="AL374" s="3" t="str">
        <f>IFERROR(MID(VLOOKUP($B374,Seqs!$A:$B,2,0),AM374,1),"")</f>
        <v>L</v>
      </c>
      <c r="AM374" s="3">
        <v>298</v>
      </c>
      <c r="AN374" s="3" t="str">
        <f>IFERROR(MID(VLOOKUP($B374,Seqs!$A:$B,2,0),AO374,1),"")</f>
        <v>S</v>
      </c>
      <c r="AO374" s="3">
        <v>304</v>
      </c>
      <c r="AP374" s="3" t="str">
        <f>IFERROR(MID(VLOOKUP($B374,Seqs!$A:$B,2,0),AQ374,1),"")</f>
        <v>V</v>
      </c>
      <c r="AQ374" s="3">
        <v>332</v>
      </c>
      <c r="AR374" s="3" t="str">
        <f>IFERROR(MID(VLOOKUP($B374,Seqs!$A:$B,2,0),AS374,1),"")</f>
        <v>V</v>
      </c>
      <c r="AS374" s="3">
        <v>339</v>
      </c>
      <c r="AT374" s="3" t="str">
        <f>IFERROR(MID(VLOOKUP($B374,Seqs!$A:$B,2,0),AU374,1),"")</f>
        <v>F</v>
      </c>
      <c r="AU374" s="3">
        <v>362</v>
      </c>
      <c r="AV374" s="3" t="str">
        <f>IFERROR(MID(VLOOKUP($B374,Seqs!$A:$B,2,0),AW374,1),"")</f>
        <v/>
      </c>
      <c r="AW374" s="3" t="s">
        <v>23</v>
      </c>
      <c r="AX374" s="3" t="str">
        <f>IFERROR(MID(VLOOKUP($B374,Seqs!$A:$B,2,0),AY374,1),"")</f>
        <v/>
      </c>
      <c r="AY374" s="3" t="s">
        <v>23</v>
      </c>
      <c r="AZ374" s="77" t="str">
        <f>VLOOKUP(B374,Classification!A:D,2,0)</f>
        <v>B1</v>
      </c>
      <c r="BA374" s="94" t="str">
        <f>VLOOKUP(B374,Classification!A:D,4,0)</f>
        <v>Corticotropin-releasingfact</v>
      </c>
      <c r="BB374" s="27" t="b">
        <f t="shared" si="1983"/>
        <v>1</v>
      </c>
      <c r="BC374" s="23">
        <f t="shared" si="2878"/>
        <v>213</v>
      </c>
      <c r="BD374" s="4" t="s">
        <v>23</v>
      </c>
      <c r="BE374" s="3" t="s">
        <v>1374</v>
      </c>
      <c r="BF374" s="118">
        <v>2.98</v>
      </c>
      <c r="BG374" s="49" t="s">
        <v>1377</v>
      </c>
      <c r="BH374" s="49" t="s">
        <v>1377</v>
      </c>
      <c r="BI374" s="1"/>
      <c r="BJ374" s="70" t="s">
        <v>1287</v>
      </c>
      <c r="BK374" s="57" t="s">
        <v>1287</v>
      </c>
      <c r="BL374" s="57" t="s">
        <v>1287</v>
      </c>
      <c r="BM374" s="57" t="s">
        <v>1287</v>
      </c>
      <c r="BN374" s="57" t="s">
        <v>1287</v>
      </c>
      <c r="BO374" s="57" t="s">
        <v>1287</v>
      </c>
      <c r="BP374" s="57" t="s">
        <v>1287</v>
      </c>
      <c r="BQ374" s="57" t="s">
        <v>1287</v>
      </c>
      <c r="BR374" s="57" t="s">
        <v>1287</v>
      </c>
      <c r="BS374" s="57" t="s">
        <v>1287</v>
      </c>
      <c r="BT374" s="57" t="s">
        <v>1287</v>
      </c>
      <c r="BU374" s="57" t="s">
        <v>1287</v>
      </c>
      <c r="BV374" s="70">
        <f t="shared" si="2879"/>
        <v>117</v>
      </c>
      <c r="BW374" s="71">
        <f t="shared" si="2880"/>
        <v>145</v>
      </c>
      <c r="BX374" s="72">
        <f t="shared" si="2881"/>
        <v>149</v>
      </c>
      <c r="BY374" s="71" t="str">
        <f t="shared" si="2882"/>
        <v>-</v>
      </c>
      <c r="BZ374" s="72">
        <f t="shared" si="2883"/>
        <v>185</v>
      </c>
      <c r="CA374" s="71" t="str">
        <f t="shared" si="2884"/>
        <v>-</v>
      </c>
      <c r="CB374" s="72">
        <f t="shared" si="2885"/>
        <v>226</v>
      </c>
      <c r="CC374" s="71">
        <f t="shared" si="2886"/>
        <v>258</v>
      </c>
      <c r="CD374" s="72">
        <f t="shared" si="2887"/>
        <v>268</v>
      </c>
      <c r="CE374" s="71">
        <f t="shared" si="2888"/>
        <v>304</v>
      </c>
      <c r="CF374" s="72">
        <f t="shared" si="2889"/>
        <v>339</v>
      </c>
      <c r="CG374" s="71" t="str">
        <f t="shared" si="2890"/>
        <v>-</v>
      </c>
      <c r="CH374" s="70">
        <f t="shared" si="2891"/>
        <v>144</v>
      </c>
      <c r="CI374" s="71">
        <f t="shared" si="2892"/>
        <v>148</v>
      </c>
      <c r="CJ374" s="72">
        <f t="shared" si="2893"/>
        <v>175</v>
      </c>
      <c r="CK374" s="72" t="str">
        <f t="shared" si="2894"/>
        <v>-</v>
      </c>
      <c r="CL374" s="72">
        <f t="shared" si="2895"/>
        <v>219</v>
      </c>
      <c r="CM374" s="72" t="str">
        <f t="shared" si="2896"/>
        <v>-</v>
      </c>
      <c r="CN374" s="72">
        <f t="shared" si="2897"/>
        <v>254</v>
      </c>
      <c r="CO374" s="72">
        <f t="shared" si="2898"/>
        <v>260</v>
      </c>
      <c r="CP374" s="72">
        <f t="shared" si="2899"/>
        <v>298</v>
      </c>
      <c r="CQ374" s="72">
        <f t="shared" si="2900"/>
        <v>332</v>
      </c>
      <c r="CR374" s="72">
        <f t="shared" si="2901"/>
        <v>362</v>
      </c>
      <c r="CS374" s="72" t="str">
        <f t="shared" si="2902"/>
        <v>-</v>
      </c>
      <c r="CT374" s="23">
        <f t="shared" si="2903"/>
        <v>1</v>
      </c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</row>
    <row r="375" spans="1:1030" x14ac:dyDescent="0.2">
      <c r="A375" s="3" t="str">
        <f t="shared" si="1982"/>
        <v>crfr1_human_4K5Y_dist</v>
      </c>
      <c r="B375" s="3" t="s">
        <v>38</v>
      </c>
      <c r="C375" s="3" t="s">
        <v>1160</v>
      </c>
      <c r="D375" s="3" t="str">
        <f>IFERROR(MID(VLOOKUP($B375,Seqs!$A:$B,2,0),E375,1),"")</f>
        <v>H</v>
      </c>
      <c r="E375" s="3">
        <v>117</v>
      </c>
      <c r="F375" s="3" t="str">
        <f>IFERROR(MID(VLOOKUP($B375,Seqs!$A:$B,2,0),G375,1),"")</f>
        <v>L</v>
      </c>
      <c r="G375" s="3">
        <v>144</v>
      </c>
      <c r="H375" s="3" t="str">
        <f>IFERROR(MID(VLOOKUP($B375,Seqs!$A:$B,2,0),I375,1),"")</f>
        <v>R</v>
      </c>
      <c r="I375" s="23">
        <v>145</v>
      </c>
      <c r="J375" s="3" t="str">
        <f>IFERROR(MID(VLOOKUP($B375,Seqs!$A:$B,2,0),K375,1),"")</f>
        <v>R</v>
      </c>
      <c r="K375" s="23">
        <v>148</v>
      </c>
      <c r="L375" s="3" t="str">
        <f>IFERROR(MID(VLOOKUP($B375,Seqs!$A:$B,2,0),M375,1),"")</f>
        <v>C</v>
      </c>
      <c r="M375" s="23">
        <v>149</v>
      </c>
      <c r="N375" s="3" t="str">
        <f>IFERROR(MID(VLOOKUP($B375,Seqs!$A:$B,2,0),O375,1),"")</f>
        <v>T</v>
      </c>
      <c r="O375" s="3">
        <v>175</v>
      </c>
      <c r="P375" s="3" t="str">
        <f>IFERROR(MID(VLOOKUP($B375,Seqs!$A:$B,2,0),Q375,1),"")</f>
        <v/>
      </c>
      <c r="Q375" s="3" t="s">
        <v>23</v>
      </c>
      <c r="R375" s="3" t="str">
        <f>IFERROR(MID(VLOOKUP($B375,Seqs!$A:$B,2,0),S375,1),"")</f>
        <v/>
      </c>
      <c r="S375" s="3" t="s">
        <v>23</v>
      </c>
      <c r="T375" s="3" t="str">
        <f>IFERROR(MID(VLOOKUP($B375,Seqs!$A:$B,2,0),U375,1),"")</f>
        <v>V</v>
      </c>
      <c r="U375" s="3">
        <v>185</v>
      </c>
      <c r="V375" s="3" t="str">
        <f>IFERROR(MID(VLOOKUP($B375,Seqs!$A:$B,2,0),W375,1),"")</f>
        <v>L</v>
      </c>
      <c r="W375" s="3">
        <v>219</v>
      </c>
      <c r="X375" s="3" t="str">
        <f>IFERROR(MID(VLOOKUP($B375,Seqs!$A:$B,2,0),Y375,1),"")</f>
        <v/>
      </c>
      <c r="Y375" s="3" t="s">
        <v>23</v>
      </c>
      <c r="Z375" s="3" t="str">
        <f>IFERROR(MID(VLOOKUP($B375,Seqs!$A:$B,2,0),AA375,1),"")</f>
        <v/>
      </c>
      <c r="AA375" s="3" t="s">
        <v>23</v>
      </c>
      <c r="AB375" s="3" t="str">
        <f>IFERROR(MID(VLOOKUP($B375,Seqs!$A:$B,2,0),AC375,1),"")</f>
        <v>L</v>
      </c>
      <c r="AC375" s="9">
        <v>226</v>
      </c>
      <c r="AD375" s="3" t="str">
        <f>IFERROR(MID(VLOOKUP($B375,Seqs!$A:$B,2,0),AE375,1),"")</f>
        <v>D</v>
      </c>
      <c r="AE375" s="3">
        <v>254</v>
      </c>
      <c r="AF375" s="3" t="str">
        <f>IFERROR(MID(VLOOKUP($B375,Seqs!$A:$B,2,0),AG375,1),"")</f>
        <v>C</v>
      </c>
      <c r="AG375" s="3">
        <v>258</v>
      </c>
      <c r="AH375" s="3" t="str">
        <f>IFERROR(MID(VLOOKUP($B375,Seqs!$A:$B,2,0),AI375,1),"")</f>
        <v>F</v>
      </c>
      <c r="AI375" s="3">
        <v>260</v>
      </c>
      <c r="AJ375" s="3" t="str">
        <f>IFERROR(MID(VLOOKUP($B375,Seqs!$A:$B,2,0),AK375,1),"")</f>
        <v>T</v>
      </c>
      <c r="AK375" s="3">
        <v>268</v>
      </c>
      <c r="AL375" s="3" t="str">
        <f>IFERROR(MID(VLOOKUP($B375,Seqs!$A:$B,2,0),AM375,1),"")</f>
        <v>L</v>
      </c>
      <c r="AM375" s="3">
        <v>298</v>
      </c>
      <c r="AN375" s="3" t="str">
        <f>IFERROR(MID(VLOOKUP($B375,Seqs!$A:$B,2,0),AO375,1),"")</f>
        <v>S</v>
      </c>
      <c r="AO375" s="3">
        <v>304</v>
      </c>
      <c r="AP375" s="3" t="str">
        <f>IFERROR(MID(VLOOKUP($B375,Seqs!$A:$B,2,0),AQ375,1),"")</f>
        <v>V</v>
      </c>
      <c r="AQ375" s="3">
        <v>332</v>
      </c>
      <c r="AR375" s="3" t="str">
        <f>IFERROR(MID(VLOOKUP($B375,Seqs!$A:$B,2,0),AS375,1),"")</f>
        <v>V</v>
      </c>
      <c r="AS375" s="3">
        <v>339</v>
      </c>
      <c r="AT375" s="3" t="str">
        <f>IFERROR(MID(VLOOKUP($B375,Seqs!$A:$B,2,0),AU375,1),"")</f>
        <v>L</v>
      </c>
      <c r="AU375" s="3">
        <v>366</v>
      </c>
      <c r="AV375" s="3" t="str">
        <f>IFERROR(MID(VLOOKUP($B375,Seqs!$A:$B,2,0),AW375,1),"")</f>
        <v/>
      </c>
      <c r="AW375" s="3" t="s">
        <v>23</v>
      </c>
      <c r="AX375" s="3" t="str">
        <f>IFERROR(MID(VLOOKUP($B375,Seqs!$A:$B,2,0),AY375,1),"")</f>
        <v/>
      </c>
      <c r="AY375" s="3" t="s">
        <v>23</v>
      </c>
      <c r="AZ375" s="77" t="str">
        <f>VLOOKUP(B375,Classification!A:D,2,0)</f>
        <v>B1</v>
      </c>
      <c r="BA375" s="94" t="str">
        <f>VLOOKUP(B375,Classification!A:D,4,0)</f>
        <v>Corticotropin-releasingfact</v>
      </c>
      <c r="BB375" s="27" t="b">
        <f t="shared" si="1983"/>
        <v>1</v>
      </c>
      <c r="BC375" s="23">
        <f t="shared" si="2878"/>
        <v>217</v>
      </c>
      <c r="BD375" s="56" t="s">
        <v>23</v>
      </c>
      <c r="BE375" s="3" t="s">
        <v>1374</v>
      </c>
      <c r="BF375" s="118">
        <v>2.98</v>
      </c>
      <c r="BG375" s="49" t="s">
        <v>1377</v>
      </c>
      <c r="BH375" s="49" t="s">
        <v>1377</v>
      </c>
      <c r="BI375" s="3" t="s">
        <v>1162</v>
      </c>
      <c r="BJ375" s="70" t="s">
        <v>1287</v>
      </c>
      <c r="BK375" s="57" t="s">
        <v>1287</v>
      </c>
      <c r="BL375" s="57" t="s">
        <v>1287</v>
      </c>
      <c r="BM375" s="57" t="s">
        <v>1287</v>
      </c>
      <c r="BN375" s="57" t="s">
        <v>1287</v>
      </c>
      <c r="BO375" s="57" t="s">
        <v>1287</v>
      </c>
      <c r="BP375" s="57" t="s">
        <v>1287</v>
      </c>
      <c r="BQ375" s="57" t="s">
        <v>1287</v>
      </c>
      <c r="BR375" s="57" t="s">
        <v>1287</v>
      </c>
      <c r="BS375" s="57" t="s">
        <v>1287</v>
      </c>
      <c r="BT375" s="57" t="s">
        <v>1287</v>
      </c>
      <c r="BU375" s="57" t="s">
        <v>1287</v>
      </c>
      <c r="BV375" s="70">
        <f t="shared" si="2879"/>
        <v>117</v>
      </c>
      <c r="BW375" s="71">
        <f t="shared" si="2880"/>
        <v>145</v>
      </c>
      <c r="BX375" s="72">
        <f t="shared" si="2881"/>
        <v>149</v>
      </c>
      <c r="BY375" s="71" t="str">
        <f t="shared" si="2882"/>
        <v>-</v>
      </c>
      <c r="BZ375" s="72">
        <f t="shared" si="2883"/>
        <v>185</v>
      </c>
      <c r="CA375" s="71" t="str">
        <f t="shared" si="2884"/>
        <v>-</v>
      </c>
      <c r="CB375" s="72">
        <f t="shared" si="2885"/>
        <v>226</v>
      </c>
      <c r="CC375" s="71">
        <f t="shared" si="2886"/>
        <v>258</v>
      </c>
      <c r="CD375" s="72">
        <f t="shared" si="2887"/>
        <v>268</v>
      </c>
      <c r="CE375" s="71">
        <f t="shared" si="2888"/>
        <v>304</v>
      </c>
      <c r="CF375" s="72">
        <f t="shared" si="2889"/>
        <v>339</v>
      </c>
      <c r="CG375" s="71" t="str">
        <f t="shared" si="2890"/>
        <v>-</v>
      </c>
      <c r="CH375" s="70">
        <f t="shared" si="2891"/>
        <v>144</v>
      </c>
      <c r="CI375" s="71">
        <f t="shared" si="2892"/>
        <v>148</v>
      </c>
      <c r="CJ375" s="72">
        <f t="shared" si="2893"/>
        <v>175</v>
      </c>
      <c r="CK375" s="72" t="str">
        <f t="shared" si="2894"/>
        <v>-</v>
      </c>
      <c r="CL375" s="72">
        <f t="shared" si="2895"/>
        <v>219</v>
      </c>
      <c r="CM375" s="72" t="str">
        <f t="shared" si="2896"/>
        <v>-</v>
      </c>
      <c r="CN375" s="72">
        <f t="shared" si="2897"/>
        <v>254</v>
      </c>
      <c r="CO375" s="72">
        <f t="shared" si="2898"/>
        <v>260</v>
      </c>
      <c r="CP375" s="72">
        <f t="shared" si="2899"/>
        <v>298</v>
      </c>
      <c r="CQ375" s="72">
        <f t="shared" si="2900"/>
        <v>332</v>
      </c>
      <c r="CR375" s="72">
        <f t="shared" si="2901"/>
        <v>366</v>
      </c>
      <c r="CS375" s="72" t="str">
        <f t="shared" si="2902"/>
        <v>-</v>
      </c>
      <c r="CT375" s="23">
        <f t="shared" si="2903"/>
        <v>1</v>
      </c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</row>
    <row r="376" spans="1:1030" x14ac:dyDescent="0.2">
      <c r="A376" s="3" t="str">
        <f t="shared" si="1982"/>
        <v>crfr1_human_4Z9G</v>
      </c>
      <c r="B376" s="3" t="s">
        <v>38</v>
      </c>
      <c r="C376" s="3" t="s">
        <v>1059</v>
      </c>
      <c r="D376" s="3" t="str">
        <f>IFERROR(MID(VLOOKUP($B376,Seqs!$A:$B,2,0),E376,1),"")</f>
        <v>S</v>
      </c>
      <c r="E376" s="3">
        <v>112</v>
      </c>
      <c r="F376" s="3" t="str">
        <f>IFERROR(MID(VLOOKUP($B376,Seqs!$A:$B,2,0),G376,1),"")</f>
        <v>L</v>
      </c>
      <c r="G376" s="3">
        <v>144</v>
      </c>
      <c r="H376" s="3" t="str">
        <f>IFERROR(MID(VLOOKUP($B376,Seqs!$A:$B,2,0),I376,1),"")</f>
        <v>R</v>
      </c>
      <c r="I376" s="23">
        <v>145</v>
      </c>
      <c r="J376" s="3" t="str">
        <f>IFERROR(MID(VLOOKUP($B376,Seqs!$A:$B,2,0),K376,1),"")</f>
        <v>R</v>
      </c>
      <c r="K376" s="23">
        <v>148</v>
      </c>
      <c r="L376" s="3" t="str">
        <f>IFERROR(MID(VLOOKUP($B376,Seqs!$A:$B,2,0),M376,1),"")</f>
        <v>C</v>
      </c>
      <c r="M376" s="23">
        <v>149</v>
      </c>
      <c r="N376" s="3" t="str">
        <f>IFERROR(MID(VLOOKUP($B376,Seqs!$A:$B,2,0),O376,1),"")</f>
        <v>T</v>
      </c>
      <c r="O376" s="3">
        <v>175</v>
      </c>
      <c r="P376" s="3" t="str">
        <f>IFERROR(MID(VLOOKUP($B376,Seqs!$A:$B,2,0),Q376,1),"")</f>
        <v/>
      </c>
      <c r="Q376" s="3" t="s">
        <v>23</v>
      </c>
      <c r="R376" s="3" t="str">
        <f>IFERROR(MID(VLOOKUP($B376,Seqs!$A:$B,2,0),S376,1),"")</f>
        <v/>
      </c>
      <c r="S376" s="3" t="s">
        <v>23</v>
      </c>
      <c r="T376" s="3" t="str">
        <f>IFERROR(MID(VLOOKUP($B376,Seqs!$A:$B,2,0),U376,1),"")</f>
        <v>V</v>
      </c>
      <c r="U376" s="3">
        <v>185</v>
      </c>
      <c r="V376" s="3" t="str">
        <f>IFERROR(MID(VLOOKUP($B376,Seqs!$A:$B,2,0),W376,1),"")</f>
        <v>L</v>
      </c>
      <c r="W376" s="3">
        <v>219</v>
      </c>
      <c r="X376" s="3" t="str">
        <f>IFERROR(MID(VLOOKUP($B376,Seqs!$A:$B,2,0),Y376,1),"")</f>
        <v/>
      </c>
      <c r="Y376" s="3" t="s">
        <v>23</v>
      </c>
      <c r="Z376" s="3" t="str">
        <f>IFERROR(MID(VLOOKUP($B376,Seqs!$A:$B,2,0),AA376,1),"")</f>
        <v/>
      </c>
      <c r="AA376" s="3" t="s">
        <v>23</v>
      </c>
      <c r="AB376" s="3" t="str">
        <f>IFERROR(MID(VLOOKUP($B376,Seqs!$A:$B,2,0),AC376,1),"")</f>
        <v>L</v>
      </c>
      <c r="AC376" s="9">
        <v>226</v>
      </c>
      <c r="AD376" s="3" t="str">
        <f>IFERROR(MID(VLOOKUP($B376,Seqs!$A:$B,2,0),AE376,1),"")</f>
        <v>D</v>
      </c>
      <c r="AE376" s="3">
        <v>254</v>
      </c>
      <c r="AF376" s="3" t="str">
        <f>IFERROR(MID(VLOOKUP($B376,Seqs!$A:$B,2,0),AG376,1),"")</f>
        <v>C</v>
      </c>
      <c r="AG376" s="3">
        <v>258</v>
      </c>
      <c r="AH376" s="3" t="str">
        <f>IFERROR(MID(VLOOKUP($B376,Seqs!$A:$B,2,0),AI376,1),"")</f>
        <v>F</v>
      </c>
      <c r="AI376" s="3">
        <v>260</v>
      </c>
      <c r="AJ376" s="3" t="str">
        <f>IFERROR(MID(VLOOKUP($B376,Seqs!$A:$B,2,0),AK376,1),"")</f>
        <v>T</v>
      </c>
      <c r="AK376" s="3">
        <v>268</v>
      </c>
      <c r="AL376" s="3" t="str">
        <f>IFERROR(MID(VLOOKUP($B376,Seqs!$A:$B,2,0),AM376,1),"")</f>
        <v>L</v>
      </c>
      <c r="AM376" s="3">
        <v>298</v>
      </c>
      <c r="AN376" s="3" t="str">
        <f>IFERROR(MID(VLOOKUP($B376,Seqs!$A:$B,2,0),AO376,1),"")</f>
        <v>S</v>
      </c>
      <c r="AO376" s="3">
        <v>304</v>
      </c>
      <c r="AP376" s="3" t="str">
        <f>IFERROR(MID(VLOOKUP($B376,Seqs!$A:$B,2,0),AQ376,1),"")</f>
        <v>V</v>
      </c>
      <c r="AQ376" s="3">
        <v>332</v>
      </c>
      <c r="AR376" s="3" t="str">
        <f>IFERROR(MID(VLOOKUP($B376,Seqs!$A:$B,2,0),AS376,1),"")</f>
        <v>V</v>
      </c>
      <c r="AS376" s="3">
        <v>339</v>
      </c>
      <c r="AT376" s="3" t="str">
        <f>IFERROR(MID(VLOOKUP($B376,Seqs!$A:$B,2,0),AU376,1),"")</f>
        <v>F</v>
      </c>
      <c r="AU376" s="3">
        <v>362</v>
      </c>
      <c r="AV376" s="3" t="str">
        <f>IFERROR(MID(VLOOKUP($B376,Seqs!$A:$B,2,0),AW376,1),"")</f>
        <v/>
      </c>
      <c r="AW376" s="3" t="s">
        <v>23</v>
      </c>
      <c r="AX376" s="3" t="str">
        <f>IFERROR(MID(VLOOKUP($B376,Seqs!$A:$B,2,0),AY376,1),"")</f>
        <v/>
      </c>
      <c r="AY376" s="3" t="s">
        <v>23</v>
      </c>
      <c r="AZ376" s="77" t="str">
        <f>VLOOKUP(B376,Classification!A:D,2,0)</f>
        <v>B1</v>
      </c>
      <c r="BA376" s="94" t="str">
        <f>VLOOKUP(B376,Classification!A:D,4,0)</f>
        <v>Corticotropin-releasingfact</v>
      </c>
      <c r="BB376" s="27" t="b">
        <f t="shared" si="1983"/>
        <v>1</v>
      </c>
      <c r="BC376" s="23">
        <f t="shared" si="2878"/>
        <v>218</v>
      </c>
      <c r="BD376" s="2" t="s">
        <v>1376</v>
      </c>
      <c r="BE376" s="3" t="s">
        <v>1374</v>
      </c>
      <c r="BF376" s="118">
        <v>3.18</v>
      </c>
      <c r="BG376" s="49" t="s">
        <v>1377</v>
      </c>
      <c r="BH376" s="49" t="s">
        <v>1377</v>
      </c>
      <c r="BI376" s="1"/>
      <c r="BJ376" s="70" t="s">
        <v>1287</v>
      </c>
      <c r="BK376" s="57" t="s">
        <v>1287</v>
      </c>
      <c r="BL376" s="57" t="s">
        <v>1287</v>
      </c>
      <c r="BM376" s="57" t="s">
        <v>1287</v>
      </c>
      <c r="BN376" s="57" t="s">
        <v>1287</v>
      </c>
      <c r="BO376" s="57" t="s">
        <v>1287</v>
      </c>
      <c r="BP376" s="57" t="s">
        <v>1287</v>
      </c>
      <c r="BQ376" s="57" t="s">
        <v>1287</v>
      </c>
      <c r="BR376" s="57" t="s">
        <v>1287</v>
      </c>
      <c r="BS376" s="57" t="s">
        <v>1287</v>
      </c>
      <c r="BT376" s="57" t="s">
        <v>1287</v>
      </c>
      <c r="BU376" s="57" t="s">
        <v>1287</v>
      </c>
      <c r="BV376" s="70">
        <f t="shared" si="2879"/>
        <v>112</v>
      </c>
      <c r="BW376" s="71">
        <f t="shared" si="2880"/>
        <v>145</v>
      </c>
      <c r="BX376" s="72">
        <f t="shared" si="2881"/>
        <v>149</v>
      </c>
      <c r="BY376" s="71" t="str">
        <f t="shared" si="2882"/>
        <v>-</v>
      </c>
      <c r="BZ376" s="72">
        <f t="shared" si="2883"/>
        <v>185</v>
      </c>
      <c r="CA376" s="71" t="str">
        <f t="shared" si="2884"/>
        <v>-</v>
      </c>
      <c r="CB376" s="72">
        <f t="shared" si="2885"/>
        <v>226</v>
      </c>
      <c r="CC376" s="71">
        <f t="shared" si="2886"/>
        <v>258</v>
      </c>
      <c r="CD376" s="72">
        <f t="shared" si="2887"/>
        <v>268</v>
      </c>
      <c r="CE376" s="71">
        <f t="shared" si="2888"/>
        <v>304</v>
      </c>
      <c r="CF376" s="72">
        <f t="shared" si="2889"/>
        <v>339</v>
      </c>
      <c r="CG376" s="71" t="str">
        <f t="shared" si="2890"/>
        <v>-</v>
      </c>
      <c r="CH376" s="70">
        <f t="shared" si="2891"/>
        <v>144</v>
      </c>
      <c r="CI376" s="71">
        <f t="shared" si="2892"/>
        <v>148</v>
      </c>
      <c r="CJ376" s="72">
        <f t="shared" si="2893"/>
        <v>175</v>
      </c>
      <c r="CK376" s="72" t="str">
        <f t="shared" si="2894"/>
        <v>-</v>
      </c>
      <c r="CL376" s="72">
        <f t="shared" si="2895"/>
        <v>219</v>
      </c>
      <c r="CM376" s="72" t="str">
        <f t="shared" si="2896"/>
        <v>-</v>
      </c>
      <c r="CN376" s="72">
        <f t="shared" si="2897"/>
        <v>254</v>
      </c>
      <c r="CO376" s="72">
        <f t="shared" si="2898"/>
        <v>260</v>
      </c>
      <c r="CP376" s="72">
        <f t="shared" si="2899"/>
        <v>298</v>
      </c>
      <c r="CQ376" s="72">
        <f t="shared" si="2900"/>
        <v>332</v>
      </c>
      <c r="CR376" s="72">
        <f t="shared" si="2901"/>
        <v>362</v>
      </c>
      <c r="CS376" s="72" t="str">
        <f t="shared" si="2902"/>
        <v>-</v>
      </c>
      <c r="CT376" s="23">
        <f t="shared" si="2903"/>
        <v>1</v>
      </c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</row>
    <row r="377" spans="1:1030" x14ac:dyDescent="0.2">
      <c r="A377" s="3" t="str">
        <f t="shared" si="1982"/>
        <v>crfr1_human_4Z9G_dist</v>
      </c>
      <c r="B377" s="3" t="s">
        <v>38</v>
      </c>
      <c r="C377" s="3" t="s">
        <v>1161</v>
      </c>
      <c r="D377" s="3" t="str">
        <f>IFERROR(MID(VLOOKUP($B377,Seqs!$A:$B,2,0),E377,1),"")</f>
        <v>S</v>
      </c>
      <c r="E377" s="3">
        <v>112</v>
      </c>
      <c r="F377" s="3" t="str">
        <f>IFERROR(MID(VLOOKUP($B377,Seqs!$A:$B,2,0),G377,1),"")</f>
        <v>L</v>
      </c>
      <c r="G377" s="3">
        <v>144</v>
      </c>
      <c r="H377" s="3" t="str">
        <f>IFERROR(MID(VLOOKUP($B377,Seqs!$A:$B,2,0),I377,1),"")</f>
        <v>R</v>
      </c>
      <c r="I377" s="23">
        <v>145</v>
      </c>
      <c r="J377" s="3" t="str">
        <f>IFERROR(MID(VLOOKUP($B377,Seqs!$A:$B,2,0),K377,1),"")</f>
        <v>R</v>
      </c>
      <c r="K377" s="23">
        <v>148</v>
      </c>
      <c r="L377" s="3" t="str">
        <f>IFERROR(MID(VLOOKUP($B377,Seqs!$A:$B,2,0),M377,1),"")</f>
        <v>C</v>
      </c>
      <c r="M377" s="23">
        <v>149</v>
      </c>
      <c r="N377" s="3" t="str">
        <f>IFERROR(MID(VLOOKUP($B377,Seqs!$A:$B,2,0),O377,1),"")</f>
        <v>T</v>
      </c>
      <c r="O377" s="3">
        <v>175</v>
      </c>
      <c r="P377" s="3" t="str">
        <f>IFERROR(MID(VLOOKUP($B377,Seqs!$A:$B,2,0),Q377,1),"")</f>
        <v/>
      </c>
      <c r="Q377" s="3" t="s">
        <v>23</v>
      </c>
      <c r="R377" s="3" t="str">
        <f>IFERROR(MID(VLOOKUP($B377,Seqs!$A:$B,2,0),S377,1),"")</f>
        <v/>
      </c>
      <c r="S377" s="3" t="s">
        <v>23</v>
      </c>
      <c r="T377" s="3" t="str">
        <f>IFERROR(MID(VLOOKUP($B377,Seqs!$A:$B,2,0),U377,1),"")</f>
        <v>V</v>
      </c>
      <c r="U377" s="3">
        <v>185</v>
      </c>
      <c r="V377" s="3" t="str">
        <f>IFERROR(MID(VLOOKUP($B377,Seqs!$A:$B,2,0),W377,1),"")</f>
        <v>L</v>
      </c>
      <c r="W377" s="3">
        <v>219</v>
      </c>
      <c r="X377" s="3" t="str">
        <f>IFERROR(MID(VLOOKUP($B377,Seqs!$A:$B,2,0),Y377,1),"")</f>
        <v/>
      </c>
      <c r="Y377" s="3" t="s">
        <v>23</v>
      </c>
      <c r="Z377" s="3" t="str">
        <f>IFERROR(MID(VLOOKUP($B377,Seqs!$A:$B,2,0),AA377,1),"")</f>
        <v/>
      </c>
      <c r="AA377" s="3" t="s">
        <v>23</v>
      </c>
      <c r="AB377" s="3" t="str">
        <f>IFERROR(MID(VLOOKUP($B377,Seqs!$A:$B,2,0),AC377,1),"")</f>
        <v>L</v>
      </c>
      <c r="AC377" s="9">
        <v>226</v>
      </c>
      <c r="AD377" s="3" t="str">
        <f>IFERROR(MID(VLOOKUP($B377,Seqs!$A:$B,2,0),AE377,1),"")</f>
        <v>D</v>
      </c>
      <c r="AE377" s="3">
        <v>254</v>
      </c>
      <c r="AF377" s="3" t="str">
        <f>IFERROR(MID(VLOOKUP($B377,Seqs!$A:$B,2,0),AG377,1),"")</f>
        <v>C</v>
      </c>
      <c r="AG377" s="3">
        <v>258</v>
      </c>
      <c r="AH377" s="3" t="str">
        <f>IFERROR(MID(VLOOKUP($B377,Seqs!$A:$B,2,0),AI377,1),"")</f>
        <v>F</v>
      </c>
      <c r="AI377" s="3">
        <v>260</v>
      </c>
      <c r="AJ377" s="3" t="str">
        <f>IFERROR(MID(VLOOKUP($B377,Seqs!$A:$B,2,0),AK377,1),"")</f>
        <v>T</v>
      </c>
      <c r="AK377" s="3">
        <v>268</v>
      </c>
      <c r="AL377" s="3" t="str">
        <f>IFERROR(MID(VLOOKUP($B377,Seqs!$A:$B,2,0),AM377,1),"")</f>
        <v>L</v>
      </c>
      <c r="AM377" s="3">
        <v>298</v>
      </c>
      <c r="AN377" s="3" t="str">
        <f>IFERROR(MID(VLOOKUP($B377,Seqs!$A:$B,2,0),AO377,1),"")</f>
        <v>S</v>
      </c>
      <c r="AO377" s="3">
        <v>304</v>
      </c>
      <c r="AP377" s="3" t="str">
        <f>IFERROR(MID(VLOOKUP($B377,Seqs!$A:$B,2,0),AQ377,1),"")</f>
        <v>V</v>
      </c>
      <c r="AQ377" s="3">
        <v>332</v>
      </c>
      <c r="AR377" s="3" t="str">
        <f>IFERROR(MID(VLOOKUP($B377,Seqs!$A:$B,2,0),AS377,1),"")</f>
        <v>V</v>
      </c>
      <c r="AS377" s="3">
        <v>339</v>
      </c>
      <c r="AT377" s="3" t="str">
        <f>IFERROR(MID(VLOOKUP($B377,Seqs!$A:$B,2,0),AU377,1),"")</f>
        <v>E</v>
      </c>
      <c r="AU377" s="3">
        <v>369</v>
      </c>
      <c r="AV377" s="3" t="str">
        <f>IFERROR(MID(VLOOKUP($B377,Seqs!$A:$B,2,0),AW377,1),"")</f>
        <v/>
      </c>
      <c r="AW377" s="3" t="s">
        <v>23</v>
      </c>
      <c r="AX377" s="3" t="str">
        <f>IFERROR(MID(VLOOKUP($B377,Seqs!$A:$B,2,0),AY377,1),"")</f>
        <v/>
      </c>
      <c r="AY377" s="3" t="s">
        <v>23</v>
      </c>
      <c r="AZ377" s="77" t="str">
        <f>VLOOKUP(B377,Classification!A:D,2,0)</f>
        <v>B1</v>
      </c>
      <c r="BA377" s="94" t="str">
        <f>VLOOKUP(B377,Classification!A:D,4,0)</f>
        <v>Corticotropin-releasingfact</v>
      </c>
      <c r="BB377" s="27" t="b">
        <f t="shared" si="1983"/>
        <v>1</v>
      </c>
      <c r="BC377" s="23">
        <f t="shared" si="2878"/>
        <v>225</v>
      </c>
      <c r="BD377" s="56" t="s">
        <v>23</v>
      </c>
      <c r="BE377" s="3" t="s">
        <v>1374</v>
      </c>
      <c r="BF377" s="118">
        <v>3.18</v>
      </c>
      <c r="BG377" s="49" t="s">
        <v>1377</v>
      </c>
      <c r="BH377" s="49" t="s">
        <v>1377</v>
      </c>
      <c r="BI377" s="3" t="s">
        <v>1162</v>
      </c>
      <c r="BJ377" s="70" t="s">
        <v>1287</v>
      </c>
      <c r="BK377" s="57" t="s">
        <v>1287</v>
      </c>
      <c r="BL377" s="57" t="s">
        <v>1287</v>
      </c>
      <c r="BM377" s="57" t="s">
        <v>1287</v>
      </c>
      <c r="BN377" s="57" t="s">
        <v>1287</v>
      </c>
      <c r="BO377" s="57" t="s">
        <v>1287</v>
      </c>
      <c r="BP377" s="57" t="s">
        <v>1287</v>
      </c>
      <c r="BQ377" s="57" t="s">
        <v>1287</v>
      </c>
      <c r="BR377" s="57" t="s">
        <v>1287</v>
      </c>
      <c r="BS377" s="57" t="s">
        <v>1287</v>
      </c>
      <c r="BT377" s="57" t="s">
        <v>1287</v>
      </c>
      <c r="BU377" s="57" t="s">
        <v>1287</v>
      </c>
      <c r="BV377" s="70">
        <f t="shared" si="2879"/>
        <v>112</v>
      </c>
      <c r="BW377" s="71">
        <f t="shared" si="2880"/>
        <v>145</v>
      </c>
      <c r="BX377" s="72">
        <f t="shared" si="2881"/>
        <v>149</v>
      </c>
      <c r="BY377" s="71" t="str">
        <f t="shared" si="2882"/>
        <v>-</v>
      </c>
      <c r="BZ377" s="72">
        <f t="shared" si="2883"/>
        <v>185</v>
      </c>
      <c r="CA377" s="71" t="str">
        <f t="shared" si="2884"/>
        <v>-</v>
      </c>
      <c r="CB377" s="72">
        <f t="shared" si="2885"/>
        <v>226</v>
      </c>
      <c r="CC377" s="71">
        <f t="shared" si="2886"/>
        <v>258</v>
      </c>
      <c r="CD377" s="72">
        <f t="shared" si="2887"/>
        <v>268</v>
      </c>
      <c r="CE377" s="71">
        <f t="shared" si="2888"/>
        <v>304</v>
      </c>
      <c r="CF377" s="72">
        <f t="shared" si="2889"/>
        <v>339</v>
      </c>
      <c r="CG377" s="71" t="str">
        <f t="shared" si="2890"/>
        <v>-</v>
      </c>
      <c r="CH377" s="70">
        <f t="shared" si="2891"/>
        <v>144</v>
      </c>
      <c r="CI377" s="71">
        <f t="shared" si="2892"/>
        <v>148</v>
      </c>
      <c r="CJ377" s="72">
        <f t="shared" si="2893"/>
        <v>175</v>
      </c>
      <c r="CK377" s="72" t="str">
        <f t="shared" si="2894"/>
        <v>-</v>
      </c>
      <c r="CL377" s="72">
        <f t="shared" si="2895"/>
        <v>219</v>
      </c>
      <c r="CM377" s="72" t="str">
        <f t="shared" si="2896"/>
        <v>-</v>
      </c>
      <c r="CN377" s="72">
        <f t="shared" si="2897"/>
        <v>254</v>
      </c>
      <c r="CO377" s="72">
        <f t="shared" si="2898"/>
        <v>260</v>
      </c>
      <c r="CP377" s="72">
        <f t="shared" si="2899"/>
        <v>298</v>
      </c>
      <c r="CQ377" s="72">
        <f t="shared" si="2900"/>
        <v>332</v>
      </c>
      <c r="CR377" s="72">
        <f t="shared" si="2901"/>
        <v>369</v>
      </c>
      <c r="CS377" s="72" t="str">
        <f t="shared" si="2902"/>
        <v>-</v>
      </c>
      <c r="CT377" s="23">
        <f t="shared" si="2903"/>
        <v>1</v>
      </c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</row>
    <row r="378" spans="1:1030" x14ac:dyDescent="0.2">
      <c r="A378" s="3" t="str">
        <f t="shared" si="1982"/>
        <v>glr_human__wt</v>
      </c>
      <c r="B378" s="3" t="s">
        <v>32</v>
      </c>
      <c r="C378" s="3" t="s">
        <v>100</v>
      </c>
      <c r="D378" s="3" t="str">
        <f>IFERROR(MID(VLOOKUP($B378,Seqs!$A:$B,2,0),E378,1),"")</f>
        <v>Q</v>
      </c>
      <c r="E378" s="105">
        <v>131</v>
      </c>
      <c r="F378" s="3" t="str">
        <f>IFERROR(MID(VLOOKUP($B378,Seqs!$A:$B,2,0),G378,1),"")</f>
        <v>L</v>
      </c>
      <c r="G378" s="3">
        <v>166</v>
      </c>
      <c r="H378" s="3" t="str">
        <f>IFERROR(MID(VLOOKUP($B378,Seqs!$A:$B,2,0),I378,1),"")</f>
        <v>S</v>
      </c>
      <c r="I378" s="23">
        <v>167</v>
      </c>
      <c r="J378" s="3" t="str">
        <f>IFERROR(MID(VLOOKUP($B378,Seqs!$A:$B,2,0),K378,1),"")</f>
        <v>H</v>
      </c>
      <c r="K378" s="23">
        <v>170</v>
      </c>
      <c r="L378" s="3" t="str">
        <f>IFERROR(MID(VLOOKUP($B378,Seqs!$A:$B,2,0),M378,1),"")</f>
        <v>C</v>
      </c>
      <c r="M378" s="23">
        <v>171</v>
      </c>
      <c r="N378" s="3" t="str">
        <f>IFERROR(MID(VLOOKUP($B378,Seqs!$A:$B,2,0),O378,1),"")</f>
        <v>S</v>
      </c>
      <c r="O378" s="105">
        <v>203</v>
      </c>
      <c r="P378" s="3" t="str">
        <f>IFERROR(MID(VLOOKUP($B378,Seqs!$A:$B,2,0),Q378,1),"")</f>
        <v/>
      </c>
      <c r="Q378" s="3" t="s">
        <v>23</v>
      </c>
      <c r="R378" s="3" t="str">
        <f>IFERROR(MID(VLOOKUP($B378,Seqs!$A:$B,2,0),S378,1),"")</f>
        <v/>
      </c>
      <c r="S378" s="3" t="s">
        <v>23</v>
      </c>
      <c r="T378" s="3" t="str">
        <f>IFERROR(MID(VLOOKUP($B378,Seqs!$A:$B,2,0),U378,1),"")</f>
        <v>A</v>
      </c>
      <c r="U378" s="3">
        <v>220</v>
      </c>
      <c r="V378" s="3" t="str">
        <f>IFERROR(MID(VLOOKUP($B378,Seqs!$A:$B,2,0),W378,1),"")</f>
        <v>L</v>
      </c>
      <c r="W378" s="3">
        <v>255</v>
      </c>
      <c r="X378" s="3" t="str">
        <f>IFERROR(MID(VLOOKUP($B378,Seqs!$A:$B,2,0),Y378,1),"")</f>
        <v/>
      </c>
      <c r="Y378" s="3" t="s">
        <v>23</v>
      </c>
      <c r="Z378" s="3" t="str">
        <f>IFERROR(MID(VLOOKUP($B378,Seqs!$A:$B,2,0),AA378,1),"")</f>
        <v/>
      </c>
      <c r="AA378" s="3" t="s">
        <v>23</v>
      </c>
      <c r="AB378" s="3" t="str">
        <f>IFERROR(MID(VLOOKUP($B378,Seqs!$A:$B,2,0),AC378,1),"")</f>
        <v>S</v>
      </c>
      <c r="AC378" s="9">
        <v>262</v>
      </c>
      <c r="AD378" s="3" t="str">
        <f>IFERROR(MID(VLOOKUP($B378,Seqs!$A:$B,2,0),AE378,1),"")</f>
        <v>E</v>
      </c>
      <c r="AE378" s="3">
        <v>290</v>
      </c>
      <c r="AF378" s="3" t="str">
        <f>IFERROR(MID(VLOOKUP($B378,Seqs!$A:$B,2,0),AG378,1),"")</f>
        <v>C</v>
      </c>
      <c r="AG378" s="3">
        <v>294</v>
      </c>
      <c r="AH378" s="3" t="str">
        <f>IFERROR(MID(VLOOKUP($B378,Seqs!$A:$B,2,0),AI378,1),"")</f>
        <v>T</v>
      </c>
      <c r="AI378" s="3">
        <v>296</v>
      </c>
      <c r="AJ378" s="3" t="str">
        <f>IFERROR(MID(VLOOKUP($B378,Seqs!$A:$B,2,0),AK378,1),"")</f>
        <v>D</v>
      </c>
      <c r="AK378" s="105">
        <v>299</v>
      </c>
      <c r="AL378" s="3" t="str">
        <f>IFERROR(MID(VLOOKUP($B378,Seqs!$A:$B,2,0),AM378,1),"")</f>
        <v>A</v>
      </c>
      <c r="AM378" s="3">
        <v>335</v>
      </c>
      <c r="AN378" s="3" t="str">
        <f>IFERROR(MID(VLOOKUP($B378,Seqs!$A:$B,2,0),AO378,1),"")</f>
        <v>D</v>
      </c>
      <c r="AO378" s="3">
        <v>342</v>
      </c>
      <c r="AP378" s="3" t="str">
        <f>IFERROR(MID(VLOOKUP($B378,Seqs!$A:$B,2,0),AQ378,1),"")</f>
        <v>F</v>
      </c>
      <c r="AQ378" s="3">
        <v>367</v>
      </c>
      <c r="AR378" s="3" t="str">
        <f>IFERROR(MID(VLOOKUP($B378,Seqs!$A:$B,2,0),AS378,1),"")</f>
        <v>Q</v>
      </c>
      <c r="AS378" s="3">
        <v>374</v>
      </c>
      <c r="AT378" s="3" t="str">
        <f>IFERROR(MID(VLOOKUP($B378,Seqs!$A:$B,2,0),AU378,1),"")</f>
        <v>L</v>
      </c>
      <c r="AU378" s="3">
        <v>403</v>
      </c>
      <c r="AV378" s="3" t="str">
        <f>IFERROR(MID(VLOOKUP($B378,Seqs!$A:$B,2,0),AW378,1),"")</f>
        <v>N</v>
      </c>
      <c r="AW378" s="3">
        <v>404</v>
      </c>
      <c r="AX378" s="3" t="str">
        <f>IFERROR(MID(VLOOKUP($B378,Seqs!$A:$B,2,0),AY378,1),"")</f>
        <v>N</v>
      </c>
      <c r="AY378" s="3">
        <v>429</v>
      </c>
      <c r="AZ378" s="77" t="str">
        <f>VLOOKUP(B378,Classification!A:D,2,0)</f>
        <v>B1</v>
      </c>
      <c r="BA378" s="94" t="str">
        <f>VLOOKUP(B378,Classification!A:D,4,0)</f>
        <v>Glucagonreceptorfamily</v>
      </c>
      <c r="BB378" s="27" t="b">
        <f t="shared" si="1983"/>
        <v>1</v>
      </c>
      <c r="BC378" s="23">
        <f t="shared" si="2878"/>
        <v>262</v>
      </c>
      <c r="BD378" s="56" t="s">
        <v>23</v>
      </c>
      <c r="BE378" s="3" t="s">
        <v>23</v>
      </c>
      <c r="BF378" s="118" t="s">
        <v>23</v>
      </c>
      <c r="BG378" s="49" t="s">
        <v>1372</v>
      </c>
      <c r="BH378" s="49" t="s">
        <v>1377</v>
      </c>
      <c r="BI378" s="1"/>
      <c r="BJ378" s="70" t="s">
        <v>1287</v>
      </c>
      <c r="BK378" s="57" t="s">
        <v>1287</v>
      </c>
      <c r="BL378" s="57" t="s">
        <v>1287</v>
      </c>
      <c r="BM378" s="57" t="s">
        <v>1287</v>
      </c>
      <c r="BN378" s="57" t="s">
        <v>1287</v>
      </c>
      <c r="BO378" s="57" t="s">
        <v>1287</v>
      </c>
      <c r="BP378" s="57" t="s">
        <v>1287</v>
      </c>
      <c r="BQ378" s="57" t="s">
        <v>1287</v>
      </c>
      <c r="BR378" s="57" t="s">
        <v>1287</v>
      </c>
      <c r="BS378" s="57" t="s">
        <v>1287</v>
      </c>
      <c r="BT378" s="57" t="s">
        <v>1287</v>
      </c>
      <c r="BU378" s="57" t="s">
        <v>1287</v>
      </c>
      <c r="BV378" s="70">
        <f t="shared" si="2879"/>
        <v>131</v>
      </c>
      <c r="BW378" s="71">
        <f t="shared" si="2880"/>
        <v>167</v>
      </c>
      <c r="BX378" s="72">
        <f t="shared" si="2881"/>
        <v>171</v>
      </c>
      <c r="BY378" s="71" t="str">
        <f t="shared" si="2882"/>
        <v>-</v>
      </c>
      <c r="BZ378" s="72">
        <f t="shared" si="2883"/>
        <v>220</v>
      </c>
      <c r="CA378" s="71" t="str">
        <f t="shared" si="2884"/>
        <v>-</v>
      </c>
      <c r="CB378" s="72">
        <f t="shared" si="2885"/>
        <v>262</v>
      </c>
      <c r="CC378" s="71">
        <f t="shared" si="2886"/>
        <v>294</v>
      </c>
      <c r="CD378" s="72">
        <f t="shared" si="2887"/>
        <v>299</v>
      </c>
      <c r="CE378" s="71">
        <f t="shared" si="2888"/>
        <v>342</v>
      </c>
      <c r="CF378" s="72">
        <f t="shared" si="2889"/>
        <v>374</v>
      </c>
      <c r="CG378" s="71">
        <f t="shared" si="2890"/>
        <v>404</v>
      </c>
      <c r="CH378" s="70">
        <f t="shared" si="2891"/>
        <v>166</v>
      </c>
      <c r="CI378" s="71">
        <f t="shared" si="2892"/>
        <v>170</v>
      </c>
      <c r="CJ378" s="72">
        <f t="shared" si="2893"/>
        <v>203</v>
      </c>
      <c r="CK378" s="72" t="str">
        <f t="shared" si="2894"/>
        <v>-</v>
      </c>
      <c r="CL378" s="72">
        <f t="shared" si="2895"/>
        <v>255</v>
      </c>
      <c r="CM378" s="72" t="str">
        <f t="shared" si="2896"/>
        <v>-</v>
      </c>
      <c r="CN378" s="72">
        <f t="shared" si="2897"/>
        <v>290</v>
      </c>
      <c r="CO378" s="72">
        <f t="shared" si="2898"/>
        <v>296</v>
      </c>
      <c r="CP378" s="72">
        <f t="shared" si="2899"/>
        <v>335</v>
      </c>
      <c r="CQ378" s="72">
        <f t="shared" si="2900"/>
        <v>367</v>
      </c>
      <c r="CR378" s="72">
        <f t="shared" si="2901"/>
        <v>403</v>
      </c>
      <c r="CS378" s="72">
        <f t="shared" si="2902"/>
        <v>429</v>
      </c>
      <c r="CT378" s="23">
        <f t="shared" si="2903"/>
        <v>1</v>
      </c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</row>
    <row r="379" spans="1:1030" x14ac:dyDescent="0.2">
      <c r="A379" s="3" t="str">
        <f t="shared" si="1982"/>
        <v>glr_human_4L6R</v>
      </c>
      <c r="B379" s="3" t="s">
        <v>32</v>
      </c>
      <c r="C379" s="3" t="s">
        <v>51</v>
      </c>
      <c r="D379" s="3" t="str">
        <f>IFERROR(MID(VLOOKUP($B379,Seqs!$A:$B,2,0),E379,1),"")</f>
        <v>G</v>
      </c>
      <c r="E379" s="3">
        <v>125</v>
      </c>
      <c r="F379" s="3" t="str">
        <f>IFERROR(MID(VLOOKUP($B379,Seqs!$A:$B,2,0),G379,1),"")</f>
        <v>G</v>
      </c>
      <c r="G379" s="3">
        <v>164</v>
      </c>
      <c r="H379" s="3" t="str">
        <f>IFERROR(MID(VLOOKUP($B379,Seqs!$A:$B,2,0),I379,1),"")</f>
        <v>S</v>
      </c>
      <c r="I379" s="23">
        <v>167</v>
      </c>
      <c r="J379" s="3" t="str">
        <f>IFERROR(MID(VLOOKUP($B379,Seqs!$A:$B,2,0),K379,1),"")</f>
        <v>H</v>
      </c>
      <c r="K379" s="23">
        <v>170</v>
      </c>
      <c r="L379" s="3" t="str">
        <f>IFERROR(MID(VLOOKUP($B379,Seqs!$A:$B,2,0),M379,1),"")</f>
        <v>C</v>
      </c>
      <c r="M379" s="23">
        <v>171</v>
      </c>
      <c r="N379" s="3" t="str">
        <f>IFERROR(MID(VLOOKUP($B379,Seqs!$A:$B,2,0),O379,1),"")</f>
        <v>R</v>
      </c>
      <c r="O379" s="3">
        <v>199</v>
      </c>
      <c r="P379" s="3" t="str">
        <f>IFERROR(MID(VLOOKUP($B379,Seqs!$A:$B,2,0),Q379,1),"")</f>
        <v/>
      </c>
      <c r="Q379" s="3" t="s">
        <v>23</v>
      </c>
      <c r="R379" s="3" t="str">
        <f>IFERROR(MID(VLOOKUP($B379,Seqs!$A:$B,2,0),S379,1),"")</f>
        <v/>
      </c>
      <c r="S379" s="3" t="s">
        <v>23</v>
      </c>
      <c r="T379" s="3" t="str">
        <f>IFERROR(MID(VLOOKUP($B379,Seqs!$A:$B,2,0),U379,1),"")</f>
        <v>S</v>
      </c>
      <c r="U379" s="3">
        <v>217</v>
      </c>
      <c r="V379" s="3" t="str">
        <f>IFERROR(MID(VLOOKUP($B379,Seqs!$A:$B,2,0),W379,1),"")</f>
        <v>L</v>
      </c>
      <c r="W379" s="3">
        <v>255</v>
      </c>
      <c r="X379" s="3" t="str">
        <f>IFERROR(MID(VLOOKUP($B379,Seqs!$A:$B,2,0),Y379,1),"")</f>
        <v/>
      </c>
      <c r="Y379" s="3" t="s">
        <v>23</v>
      </c>
      <c r="Z379" s="3" t="str">
        <f>IFERROR(MID(VLOOKUP($B379,Seqs!$A:$B,2,0),AA379,1),"")</f>
        <v/>
      </c>
      <c r="AA379" s="3" t="s">
        <v>23</v>
      </c>
      <c r="AB379" s="3" t="str">
        <f>IFERROR(MID(VLOOKUP($B379,Seqs!$A:$B,2,0),AC379,1),"")</f>
        <v>A</v>
      </c>
      <c r="AC379" s="9">
        <v>274</v>
      </c>
      <c r="AD379" s="3" t="str">
        <f>IFERROR(MID(VLOOKUP($B379,Seqs!$A:$B,2,0),AE379,1),"")</f>
        <v>E</v>
      </c>
      <c r="AE379" s="3">
        <v>290</v>
      </c>
      <c r="AF379" s="3" t="str">
        <f>IFERROR(MID(VLOOKUP($B379,Seqs!$A:$B,2,0),AG379,1),"")</f>
        <v>C</v>
      </c>
      <c r="AG379" s="3">
        <v>294</v>
      </c>
      <c r="AH379" s="3" t="str">
        <f>IFERROR(MID(VLOOKUP($B379,Seqs!$A:$B,2,0),AI379,1),"")</f>
        <v>T</v>
      </c>
      <c r="AI379" s="3">
        <v>296</v>
      </c>
      <c r="AJ379" s="3" t="str">
        <f>IFERROR(MID(VLOOKUP($B379,Seqs!$A:$B,2,0),AK379,1),"")</f>
        <v>N</v>
      </c>
      <c r="AK379" s="3">
        <v>300</v>
      </c>
      <c r="AL379" s="3" t="str">
        <f>IFERROR(MID(VLOOKUP($B379,Seqs!$A:$B,2,0),AM379,1),"")</f>
        <v>A</v>
      </c>
      <c r="AM379" s="3">
        <v>335</v>
      </c>
      <c r="AN379" s="3" t="str">
        <f>IFERROR(MID(VLOOKUP($B379,Seqs!$A:$B,2,0),AO379,1),"")</f>
        <v>D</v>
      </c>
      <c r="AO379" s="3">
        <v>342</v>
      </c>
      <c r="AP379" s="3" t="str">
        <f>IFERROR(MID(VLOOKUP($B379,Seqs!$A:$B,2,0),AQ379,1),"")</f>
        <v>F</v>
      </c>
      <c r="AQ379" s="3">
        <v>367</v>
      </c>
      <c r="AR379" s="3" t="str">
        <f>IFERROR(MID(VLOOKUP($B379,Seqs!$A:$B,2,0),AS379,1),"")</f>
        <v>Q</v>
      </c>
      <c r="AS379" s="3">
        <v>374</v>
      </c>
      <c r="AT379" s="3" t="str">
        <f>IFERROR(MID(VLOOKUP($B379,Seqs!$A:$B,2,0),AU379,1),"")</f>
        <v>L</v>
      </c>
      <c r="AU379" s="3">
        <v>403</v>
      </c>
      <c r="AV379" s="3" t="str">
        <f>IFERROR(MID(VLOOKUP($B379,Seqs!$A:$B,2,0),AW379,1),"")</f>
        <v>N</v>
      </c>
      <c r="AW379" s="3">
        <v>404</v>
      </c>
      <c r="AX379" s="3" t="str">
        <f>IFERROR(MID(VLOOKUP($B379,Seqs!$A:$B,2,0),AY379,1),"")</f>
        <v>N</v>
      </c>
      <c r="AY379" s="3">
        <v>429</v>
      </c>
      <c r="AZ379" s="77" t="str">
        <f>VLOOKUP(B379,Classification!A:D,2,0)</f>
        <v>B1</v>
      </c>
      <c r="BA379" s="94" t="str">
        <f>VLOOKUP(B379,Classification!A:D,4,0)</f>
        <v>Glucagonreceptorfamily</v>
      </c>
      <c r="BB379" s="27" t="b">
        <f t="shared" si="1983"/>
        <v>1</v>
      </c>
      <c r="BC379" s="23">
        <f t="shared" si="2878"/>
        <v>252</v>
      </c>
      <c r="BD379" s="2" t="s">
        <v>23</v>
      </c>
      <c r="BE379" s="3" t="s">
        <v>1374</v>
      </c>
      <c r="BF379" s="118">
        <v>3.3</v>
      </c>
      <c r="BG379" s="49" t="s">
        <v>1377</v>
      </c>
      <c r="BH379" s="49" t="s">
        <v>1377</v>
      </c>
      <c r="BI379" s="1"/>
      <c r="BJ379" s="70" t="s">
        <v>1287</v>
      </c>
      <c r="BK379" s="57" t="s">
        <v>1287</v>
      </c>
      <c r="BL379" s="57" t="s">
        <v>1287</v>
      </c>
      <c r="BM379" s="57" t="s">
        <v>1287</v>
      </c>
      <c r="BN379" s="57" t="s">
        <v>1287</v>
      </c>
      <c r="BO379" s="57" t="s">
        <v>1287</v>
      </c>
      <c r="BP379" s="57" t="s">
        <v>1287</v>
      </c>
      <c r="BQ379" s="57" t="s">
        <v>1287</v>
      </c>
      <c r="BR379" s="57" t="s">
        <v>1287</v>
      </c>
      <c r="BS379" s="57" t="s">
        <v>1287</v>
      </c>
      <c r="BT379" s="57" t="s">
        <v>1287</v>
      </c>
      <c r="BU379" s="57" t="s">
        <v>1287</v>
      </c>
      <c r="BV379" s="70">
        <f t="shared" si="2879"/>
        <v>125</v>
      </c>
      <c r="BW379" s="71">
        <f t="shared" si="2880"/>
        <v>167</v>
      </c>
      <c r="BX379" s="72">
        <f t="shared" si="2881"/>
        <v>171</v>
      </c>
      <c r="BY379" s="71" t="str">
        <f t="shared" si="2882"/>
        <v>-</v>
      </c>
      <c r="BZ379" s="72">
        <f t="shared" si="2883"/>
        <v>217</v>
      </c>
      <c r="CA379" s="71" t="str">
        <f t="shared" si="2884"/>
        <v>-</v>
      </c>
      <c r="CB379" s="72">
        <f t="shared" si="2885"/>
        <v>274</v>
      </c>
      <c r="CC379" s="71">
        <f t="shared" si="2886"/>
        <v>294</v>
      </c>
      <c r="CD379" s="72">
        <f t="shared" si="2887"/>
        <v>300</v>
      </c>
      <c r="CE379" s="71">
        <f t="shared" si="2888"/>
        <v>342</v>
      </c>
      <c r="CF379" s="72">
        <f t="shared" si="2889"/>
        <v>374</v>
      </c>
      <c r="CG379" s="71">
        <f t="shared" si="2890"/>
        <v>404</v>
      </c>
      <c r="CH379" s="70">
        <f t="shared" si="2891"/>
        <v>164</v>
      </c>
      <c r="CI379" s="71">
        <f t="shared" si="2892"/>
        <v>170</v>
      </c>
      <c r="CJ379" s="72">
        <f t="shared" si="2893"/>
        <v>199</v>
      </c>
      <c r="CK379" s="72" t="str">
        <f t="shared" si="2894"/>
        <v>-</v>
      </c>
      <c r="CL379" s="72">
        <f t="shared" si="2895"/>
        <v>255</v>
      </c>
      <c r="CM379" s="72" t="str">
        <f t="shared" si="2896"/>
        <v>-</v>
      </c>
      <c r="CN379" s="72">
        <f t="shared" si="2897"/>
        <v>290</v>
      </c>
      <c r="CO379" s="72">
        <f t="shared" si="2898"/>
        <v>296</v>
      </c>
      <c r="CP379" s="72">
        <f t="shared" si="2899"/>
        <v>335</v>
      </c>
      <c r="CQ379" s="72">
        <f t="shared" si="2900"/>
        <v>367</v>
      </c>
      <c r="CR379" s="72">
        <f t="shared" si="2901"/>
        <v>403</v>
      </c>
      <c r="CS379" s="72">
        <f t="shared" si="2902"/>
        <v>429</v>
      </c>
      <c r="CT379" s="23">
        <f t="shared" si="2903"/>
        <v>1</v>
      </c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</row>
    <row r="380" spans="1:1030" x14ac:dyDescent="0.2">
      <c r="A380" s="3" t="str">
        <f t="shared" si="1982"/>
        <v>glr_human_4L6R_dist</v>
      </c>
      <c r="B380" s="3" t="s">
        <v>32</v>
      </c>
      <c r="C380" s="3" t="s">
        <v>1276</v>
      </c>
      <c r="D380" s="3" t="str">
        <f>IFERROR(MID(VLOOKUP($B380,Seqs!$A:$B,2,0),E380,1),"")</f>
        <v>G</v>
      </c>
      <c r="E380" s="3">
        <v>125</v>
      </c>
      <c r="F380" s="3" t="str">
        <f>IFERROR(MID(VLOOKUP($B380,Seqs!$A:$B,2,0),G380,1),"")</f>
        <v>G</v>
      </c>
      <c r="G380" s="3">
        <v>164</v>
      </c>
      <c r="H380" s="3" t="str">
        <f>IFERROR(MID(VLOOKUP($B380,Seqs!$A:$B,2,0),I380,1),"")</f>
        <v>S</v>
      </c>
      <c r="I380" s="23">
        <v>167</v>
      </c>
      <c r="J380" s="3" t="str">
        <f>IFERROR(MID(VLOOKUP($B380,Seqs!$A:$B,2,0),K380,1),"")</f>
        <v>H</v>
      </c>
      <c r="K380" s="23">
        <v>170</v>
      </c>
      <c r="L380" s="3" t="str">
        <f>IFERROR(MID(VLOOKUP($B380,Seqs!$A:$B,2,0),M380,1),"")</f>
        <v>C</v>
      </c>
      <c r="M380" s="23">
        <v>171</v>
      </c>
      <c r="N380" s="3" t="str">
        <f>IFERROR(MID(VLOOKUP($B380,Seqs!$A:$B,2,0),O380,1),"")</f>
        <v>R</v>
      </c>
      <c r="O380" s="3">
        <v>199</v>
      </c>
      <c r="P380" s="3" t="str">
        <f>IFERROR(MID(VLOOKUP($B380,Seqs!$A:$B,2,0),Q380,1),"")</f>
        <v/>
      </c>
      <c r="Q380" s="3" t="s">
        <v>23</v>
      </c>
      <c r="R380" s="3" t="str">
        <f>IFERROR(MID(VLOOKUP($B380,Seqs!$A:$B,2,0),S380,1),"")</f>
        <v/>
      </c>
      <c r="S380" s="3" t="s">
        <v>23</v>
      </c>
      <c r="T380" s="3" t="str">
        <f>IFERROR(MID(VLOOKUP($B380,Seqs!$A:$B,2,0),U380,1),"")</f>
        <v>S</v>
      </c>
      <c r="U380" s="3">
        <v>217</v>
      </c>
      <c r="V380" s="3" t="str">
        <f>IFERROR(MID(VLOOKUP($B380,Seqs!$A:$B,2,0),W380,1),"")</f>
        <v>L</v>
      </c>
      <c r="W380" s="3">
        <v>255</v>
      </c>
      <c r="X380" s="3" t="str">
        <f>IFERROR(MID(VLOOKUP($B380,Seqs!$A:$B,2,0),Y380,1),"")</f>
        <v/>
      </c>
      <c r="Y380" s="3" t="s">
        <v>23</v>
      </c>
      <c r="Z380" s="3" t="str">
        <f>IFERROR(MID(VLOOKUP($B380,Seqs!$A:$B,2,0),AA380,1),"")</f>
        <v/>
      </c>
      <c r="AA380" s="3" t="s">
        <v>23</v>
      </c>
      <c r="AB380" s="3" t="str">
        <f>IFERROR(MID(VLOOKUP($B380,Seqs!$A:$B,2,0),AC380,1),"")</f>
        <v>S</v>
      </c>
      <c r="AC380" s="9">
        <v>262</v>
      </c>
      <c r="AD380" s="3" t="str">
        <f>IFERROR(MID(VLOOKUP($B380,Seqs!$A:$B,2,0),AE380,1),"")</f>
        <v>E</v>
      </c>
      <c r="AE380" s="3">
        <v>290</v>
      </c>
      <c r="AF380" s="3" t="str">
        <f>IFERROR(MID(VLOOKUP($B380,Seqs!$A:$B,2,0),AG380,1),"")</f>
        <v>C</v>
      </c>
      <c r="AG380" s="3">
        <v>294</v>
      </c>
      <c r="AH380" s="3" t="str">
        <f>IFERROR(MID(VLOOKUP($B380,Seqs!$A:$B,2,0),AI380,1),"")</f>
        <v>T</v>
      </c>
      <c r="AI380" s="3">
        <v>296</v>
      </c>
      <c r="AJ380" s="3" t="str">
        <f>IFERROR(MID(VLOOKUP($B380,Seqs!$A:$B,2,0),AK380,1),"")</f>
        <v>N</v>
      </c>
      <c r="AK380" s="3">
        <v>300</v>
      </c>
      <c r="AL380" s="3" t="str">
        <f>IFERROR(MID(VLOOKUP($B380,Seqs!$A:$B,2,0),AM380,1),"")</f>
        <v>A</v>
      </c>
      <c r="AM380" s="3">
        <v>335</v>
      </c>
      <c r="AN380" s="3" t="str">
        <f>IFERROR(MID(VLOOKUP($B380,Seqs!$A:$B,2,0),AO380,1),"")</f>
        <v>D</v>
      </c>
      <c r="AO380" s="3">
        <v>342</v>
      </c>
      <c r="AP380" s="3" t="str">
        <f>IFERROR(MID(VLOOKUP($B380,Seqs!$A:$B,2,0),AQ380,1),"")</f>
        <v>F</v>
      </c>
      <c r="AQ380" s="3">
        <v>367</v>
      </c>
      <c r="AR380" s="3" t="str">
        <f>IFERROR(MID(VLOOKUP($B380,Seqs!$A:$B,2,0),AS380,1),"")</f>
        <v>Q</v>
      </c>
      <c r="AS380" s="3">
        <v>374</v>
      </c>
      <c r="AT380" s="3" t="str">
        <f>IFERROR(MID(VLOOKUP($B380,Seqs!$A:$B,2,0),AU380,1),"")</f>
        <v>L</v>
      </c>
      <c r="AU380" s="3">
        <v>403</v>
      </c>
      <c r="AV380" s="3" t="str">
        <f>IFERROR(MID(VLOOKUP($B380,Seqs!$A:$B,2,0),AW380,1),"")</f>
        <v>N</v>
      </c>
      <c r="AW380" s="3">
        <v>404</v>
      </c>
      <c r="AX380" s="3" t="str">
        <f>IFERROR(MID(VLOOKUP($B380,Seqs!$A:$B,2,0),AY380,1),"")</f>
        <v>N</v>
      </c>
      <c r="AY380" s="3">
        <v>429</v>
      </c>
      <c r="AZ380" s="77" t="str">
        <f>VLOOKUP(B380,Classification!A:D,2,0)</f>
        <v>B1</v>
      </c>
      <c r="BA380" s="94" t="str">
        <f>VLOOKUP(B380,Classification!A:D,4,0)</f>
        <v>Glucagonreceptorfamily</v>
      </c>
      <c r="BB380" s="27" t="b">
        <f t="shared" si="1983"/>
        <v>1</v>
      </c>
      <c r="BC380" s="23">
        <f t="shared" si="2878"/>
        <v>264</v>
      </c>
      <c r="BD380" s="56" t="s">
        <v>23</v>
      </c>
      <c r="BE380" s="3" t="s">
        <v>1374</v>
      </c>
      <c r="BF380" s="118">
        <v>3.3</v>
      </c>
      <c r="BG380" s="49" t="s">
        <v>1377</v>
      </c>
      <c r="BH380" s="49" t="s">
        <v>1377</v>
      </c>
      <c r="BI380" s="1"/>
      <c r="BJ380" s="70" t="s">
        <v>1287</v>
      </c>
      <c r="BK380" s="57" t="s">
        <v>1287</v>
      </c>
      <c r="BL380" s="57" t="s">
        <v>1287</v>
      </c>
      <c r="BM380" s="57" t="s">
        <v>1287</v>
      </c>
      <c r="BN380" s="57" t="s">
        <v>1287</v>
      </c>
      <c r="BO380" s="57" t="s">
        <v>1287</v>
      </c>
      <c r="BP380" s="57" t="s">
        <v>1287</v>
      </c>
      <c r="BQ380" s="57" t="s">
        <v>1287</v>
      </c>
      <c r="BR380" s="57" t="s">
        <v>1287</v>
      </c>
      <c r="BS380" s="57" t="s">
        <v>1287</v>
      </c>
      <c r="BT380" s="57" t="s">
        <v>1287</v>
      </c>
      <c r="BU380" s="57" t="s">
        <v>1287</v>
      </c>
      <c r="BV380" s="70">
        <f t="shared" si="2879"/>
        <v>125</v>
      </c>
      <c r="BW380" s="71">
        <f t="shared" si="2880"/>
        <v>167</v>
      </c>
      <c r="BX380" s="72">
        <f t="shared" si="2881"/>
        <v>171</v>
      </c>
      <c r="BY380" s="71" t="str">
        <f t="shared" si="2882"/>
        <v>-</v>
      </c>
      <c r="BZ380" s="72">
        <f t="shared" si="2883"/>
        <v>217</v>
      </c>
      <c r="CA380" s="71" t="str">
        <f t="shared" si="2884"/>
        <v>-</v>
      </c>
      <c r="CB380" s="72">
        <f t="shared" si="2885"/>
        <v>262</v>
      </c>
      <c r="CC380" s="71">
        <f t="shared" si="2886"/>
        <v>294</v>
      </c>
      <c r="CD380" s="72">
        <f t="shared" si="2887"/>
        <v>300</v>
      </c>
      <c r="CE380" s="71">
        <f t="shared" si="2888"/>
        <v>342</v>
      </c>
      <c r="CF380" s="72">
        <f t="shared" si="2889"/>
        <v>374</v>
      </c>
      <c r="CG380" s="71">
        <f t="shared" si="2890"/>
        <v>404</v>
      </c>
      <c r="CH380" s="70">
        <f t="shared" si="2891"/>
        <v>164</v>
      </c>
      <c r="CI380" s="71">
        <f t="shared" si="2892"/>
        <v>170</v>
      </c>
      <c r="CJ380" s="72">
        <f t="shared" si="2893"/>
        <v>199</v>
      </c>
      <c r="CK380" s="72" t="str">
        <f t="shared" si="2894"/>
        <v>-</v>
      </c>
      <c r="CL380" s="72">
        <f t="shared" si="2895"/>
        <v>255</v>
      </c>
      <c r="CM380" s="72" t="str">
        <f t="shared" si="2896"/>
        <v>-</v>
      </c>
      <c r="CN380" s="72">
        <f t="shared" si="2897"/>
        <v>290</v>
      </c>
      <c r="CO380" s="72">
        <f t="shared" si="2898"/>
        <v>296</v>
      </c>
      <c r="CP380" s="72">
        <f t="shared" si="2899"/>
        <v>335</v>
      </c>
      <c r="CQ380" s="72">
        <f t="shared" si="2900"/>
        <v>367</v>
      </c>
      <c r="CR380" s="72">
        <f t="shared" si="2901"/>
        <v>403</v>
      </c>
      <c r="CS380" s="72">
        <f t="shared" si="2902"/>
        <v>429</v>
      </c>
      <c r="CT380" s="23">
        <f t="shared" si="2903"/>
        <v>1</v>
      </c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</row>
    <row r="381" spans="1:1030" x14ac:dyDescent="0.2">
      <c r="A381" s="3" t="str">
        <f t="shared" ref="A381:A419" si="2904">CONCATENATE(B381,"_",C381)</f>
        <v>glr_human_5EE7</v>
      </c>
      <c r="B381" s="3" t="s">
        <v>32</v>
      </c>
      <c r="C381" s="3" t="s">
        <v>49</v>
      </c>
      <c r="D381" s="3" t="str">
        <f>IFERROR(MID(VLOOKUP($B381,Seqs!$A:$B,2,0),E381,1),"")</f>
        <v>Y</v>
      </c>
      <c r="E381" s="3">
        <v>138</v>
      </c>
      <c r="F381" s="3" t="str">
        <f>IFERROR(MID(VLOOKUP($B381,Seqs!$A:$B,2,0),G381,1),"")</f>
        <v>L</v>
      </c>
      <c r="G381" s="3">
        <v>166</v>
      </c>
      <c r="H381" s="3" t="str">
        <f>IFERROR(MID(VLOOKUP($B381,Seqs!$A:$B,2,0),I381,1),"")</f>
        <v>S</v>
      </c>
      <c r="I381" s="23">
        <v>167</v>
      </c>
      <c r="J381" s="3" t="str">
        <f>IFERROR(MID(VLOOKUP($B381,Seqs!$A:$B,2,0),K381,1),"")</f>
        <v>H</v>
      </c>
      <c r="K381" s="23">
        <v>170</v>
      </c>
      <c r="L381" s="3" t="str">
        <f>IFERROR(MID(VLOOKUP($B381,Seqs!$A:$B,2,0),M381,1),"")</f>
        <v>C</v>
      </c>
      <c r="M381" s="23">
        <v>171</v>
      </c>
      <c r="N381" s="3" t="str">
        <f>IFERROR(MID(VLOOKUP($B381,Seqs!$A:$B,2,0),O381,1),"")</f>
        <v>R</v>
      </c>
      <c r="O381" s="3">
        <v>199</v>
      </c>
      <c r="P381" s="3" t="str">
        <f>IFERROR(MID(VLOOKUP($B381,Seqs!$A:$B,2,0),Q381,1),"")</f>
        <v/>
      </c>
      <c r="Q381" s="3" t="s">
        <v>23</v>
      </c>
      <c r="R381" s="3" t="str">
        <f>IFERROR(MID(VLOOKUP($B381,Seqs!$A:$B,2,0),S381,1),"")</f>
        <v/>
      </c>
      <c r="S381" s="3" t="s">
        <v>23</v>
      </c>
      <c r="T381" s="3" t="str">
        <f>IFERROR(MID(VLOOKUP($B381,Seqs!$A:$B,2,0),U381,1),"")</f>
        <v>D</v>
      </c>
      <c r="U381" s="3">
        <v>218</v>
      </c>
      <c r="V381" s="3" t="str">
        <f>IFERROR(MID(VLOOKUP($B381,Seqs!$A:$B,2,0),W381,1),"")</f>
        <v>G</v>
      </c>
      <c r="W381" s="3">
        <v>254</v>
      </c>
      <c r="X381" s="3" t="str">
        <f>IFERROR(MID(VLOOKUP($B381,Seqs!$A:$B,2,0),Y381,1),"")</f>
        <v/>
      </c>
      <c r="Y381" s="3" t="s">
        <v>23</v>
      </c>
      <c r="Z381" s="3" t="str">
        <f>IFERROR(MID(VLOOKUP($B381,Seqs!$A:$B,2,0),AA381,1),"")</f>
        <v/>
      </c>
      <c r="AA381" s="3" t="s">
        <v>23</v>
      </c>
      <c r="AB381" s="3" t="str">
        <f>IFERROR(MID(VLOOKUP($B381,Seqs!$A:$B,2,0),AC381,1),"")</f>
        <v>S</v>
      </c>
      <c r="AC381" s="9">
        <v>262</v>
      </c>
      <c r="AD381" s="3" t="str">
        <f>IFERROR(MID(VLOOKUP($B381,Seqs!$A:$B,2,0),AE381,1),"")</f>
        <v>E</v>
      </c>
      <c r="AE381" s="3">
        <v>290</v>
      </c>
      <c r="AF381" s="3" t="str">
        <f>IFERROR(MID(VLOOKUP($B381,Seqs!$A:$B,2,0),AG381,1),"")</f>
        <v>C</v>
      </c>
      <c r="AG381" s="3">
        <v>294</v>
      </c>
      <c r="AH381" s="3" t="str">
        <f>IFERROR(MID(VLOOKUP($B381,Seqs!$A:$B,2,0),AI381,1),"")</f>
        <v>T</v>
      </c>
      <c r="AI381" s="3">
        <v>296</v>
      </c>
      <c r="AJ381" s="3" t="str">
        <f>IFERROR(MID(VLOOKUP($B381,Seqs!$A:$B,2,0),AK381,1),"")</f>
        <v>R</v>
      </c>
      <c r="AK381" s="105">
        <v>308</v>
      </c>
      <c r="AL381" s="3" t="str">
        <f>IFERROR(MID(VLOOKUP($B381,Seqs!$A:$B,2,0),AM381,1),"")</f>
        <v>A</v>
      </c>
      <c r="AM381" s="3">
        <v>335</v>
      </c>
      <c r="AN381" s="3" t="str">
        <f>IFERROR(MID(VLOOKUP($B381,Seqs!$A:$B,2,0),AO381,1),"")</f>
        <v>D</v>
      </c>
      <c r="AO381" s="3">
        <v>342</v>
      </c>
      <c r="AP381" s="3" t="str">
        <f>IFERROR(MID(VLOOKUP($B381,Seqs!$A:$B,2,0),AQ381,1),"")</f>
        <v>D</v>
      </c>
      <c r="AQ381" s="3">
        <v>370</v>
      </c>
      <c r="AR381" s="3" t="str">
        <f>IFERROR(MID(VLOOKUP($B381,Seqs!$A:$B,2,0),AS381,1),"")</f>
        <v>S</v>
      </c>
      <c r="AS381" s="3">
        <v>379</v>
      </c>
      <c r="AT381" s="3" t="str">
        <f>IFERROR(MID(VLOOKUP($B381,Seqs!$A:$B,2,0),AU381,1),"")</f>
        <v>F</v>
      </c>
      <c r="AU381" s="3">
        <v>402</v>
      </c>
      <c r="AV381" s="3" t="str">
        <f>IFERROR(MID(VLOOKUP($B381,Seqs!$A:$B,2,0),AW381,1),"")</f>
        <v>N</v>
      </c>
      <c r="AW381" s="3">
        <v>404</v>
      </c>
      <c r="AX381" s="3" t="str">
        <f>IFERROR(MID(VLOOKUP($B381,Seqs!$A:$B,2,0),AY381,1),"")</f>
        <v>R</v>
      </c>
      <c r="AY381" s="3">
        <v>417</v>
      </c>
      <c r="AZ381" s="77" t="str">
        <f>VLOOKUP(B381,Classification!A:D,2,0)</f>
        <v>B1</v>
      </c>
      <c r="BA381" s="94" t="str">
        <f>VLOOKUP(B381,Classification!A:D,4,0)</f>
        <v>Glucagonreceptorfamily</v>
      </c>
      <c r="BB381" s="27" t="b">
        <f t="shared" ref="BB381:BB419" si="2905">AND(E381&lt;G381,OR(G381&lt;I381,I381="-"),OR(I381&lt;K381,I381="-"),OR(K381&lt;M381,K381="-"),M381&lt;O381,OR(O381&lt;Q381,Q381="-"),OR(Q381&lt;S381,Q381="-"),OR(S381&lt;U381,S381="-"),U381&lt;W381,OR(W381&lt;Y381,Y381="-"),OR(Y381&lt;AA381,Y381="-"),OR(AA381&lt;AC381,AA381="-"),AC381&lt;AE381,OR(AE381&lt;AG381,AG381="-"),OR(AG381&lt;AI381,AG381="-"),OR(AI381&lt;AK381,AI381="-"),AK381&lt;AM381,AM381&lt;AO381,AO381&lt;AQ381,AQ381&lt;AS381,AS381&lt;AU381,OR(AU381&lt;AW381,AW381="-"),OR(AW381&lt;AY381,AW381="-"))</f>
        <v>1</v>
      </c>
      <c r="BC381" s="23">
        <f t="shared" si="2878"/>
        <v>228</v>
      </c>
      <c r="BD381" s="4" t="s">
        <v>23</v>
      </c>
      <c r="BE381" s="3" t="s">
        <v>1374</v>
      </c>
      <c r="BF381" s="118">
        <v>2.5</v>
      </c>
      <c r="BG381" s="49" t="s">
        <v>1377</v>
      </c>
      <c r="BH381" s="49" t="s">
        <v>1377</v>
      </c>
      <c r="BI381" s="1"/>
      <c r="BJ381" s="70" t="s">
        <v>1287</v>
      </c>
      <c r="BK381" s="57" t="s">
        <v>1287</v>
      </c>
      <c r="BL381" s="57" t="s">
        <v>1287</v>
      </c>
      <c r="BM381" s="57" t="s">
        <v>1287</v>
      </c>
      <c r="BN381" s="57" t="s">
        <v>1287</v>
      </c>
      <c r="BO381" s="57" t="s">
        <v>1287</v>
      </c>
      <c r="BP381" s="57" t="s">
        <v>1287</v>
      </c>
      <c r="BQ381" s="57" t="s">
        <v>1287</v>
      </c>
      <c r="BR381" s="57" t="s">
        <v>1287</v>
      </c>
      <c r="BS381" s="57" t="s">
        <v>1287</v>
      </c>
      <c r="BT381" s="57" t="s">
        <v>1287</v>
      </c>
      <c r="BU381" s="57" t="s">
        <v>1287</v>
      </c>
      <c r="BV381" s="70">
        <f t="shared" si="2879"/>
        <v>138</v>
      </c>
      <c r="BW381" s="71">
        <f t="shared" si="2880"/>
        <v>167</v>
      </c>
      <c r="BX381" s="72">
        <f t="shared" si="2881"/>
        <v>171</v>
      </c>
      <c r="BY381" s="71" t="str">
        <f t="shared" si="2882"/>
        <v>-</v>
      </c>
      <c r="BZ381" s="72">
        <f t="shared" si="2883"/>
        <v>218</v>
      </c>
      <c r="CA381" s="71" t="str">
        <f t="shared" si="2884"/>
        <v>-</v>
      </c>
      <c r="CB381" s="72">
        <f t="shared" si="2885"/>
        <v>262</v>
      </c>
      <c r="CC381" s="71">
        <f t="shared" si="2886"/>
        <v>294</v>
      </c>
      <c r="CD381" s="72">
        <f t="shared" si="2887"/>
        <v>308</v>
      </c>
      <c r="CE381" s="71">
        <f t="shared" si="2888"/>
        <v>342</v>
      </c>
      <c r="CF381" s="72">
        <f t="shared" si="2889"/>
        <v>379</v>
      </c>
      <c r="CG381" s="71">
        <f t="shared" si="2890"/>
        <v>404</v>
      </c>
      <c r="CH381" s="70">
        <f t="shared" si="2891"/>
        <v>166</v>
      </c>
      <c r="CI381" s="71">
        <f t="shared" si="2892"/>
        <v>170</v>
      </c>
      <c r="CJ381" s="72">
        <f t="shared" si="2893"/>
        <v>199</v>
      </c>
      <c r="CK381" s="72" t="str">
        <f t="shared" si="2894"/>
        <v>-</v>
      </c>
      <c r="CL381" s="72">
        <f t="shared" si="2895"/>
        <v>254</v>
      </c>
      <c r="CM381" s="72" t="str">
        <f t="shared" si="2896"/>
        <v>-</v>
      </c>
      <c r="CN381" s="72">
        <f t="shared" si="2897"/>
        <v>290</v>
      </c>
      <c r="CO381" s="72">
        <f t="shared" si="2898"/>
        <v>296</v>
      </c>
      <c r="CP381" s="72">
        <f t="shared" si="2899"/>
        <v>335</v>
      </c>
      <c r="CQ381" s="72">
        <f t="shared" si="2900"/>
        <v>370</v>
      </c>
      <c r="CR381" s="72">
        <f t="shared" si="2901"/>
        <v>402</v>
      </c>
      <c r="CS381" s="72">
        <f t="shared" si="2902"/>
        <v>417</v>
      </c>
      <c r="CT381" s="23">
        <f t="shared" si="2903"/>
        <v>1</v>
      </c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</row>
    <row r="382" spans="1:1030" x14ac:dyDescent="0.2">
      <c r="A382" s="3" t="str">
        <f t="shared" ref="A382:A394" si="2906">CONCATENATE(B382,"_",C382)</f>
        <v>glr_human_5XEZ</v>
      </c>
      <c r="B382" s="3" t="s">
        <v>32</v>
      </c>
      <c r="C382" s="3" t="s">
        <v>1409</v>
      </c>
      <c r="D382" s="3" t="str">
        <f>IFERROR(MID(VLOOKUP($B382,Seqs!$A:$B,2,0),E382,1),"")</f>
        <v>Q</v>
      </c>
      <c r="E382" s="3">
        <v>131</v>
      </c>
      <c r="F382" s="3" t="str">
        <f>IFERROR(MID(VLOOKUP($B382,Seqs!$A:$B,2,0),G382,1),"")</f>
        <v>G</v>
      </c>
      <c r="G382" s="3">
        <v>164</v>
      </c>
      <c r="H382" s="3" t="str">
        <f>IFERROR(MID(VLOOKUP($B382,Seqs!$A:$B,2,0),I382,1),"")</f>
        <v>S</v>
      </c>
      <c r="I382" s="23">
        <v>167</v>
      </c>
      <c r="J382" s="3" t="str">
        <f>IFERROR(MID(VLOOKUP($B382,Seqs!$A:$B,2,0),K382,1),"")</f>
        <v>H</v>
      </c>
      <c r="K382" s="23">
        <v>170</v>
      </c>
      <c r="L382" s="3" t="str">
        <f>IFERROR(MID(VLOOKUP($B382,Seqs!$A:$B,2,0),M382,1),"")</f>
        <v>C</v>
      </c>
      <c r="M382" s="23">
        <v>171</v>
      </c>
      <c r="N382" s="3" t="str">
        <f>IFERROR(MID(VLOOKUP($B382,Seqs!$A:$B,2,0),O382,1),"")</f>
        <v>R</v>
      </c>
      <c r="O382" s="3">
        <v>201</v>
      </c>
      <c r="P382" s="3" t="str">
        <f>IFERROR(MID(VLOOKUP($B382,Seqs!$A:$B,2,0),Q382,1),"")</f>
        <v/>
      </c>
      <c r="Q382" s="3" t="s">
        <v>23</v>
      </c>
      <c r="R382" s="3" t="str">
        <f>IFERROR(MID(VLOOKUP($B382,Seqs!$A:$B,2,0),S382,1),"")</f>
        <v/>
      </c>
      <c r="S382" s="3" t="s">
        <v>23</v>
      </c>
      <c r="T382" s="3" t="str">
        <f>IFERROR(MID(VLOOKUP($B382,Seqs!$A:$B,2,0),U382,1),"")</f>
        <v>S</v>
      </c>
      <c r="U382" s="3">
        <v>217</v>
      </c>
      <c r="V382" s="3" t="str">
        <f>IFERROR(MID(VLOOKUP($B382,Seqs!$A:$B,2,0),W382,1),"")</f>
        <v>L</v>
      </c>
      <c r="W382" s="3">
        <v>255</v>
      </c>
      <c r="X382" s="3" t="str">
        <f>IFERROR(MID(VLOOKUP($B382,Seqs!$A:$B,2,0),Y382,1),"")</f>
        <v/>
      </c>
      <c r="Y382" s="3" t="s">
        <v>23</v>
      </c>
      <c r="Z382" s="3" t="str">
        <f>IFERROR(MID(VLOOKUP($B382,Seqs!$A:$B,2,0),AA382,1),"")</f>
        <v/>
      </c>
      <c r="AA382" s="3" t="s">
        <v>23</v>
      </c>
      <c r="AB382" s="3" t="str">
        <f>IFERROR(MID(VLOOKUP($B382,Seqs!$A:$B,2,0),AC382,1),"")</f>
        <v>E</v>
      </c>
      <c r="AC382" s="3">
        <v>260</v>
      </c>
      <c r="AD382" s="3" t="str">
        <f>IFERROR(MID(VLOOKUP($B382,Seqs!$A:$B,2,0),AE382,1),"")</f>
        <v>E</v>
      </c>
      <c r="AE382" s="3">
        <v>290</v>
      </c>
      <c r="AF382" s="3" t="str">
        <f>IFERROR(MID(VLOOKUP($B382,Seqs!$A:$B,2,0),AG382,1),"")</f>
        <v>C</v>
      </c>
      <c r="AG382" s="3">
        <v>294</v>
      </c>
      <c r="AH382" s="3" t="str">
        <f>IFERROR(MID(VLOOKUP($B382,Seqs!$A:$B,2,0),AI382,1),"")</f>
        <v>T</v>
      </c>
      <c r="AI382" s="3">
        <v>296</v>
      </c>
      <c r="AJ382" s="3" t="str">
        <f>IFERROR(MID(VLOOKUP($B382,Seqs!$A:$B,2,0),AK382,1),"")</f>
        <v>D</v>
      </c>
      <c r="AK382" s="3">
        <v>299</v>
      </c>
      <c r="AL382" s="3" t="str">
        <f>IFERROR(MID(VLOOKUP($B382,Seqs!$A:$B,2,0),AM382,1),"")</f>
        <v>R</v>
      </c>
      <c r="AM382" s="3">
        <v>334</v>
      </c>
      <c r="AN382" s="3" t="str">
        <f>IFERROR(MID(VLOOKUP($B382,Seqs!$A:$B,2,0),AO382,1),"")</f>
        <v>D</v>
      </c>
      <c r="AO382" s="3">
        <v>342</v>
      </c>
      <c r="AP382" s="3" t="str">
        <f>IFERROR(MID(VLOOKUP($B382,Seqs!$A:$B,2,0),AQ382,1),"")</f>
        <v>F</v>
      </c>
      <c r="AQ382" s="3">
        <v>367</v>
      </c>
      <c r="AR382" s="3" t="str">
        <f>IFERROR(MID(VLOOKUP($B382,Seqs!$A:$B,2,0),AS382,1),"")</f>
        <v>G</v>
      </c>
      <c r="AS382" s="3">
        <v>375</v>
      </c>
      <c r="AT382" s="3" t="str">
        <f>IFERROR(MID(VLOOKUP($B382,Seqs!$A:$B,2,0),AU382,1),"")</f>
        <v>L</v>
      </c>
      <c r="AU382" s="3">
        <v>403</v>
      </c>
      <c r="AV382" s="3" t="str">
        <f>IFERROR(MID(VLOOKUP($B382,Seqs!$A:$B,2,0),AW382,1),"")</f>
        <v>N</v>
      </c>
      <c r="AW382" s="3">
        <v>404</v>
      </c>
      <c r="AX382" s="3" t="str">
        <f>IFERROR(MID(VLOOKUP($B382,Seqs!$A:$B,2,0),AY382,1),"")</f>
        <v>W</v>
      </c>
      <c r="AY382" s="3">
        <v>415</v>
      </c>
      <c r="AZ382" s="77" t="str">
        <f>VLOOKUP(B382,Classification!A:D,2,0)</f>
        <v>B1</v>
      </c>
      <c r="BA382" s="94" t="str">
        <f>VLOOKUP(B382,Classification!A:D,4,0)</f>
        <v>Glucagonreceptorfamily</v>
      </c>
      <c r="BB382" s="27" t="b">
        <f t="shared" ref="BB382:BB394" si="2907">AND(E382&lt;G382,OR(G382&lt;I382,I382="-"),OR(I382&lt;K382,I382="-"),OR(K382&lt;M382,K382="-"),M382&lt;O382,OR(O382&lt;Q382,Q382="-"),OR(Q382&lt;S382,Q382="-"),OR(S382&lt;U382,S382="-"),U382&lt;W382,OR(W382&lt;Y382,Y382="-"),OR(Y382&lt;AA382,Y382="-"),OR(AA382&lt;AC382,AA382="-"),AC382&lt;AE382,OR(AE382&lt;AG382,AG382="-"),OR(AG382&lt;AI382,AG382="-"),OR(AI382&lt;AK382,AI382="-"),AK382&lt;AM382,AM382&lt;AO382,AO382&lt;AQ382,AQ382&lt;AS382,AS382&lt;AU382,OR(AU382&lt;AW382,AW382="-"),OR(AW382&lt;AY382,AW382="-"))</f>
        <v>1</v>
      </c>
      <c r="BC382" s="23">
        <f t="shared" ref="BC382:BC394" si="2908">_xlfn.AGGREGATE(9,6,CH382:CS382)-_xlfn.AGGREGATE(9,6,BV382:CG382)+12</f>
        <v>247</v>
      </c>
      <c r="BD382" s="4" t="s">
        <v>1376</v>
      </c>
      <c r="BE382" s="3" t="s">
        <v>1374</v>
      </c>
      <c r="BF382" s="118">
        <v>3</v>
      </c>
      <c r="BG382" s="49" t="s">
        <v>1281</v>
      </c>
      <c r="BH382" s="49" t="s">
        <v>1281</v>
      </c>
      <c r="BI382" s="1"/>
      <c r="BJ382" s="70" t="s">
        <v>1287</v>
      </c>
      <c r="BK382" s="57" t="s">
        <v>1287</v>
      </c>
      <c r="BL382" s="57" t="s">
        <v>1287</v>
      </c>
      <c r="BM382" s="57" t="s">
        <v>1287</v>
      </c>
      <c r="BN382" s="57" t="s">
        <v>1287</v>
      </c>
      <c r="BO382" s="57" t="s">
        <v>1287</v>
      </c>
      <c r="BP382" s="57" t="s">
        <v>1287</v>
      </c>
      <c r="BQ382" s="57" t="s">
        <v>1287</v>
      </c>
      <c r="BR382" s="57" t="s">
        <v>1287</v>
      </c>
      <c r="BS382" s="57" t="s">
        <v>1287</v>
      </c>
      <c r="BT382" s="57" t="s">
        <v>1287</v>
      </c>
      <c r="BU382" s="57" t="s">
        <v>1287</v>
      </c>
      <c r="BV382" s="70">
        <f t="shared" ref="BV382:BV394" si="2909">E382</f>
        <v>131</v>
      </c>
      <c r="BW382" s="71">
        <f t="shared" ref="BW382:BW394" si="2910">I382</f>
        <v>167</v>
      </c>
      <c r="BX382" s="72">
        <f t="shared" ref="BX382:BX394" si="2911">M382</f>
        <v>171</v>
      </c>
      <c r="BY382" s="71" t="str">
        <f t="shared" ref="BY382:BY394" si="2912">Q382</f>
        <v>-</v>
      </c>
      <c r="BZ382" s="72">
        <f t="shared" ref="BZ382:BZ394" si="2913">U382</f>
        <v>217</v>
      </c>
      <c r="CA382" s="71" t="str">
        <f t="shared" ref="CA382:CA394" si="2914">Y382</f>
        <v>-</v>
      </c>
      <c r="CB382" s="72">
        <f t="shared" ref="CB382:CB394" si="2915">AC382</f>
        <v>260</v>
      </c>
      <c r="CC382" s="71">
        <f t="shared" ref="CC382:CC394" si="2916">AG382</f>
        <v>294</v>
      </c>
      <c r="CD382" s="72">
        <f t="shared" ref="CD382:CD394" si="2917">AK382</f>
        <v>299</v>
      </c>
      <c r="CE382" s="71">
        <f t="shared" ref="CE382:CE394" si="2918">AO382</f>
        <v>342</v>
      </c>
      <c r="CF382" s="72">
        <f t="shared" ref="CF382:CF394" si="2919">AS382</f>
        <v>375</v>
      </c>
      <c r="CG382" s="71">
        <f t="shared" ref="CG382:CG394" si="2920">AW382</f>
        <v>404</v>
      </c>
      <c r="CH382" s="70">
        <f t="shared" ref="CH382:CH394" si="2921">G382</f>
        <v>164</v>
      </c>
      <c r="CI382" s="71">
        <f t="shared" ref="CI382:CI394" si="2922">K382</f>
        <v>170</v>
      </c>
      <c r="CJ382" s="72">
        <f t="shared" ref="CJ382:CJ394" si="2923">O382</f>
        <v>201</v>
      </c>
      <c r="CK382" s="72" t="str">
        <f t="shared" ref="CK382:CK394" si="2924">S382</f>
        <v>-</v>
      </c>
      <c r="CL382" s="72">
        <f t="shared" ref="CL382:CL394" si="2925">W382</f>
        <v>255</v>
      </c>
      <c r="CM382" s="72" t="str">
        <f t="shared" ref="CM382:CM394" si="2926">AA382</f>
        <v>-</v>
      </c>
      <c r="CN382" s="72">
        <f t="shared" ref="CN382:CN394" si="2927">AE382</f>
        <v>290</v>
      </c>
      <c r="CO382" s="72">
        <f t="shared" ref="CO382:CO394" si="2928">AI382</f>
        <v>296</v>
      </c>
      <c r="CP382" s="72">
        <f t="shared" ref="CP382:CP394" si="2929">AM382</f>
        <v>334</v>
      </c>
      <c r="CQ382" s="72">
        <f t="shared" ref="CQ382:CQ394" si="2930">AQ382</f>
        <v>367</v>
      </c>
      <c r="CR382" s="72">
        <f t="shared" ref="CR382:CR394" si="2931">AU382</f>
        <v>403</v>
      </c>
      <c r="CS382" s="72">
        <f t="shared" ref="CS382:CS394" si="2932">AY382</f>
        <v>415</v>
      </c>
      <c r="CT382" s="23">
        <f t="shared" ref="CT382:CT394" si="2933">M382-K382</f>
        <v>1</v>
      </c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</row>
    <row r="383" spans="1:1030" x14ac:dyDescent="0.2">
      <c r="A383" s="3" t="str">
        <f t="shared" si="2906"/>
        <v>glr_human_5XF1</v>
      </c>
      <c r="B383" s="3" t="s">
        <v>32</v>
      </c>
      <c r="C383" s="3" t="s">
        <v>1410</v>
      </c>
      <c r="D383" s="3" t="str">
        <f>IFERROR(MID(VLOOKUP($B383,Seqs!$A:$B,2,0),E383,1),"")</f>
        <v>Q</v>
      </c>
      <c r="E383" s="3">
        <v>131</v>
      </c>
      <c r="F383" s="3" t="str">
        <f>IFERROR(MID(VLOOKUP($B383,Seqs!$A:$B,2,0),G383,1),"")</f>
        <v>L</v>
      </c>
      <c r="G383" s="3">
        <v>166</v>
      </c>
      <c r="H383" s="3" t="str">
        <f>IFERROR(MID(VLOOKUP($B383,Seqs!$A:$B,2,0),I383,1),"")</f>
        <v>S</v>
      </c>
      <c r="I383" s="23">
        <v>167</v>
      </c>
      <c r="J383" s="3" t="str">
        <f>IFERROR(MID(VLOOKUP($B383,Seqs!$A:$B,2,0),K383,1),"")</f>
        <v>H</v>
      </c>
      <c r="K383" s="23">
        <v>170</v>
      </c>
      <c r="L383" s="3" t="str">
        <f>IFERROR(MID(VLOOKUP($B383,Seqs!$A:$B,2,0),M383,1),"")</f>
        <v>N</v>
      </c>
      <c r="M383" s="23">
        <v>174</v>
      </c>
      <c r="N383" s="3" t="str">
        <f>IFERROR(MID(VLOOKUP($B383,Seqs!$A:$B,2,0),O383,1),"")</f>
        <v>R</v>
      </c>
      <c r="O383" s="3">
        <v>201</v>
      </c>
      <c r="P383" s="3" t="str">
        <f>IFERROR(MID(VLOOKUP($B383,Seqs!$A:$B,2,0),Q383,1),"")</f>
        <v/>
      </c>
      <c r="Q383" s="3" t="s">
        <v>23</v>
      </c>
      <c r="R383" s="3" t="str">
        <f>IFERROR(MID(VLOOKUP($B383,Seqs!$A:$B,2,0),S383,1),"")</f>
        <v/>
      </c>
      <c r="S383" s="3" t="s">
        <v>23</v>
      </c>
      <c r="T383" s="3" t="str">
        <f>IFERROR(MID(VLOOKUP($B383,Seqs!$A:$B,2,0),U383,1),"")</f>
        <v>S</v>
      </c>
      <c r="U383" s="3">
        <v>217</v>
      </c>
      <c r="V383" s="3" t="str">
        <f>IFERROR(MID(VLOOKUP($B383,Seqs!$A:$B,2,0),W383,1),"")</f>
        <v>L</v>
      </c>
      <c r="W383" s="3">
        <v>255</v>
      </c>
      <c r="X383" s="3" t="str">
        <f>IFERROR(MID(VLOOKUP($B383,Seqs!$A:$B,2,0),Y383,1),"")</f>
        <v/>
      </c>
      <c r="Y383" s="3" t="s">
        <v>23</v>
      </c>
      <c r="Z383" s="3" t="str">
        <f>IFERROR(MID(VLOOKUP($B383,Seqs!$A:$B,2,0),AA383,1),"")</f>
        <v/>
      </c>
      <c r="AA383" s="3" t="s">
        <v>23</v>
      </c>
      <c r="AB383" s="3" t="str">
        <f>IFERROR(MID(VLOOKUP($B383,Seqs!$A:$B,2,0),AC383,1),"")</f>
        <v>R</v>
      </c>
      <c r="AC383" s="3">
        <v>261</v>
      </c>
      <c r="AD383" s="3" t="str">
        <f>IFERROR(MID(VLOOKUP($B383,Seqs!$A:$B,2,0),AE383,1),"")</f>
        <v>F</v>
      </c>
      <c r="AE383" s="3">
        <v>289</v>
      </c>
      <c r="AF383" s="3" t="str">
        <f>IFERROR(MID(VLOOKUP($B383,Seqs!$A:$B,2,0),AG383,1),"")</f>
        <v>C</v>
      </c>
      <c r="AG383" s="3">
        <v>294</v>
      </c>
      <c r="AH383" s="3" t="str">
        <f>IFERROR(MID(VLOOKUP($B383,Seqs!$A:$B,2,0),AI383,1),"")</f>
        <v>T</v>
      </c>
      <c r="AI383" s="3">
        <v>296</v>
      </c>
      <c r="AJ383" s="3" t="str">
        <f>IFERROR(MID(VLOOKUP($B383,Seqs!$A:$B,2,0),AK383,1),"")</f>
        <v>D</v>
      </c>
      <c r="AK383" s="3">
        <v>299</v>
      </c>
      <c r="AL383" s="3" t="str">
        <f>IFERROR(MID(VLOOKUP($B383,Seqs!$A:$B,2,0),AM383,1),"")</f>
        <v>L</v>
      </c>
      <c r="AM383" s="3">
        <v>333</v>
      </c>
      <c r="AN383" s="3" t="str">
        <f>IFERROR(MID(VLOOKUP($B383,Seqs!$A:$B,2,0),AO383,1),"")</f>
        <v>D</v>
      </c>
      <c r="AO383" s="3">
        <v>342</v>
      </c>
      <c r="AP383" s="3" t="str">
        <f>IFERROR(MID(VLOOKUP($B383,Seqs!$A:$B,2,0),AQ383,1),"")</f>
        <v>V</v>
      </c>
      <c r="AQ383" s="3">
        <v>368</v>
      </c>
      <c r="AR383" s="3" t="str">
        <f>IFERROR(MID(VLOOKUP($B383,Seqs!$A:$B,2,0),AS383,1),"")</f>
        <v>L</v>
      </c>
      <c r="AS383" s="3">
        <v>377</v>
      </c>
      <c r="AT383" s="3" t="str">
        <f>IFERROR(MID(VLOOKUP($B383,Seqs!$A:$B,2,0),AU383,1),"")</f>
        <v>L</v>
      </c>
      <c r="AU383" s="3">
        <v>403</v>
      </c>
      <c r="AV383" s="3" t="str">
        <f>IFERROR(MID(VLOOKUP($B383,Seqs!$A:$B,2,0),AW383,1),"")</f>
        <v>N</v>
      </c>
      <c r="AW383" s="3">
        <v>404</v>
      </c>
      <c r="AX383" s="3" t="str">
        <f>IFERROR(MID(VLOOKUP($B383,Seqs!$A:$B,2,0),AY383,1),"")</f>
        <v>W</v>
      </c>
      <c r="AY383" s="3">
        <v>415</v>
      </c>
      <c r="AZ383" s="77" t="str">
        <f>VLOOKUP(B383,Classification!A:D,2,0)</f>
        <v>B1</v>
      </c>
      <c r="BA383" s="94" t="str">
        <f>VLOOKUP(B383,Classification!A:D,4,0)</f>
        <v>Glucagonreceptorfamily</v>
      </c>
      <c r="BB383" s="27" t="b">
        <f t="shared" si="2907"/>
        <v>1</v>
      </c>
      <c r="BC383" s="23">
        <f t="shared" si="2908"/>
        <v>242</v>
      </c>
      <c r="BD383" s="4" t="s">
        <v>23</v>
      </c>
      <c r="BE383" s="3" t="s">
        <v>1374</v>
      </c>
      <c r="BF383" s="118">
        <v>3.19</v>
      </c>
      <c r="BG383" s="49" t="s">
        <v>1281</v>
      </c>
      <c r="BH383" s="49" t="s">
        <v>1281</v>
      </c>
      <c r="BI383" s="1"/>
      <c r="BJ383" s="70" t="s">
        <v>1287</v>
      </c>
      <c r="BK383" s="57" t="s">
        <v>1287</v>
      </c>
      <c r="BL383" s="57" t="s">
        <v>1287</v>
      </c>
      <c r="BM383" s="57" t="s">
        <v>1287</v>
      </c>
      <c r="BN383" s="57" t="s">
        <v>1287</v>
      </c>
      <c r="BO383" s="57" t="s">
        <v>1287</v>
      </c>
      <c r="BP383" s="57" t="s">
        <v>1287</v>
      </c>
      <c r="BQ383" s="57" t="s">
        <v>1287</v>
      </c>
      <c r="BR383" s="57" t="s">
        <v>1287</v>
      </c>
      <c r="BS383" s="57" t="s">
        <v>1287</v>
      </c>
      <c r="BT383" s="57" t="s">
        <v>1287</v>
      </c>
      <c r="BU383" s="57" t="s">
        <v>1287</v>
      </c>
      <c r="BV383" s="70">
        <f t="shared" si="2909"/>
        <v>131</v>
      </c>
      <c r="BW383" s="71">
        <f t="shared" si="2910"/>
        <v>167</v>
      </c>
      <c r="BX383" s="72">
        <f t="shared" si="2911"/>
        <v>174</v>
      </c>
      <c r="BY383" s="71" t="str">
        <f t="shared" si="2912"/>
        <v>-</v>
      </c>
      <c r="BZ383" s="72">
        <f t="shared" si="2913"/>
        <v>217</v>
      </c>
      <c r="CA383" s="71" t="str">
        <f t="shared" si="2914"/>
        <v>-</v>
      </c>
      <c r="CB383" s="72">
        <f t="shared" si="2915"/>
        <v>261</v>
      </c>
      <c r="CC383" s="71">
        <f t="shared" si="2916"/>
        <v>294</v>
      </c>
      <c r="CD383" s="72">
        <f t="shared" si="2917"/>
        <v>299</v>
      </c>
      <c r="CE383" s="71">
        <f t="shared" si="2918"/>
        <v>342</v>
      </c>
      <c r="CF383" s="72">
        <f t="shared" si="2919"/>
        <v>377</v>
      </c>
      <c r="CG383" s="71">
        <f t="shared" si="2920"/>
        <v>404</v>
      </c>
      <c r="CH383" s="70">
        <f t="shared" si="2921"/>
        <v>166</v>
      </c>
      <c r="CI383" s="71">
        <f t="shared" si="2922"/>
        <v>170</v>
      </c>
      <c r="CJ383" s="72">
        <f t="shared" si="2923"/>
        <v>201</v>
      </c>
      <c r="CK383" s="72" t="str">
        <f t="shared" si="2924"/>
        <v>-</v>
      </c>
      <c r="CL383" s="72">
        <f t="shared" si="2925"/>
        <v>255</v>
      </c>
      <c r="CM383" s="72" t="str">
        <f t="shared" si="2926"/>
        <v>-</v>
      </c>
      <c r="CN383" s="72">
        <f t="shared" si="2927"/>
        <v>289</v>
      </c>
      <c r="CO383" s="72">
        <f t="shared" si="2928"/>
        <v>296</v>
      </c>
      <c r="CP383" s="72">
        <f t="shared" si="2929"/>
        <v>333</v>
      </c>
      <c r="CQ383" s="72">
        <f t="shared" si="2930"/>
        <v>368</v>
      </c>
      <c r="CR383" s="72">
        <f t="shared" si="2931"/>
        <v>403</v>
      </c>
      <c r="CS383" s="72">
        <f t="shared" si="2932"/>
        <v>415</v>
      </c>
      <c r="CT383" s="23">
        <f t="shared" si="2933"/>
        <v>4</v>
      </c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</row>
    <row r="384" spans="1:1030" x14ac:dyDescent="0.2">
      <c r="A384" s="3" t="str">
        <f t="shared" si="2906"/>
        <v>glr_human_5YQZ</v>
      </c>
      <c r="B384" s="3" t="s">
        <v>32</v>
      </c>
      <c r="C384" s="3" t="s">
        <v>1462</v>
      </c>
      <c r="D384" s="3" t="str">
        <f>IFERROR(MID(VLOOKUP($B384,Seqs!$A:$B,2,0),E384,1),"")</f>
        <v>D</v>
      </c>
      <c r="E384" s="3">
        <v>124</v>
      </c>
      <c r="F384" s="3" t="str">
        <f>IFERROR(MID(VLOOKUP($B384,Seqs!$A:$B,2,0),G384,1),"")</f>
        <v>L</v>
      </c>
      <c r="G384" s="3">
        <v>166</v>
      </c>
      <c r="H384" s="3" t="str">
        <f>IFERROR(MID(VLOOKUP($B384,Seqs!$A:$B,2,0),I384,1),"")</f>
        <v>S</v>
      </c>
      <c r="I384" s="23">
        <v>167</v>
      </c>
      <c r="J384" s="3" t="str">
        <f>IFERROR(MID(VLOOKUP($B384,Seqs!$A:$B,2,0),K384,1),"")</f>
        <v>H</v>
      </c>
      <c r="K384" s="23">
        <v>170</v>
      </c>
      <c r="L384" s="3" t="str">
        <f>IFERROR(MID(VLOOKUP($B384,Seqs!$A:$B,2,0),M384,1),"")</f>
        <v>C</v>
      </c>
      <c r="M384" s="23">
        <v>171</v>
      </c>
      <c r="N384" s="3" t="str">
        <f>IFERROR(MID(VLOOKUP($B384,Seqs!$A:$B,2,0),O384,1),"")</f>
        <v>S</v>
      </c>
      <c r="O384" s="3">
        <v>203</v>
      </c>
      <c r="P384" s="3" t="str">
        <f>IFERROR(MID(VLOOKUP($B384,Seqs!$A:$B,2,0),Q384,1),"")</f>
        <v/>
      </c>
      <c r="Q384" s="3" t="s">
        <v>23</v>
      </c>
      <c r="R384" s="3" t="str">
        <f>IFERROR(MID(VLOOKUP($B384,Seqs!$A:$B,2,0),S384,1),"")</f>
        <v/>
      </c>
      <c r="S384" s="3" t="s">
        <v>23</v>
      </c>
      <c r="T384" s="3" t="str">
        <f>IFERROR(MID(VLOOKUP($B384,Seqs!$A:$B,2,0),U384,1),"")</f>
        <v>A</v>
      </c>
      <c r="U384" s="3">
        <v>220</v>
      </c>
      <c r="V384" s="3" t="str">
        <f>IFERROR(MID(VLOOKUP($B384,Seqs!$A:$B,2,0),W384,1),"")</f>
        <v>L</v>
      </c>
      <c r="W384" s="3">
        <v>255</v>
      </c>
      <c r="X384" s="3" t="str">
        <f>IFERROR(MID(VLOOKUP($B384,Seqs!$A:$B,2,0),Y384,1),"")</f>
        <v/>
      </c>
      <c r="Y384" s="3" t="s">
        <v>23</v>
      </c>
      <c r="Z384" s="3" t="str">
        <f>IFERROR(MID(VLOOKUP($B384,Seqs!$A:$B,2,0),AA384,1),"")</f>
        <v/>
      </c>
      <c r="AA384" s="3" t="s">
        <v>23</v>
      </c>
      <c r="AB384" s="3" t="str">
        <f>IFERROR(MID(VLOOKUP($B384,Seqs!$A:$B,2,0),AC384,1),"")</f>
        <v>F</v>
      </c>
      <c r="AC384" s="3">
        <v>263</v>
      </c>
      <c r="AD384" s="3" t="str">
        <f>IFERROR(MID(VLOOKUP($B384,Seqs!$A:$B,2,0),AE384,1),"")</f>
        <v>E</v>
      </c>
      <c r="AE384" s="3">
        <v>290</v>
      </c>
      <c r="AF384" s="3" t="str">
        <f>IFERROR(MID(VLOOKUP($B384,Seqs!$A:$B,2,0),AG384,1),"")</f>
        <v>C</v>
      </c>
      <c r="AG384" s="3">
        <v>294</v>
      </c>
      <c r="AH384" s="3" t="str">
        <f>IFERROR(MID(VLOOKUP($B384,Seqs!$A:$B,2,0),AI384,1),"")</f>
        <v>T</v>
      </c>
      <c r="AI384" s="3">
        <v>296</v>
      </c>
      <c r="AJ384" s="3" t="str">
        <f>IFERROR(MID(VLOOKUP($B384,Seqs!$A:$B,2,0),AK384,1),"")</f>
        <v>F</v>
      </c>
      <c r="AK384" s="3">
        <v>303</v>
      </c>
      <c r="AL384" s="3" t="str">
        <f>IFERROR(MID(VLOOKUP($B384,Seqs!$A:$B,2,0),AM384,1),"")</f>
        <v>A</v>
      </c>
      <c r="AM384" s="3">
        <v>335</v>
      </c>
      <c r="AN384" s="3" t="str">
        <f>IFERROR(MID(VLOOKUP($B384,Seqs!$A:$B,2,0),AO384,1),"")</f>
        <v>D</v>
      </c>
      <c r="AO384" s="3">
        <v>342</v>
      </c>
      <c r="AP384" s="3" t="str">
        <f>IFERROR(MID(VLOOKUP($B384,Seqs!$A:$B,2,0),AQ384,1),"")</f>
        <v>T</v>
      </c>
      <c r="AQ384" s="3">
        <v>369</v>
      </c>
      <c r="AR384" s="3" t="str">
        <f>IFERROR(MID(VLOOKUP($B384,Seqs!$A:$B,2,0),AS384,1),"")</f>
        <v>G</v>
      </c>
      <c r="AS384" s="3">
        <v>375</v>
      </c>
      <c r="AT384" s="3" t="str">
        <f>IFERROR(MID(VLOOKUP($B384,Seqs!$A:$B,2,0),AU384,1),"")</f>
        <v>L</v>
      </c>
      <c r="AU384" s="3">
        <v>403</v>
      </c>
      <c r="AV384" s="3" t="str">
        <f>IFERROR(MID(VLOOKUP($B384,Seqs!$A:$B,2,0),AW384,1),"")</f>
        <v>N</v>
      </c>
      <c r="AW384" s="3">
        <v>404</v>
      </c>
      <c r="AX384" s="3" t="str">
        <f>IFERROR(MID(VLOOKUP($B384,Seqs!$A:$B,2,0),AY384,1),"")</f>
        <v>E</v>
      </c>
      <c r="AY384" s="3">
        <v>426</v>
      </c>
      <c r="AZ384" s="77" t="str">
        <f>VLOOKUP(B384,Classification!A:D,2,0)</f>
        <v>B1</v>
      </c>
      <c r="BA384" s="94" t="str">
        <f>VLOOKUP(B384,Classification!A:D,4,0)</f>
        <v>Glucagonreceptorfamily</v>
      </c>
      <c r="BB384" s="27" t="b">
        <f t="shared" si="2907"/>
        <v>1</v>
      </c>
      <c r="BC384" s="23">
        <f t="shared" si="2908"/>
        <v>262</v>
      </c>
      <c r="BD384" s="4" t="s">
        <v>23</v>
      </c>
      <c r="BE384" s="3" t="s">
        <v>1374</v>
      </c>
      <c r="BF384" s="118">
        <v>3</v>
      </c>
      <c r="BG384" s="49" t="s">
        <v>1422</v>
      </c>
      <c r="BH384" s="49" t="s">
        <v>1422</v>
      </c>
      <c r="BI384" s="1"/>
      <c r="BJ384" s="70" t="s">
        <v>1287</v>
      </c>
      <c r="BK384" s="57" t="s">
        <v>1287</v>
      </c>
      <c r="BL384" s="57" t="s">
        <v>1287</v>
      </c>
      <c r="BM384" s="57" t="s">
        <v>1287</v>
      </c>
      <c r="BN384" s="57" t="s">
        <v>1287</v>
      </c>
      <c r="BO384" s="57" t="s">
        <v>1287</v>
      </c>
      <c r="BP384" s="57" t="s">
        <v>1287</v>
      </c>
      <c r="BQ384" s="57" t="s">
        <v>1287</v>
      </c>
      <c r="BR384" s="57" t="s">
        <v>1287</v>
      </c>
      <c r="BS384" s="57" t="s">
        <v>1287</v>
      </c>
      <c r="BT384" s="57" t="s">
        <v>1287</v>
      </c>
      <c r="BU384" s="57" t="s">
        <v>1287</v>
      </c>
      <c r="BV384" s="70">
        <f t="shared" si="2909"/>
        <v>124</v>
      </c>
      <c r="BW384" s="71">
        <f t="shared" si="2910"/>
        <v>167</v>
      </c>
      <c r="BX384" s="72">
        <f t="shared" si="2911"/>
        <v>171</v>
      </c>
      <c r="BY384" s="71" t="str">
        <f t="shared" si="2912"/>
        <v>-</v>
      </c>
      <c r="BZ384" s="72">
        <f t="shared" si="2913"/>
        <v>220</v>
      </c>
      <c r="CA384" s="71" t="str">
        <f t="shared" si="2914"/>
        <v>-</v>
      </c>
      <c r="CB384" s="72">
        <f t="shared" si="2915"/>
        <v>263</v>
      </c>
      <c r="CC384" s="71">
        <f t="shared" si="2916"/>
        <v>294</v>
      </c>
      <c r="CD384" s="72">
        <f t="shared" si="2917"/>
        <v>303</v>
      </c>
      <c r="CE384" s="71">
        <f t="shared" si="2918"/>
        <v>342</v>
      </c>
      <c r="CF384" s="72">
        <f t="shared" si="2919"/>
        <v>375</v>
      </c>
      <c r="CG384" s="71">
        <f t="shared" si="2920"/>
        <v>404</v>
      </c>
      <c r="CH384" s="70">
        <f t="shared" si="2921"/>
        <v>166</v>
      </c>
      <c r="CI384" s="71">
        <f t="shared" si="2922"/>
        <v>170</v>
      </c>
      <c r="CJ384" s="72">
        <f t="shared" si="2923"/>
        <v>203</v>
      </c>
      <c r="CK384" s="72" t="str">
        <f t="shared" si="2924"/>
        <v>-</v>
      </c>
      <c r="CL384" s="72">
        <f t="shared" si="2925"/>
        <v>255</v>
      </c>
      <c r="CM384" s="72" t="str">
        <f t="shared" si="2926"/>
        <v>-</v>
      </c>
      <c r="CN384" s="72">
        <f t="shared" si="2927"/>
        <v>290</v>
      </c>
      <c r="CO384" s="72">
        <f t="shared" si="2928"/>
        <v>296</v>
      </c>
      <c r="CP384" s="72">
        <f t="shared" si="2929"/>
        <v>335</v>
      </c>
      <c r="CQ384" s="72">
        <f t="shared" si="2930"/>
        <v>369</v>
      </c>
      <c r="CR384" s="72">
        <f t="shared" si="2931"/>
        <v>403</v>
      </c>
      <c r="CS384" s="72">
        <f t="shared" si="2932"/>
        <v>426</v>
      </c>
      <c r="CT384" s="23">
        <f t="shared" si="2933"/>
        <v>1</v>
      </c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</row>
    <row r="385" spans="1:1029" x14ac:dyDescent="0.2">
      <c r="A385" s="3" t="str">
        <f t="shared" si="2906"/>
        <v>glp1r_human__wt</v>
      </c>
      <c r="B385" s="3" t="s">
        <v>406</v>
      </c>
      <c r="C385" s="3" t="s">
        <v>100</v>
      </c>
      <c r="D385" s="3" t="str">
        <f>IFERROR(MID(VLOOKUP($B385,Seqs!$A:$B,2,0),E385,1),"")</f>
        <v>E</v>
      </c>
      <c r="E385" s="3">
        <v>138</v>
      </c>
      <c r="F385" s="3" t="str">
        <f>IFERROR(MID(VLOOKUP($B385,Seqs!$A:$B,2,0),G385,1),"")</f>
        <v>F</v>
      </c>
      <c r="G385" s="3">
        <v>169</v>
      </c>
      <c r="H385" s="3" t="str">
        <f>IFERROR(MID(VLOOKUP($B385,Seqs!$A:$B,2,0),I385,1),"")</f>
        <v>R</v>
      </c>
      <c r="I385" s="23">
        <v>170</v>
      </c>
      <c r="J385" s="3" t="str">
        <f>IFERROR(MID(VLOOKUP($B385,Seqs!$A:$B,2,0),K385,1),"")</f>
        <v>H</v>
      </c>
      <c r="K385" s="23">
        <v>173</v>
      </c>
      <c r="L385" s="3" t="str">
        <f>IFERROR(MID(VLOOKUP($B385,Seqs!$A:$B,2,0),M385,1),"")</f>
        <v>C</v>
      </c>
      <c r="M385" s="23">
        <v>174</v>
      </c>
      <c r="N385" s="3" t="str">
        <f>IFERROR(MID(VLOOKUP($B385,Seqs!$A:$B,2,0),O385,1),"")</f>
        <v>S</v>
      </c>
      <c r="O385" s="3">
        <v>206</v>
      </c>
      <c r="P385" s="3" t="str">
        <f>IFERROR(MID(VLOOKUP($B385,Seqs!$A:$B,2,0),Q385,1),"")</f>
        <v/>
      </c>
      <c r="Q385" s="3" t="s">
        <v>23</v>
      </c>
      <c r="R385" s="3" t="str">
        <f>IFERROR(MID(VLOOKUP($B385,Seqs!$A:$B,2,0),S385,1),"")</f>
        <v/>
      </c>
      <c r="S385" s="3" t="s">
        <v>23</v>
      </c>
      <c r="T385" s="3" t="str">
        <f>IFERROR(MID(VLOOKUP($B385,Seqs!$A:$B,2,0),U385,1),"")</f>
        <v>L</v>
      </c>
      <c r="U385" s="3">
        <v>224</v>
      </c>
      <c r="V385" s="3" t="str">
        <f>IFERROR(MID(VLOOKUP($B385,Seqs!$A:$B,2,0),W385,1),"")</f>
        <v>F</v>
      </c>
      <c r="W385" s="3">
        <v>257</v>
      </c>
      <c r="X385" s="3" t="str">
        <f>IFERROR(MID(VLOOKUP($B385,Seqs!$A:$B,2,0),Y385,1),"")</f>
        <v/>
      </c>
      <c r="Y385" s="3" t="s">
        <v>23</v>
      </c>
      <c r="Z385" s="3" t="str">
        <f>IFERROR(MID(VLOOKUP($B385,Seqs!$A:$B,2,0),AA385,1),"")</f>
        <v/>
      </c>
      <c r="AA385" s="3" t="s">
        <v>23</v>
      </c>
      <c r="AB385" s="3" t="str">
        <f>IFERROR(MID(VLOOKUP($B385,Seqs!$A:$B,2,0),AC385,1),"")</f>
        <v>E</v>
      </c>
      <c r="AC385" s="3">
        <v>262</v>
      </c>
      <c r="AD385" s="3" t="str">
        <f>IFERROR(MID(VLOOKUP($B385,Seqs!$A:$B,2,0),AE385,1),"")</f>
        <v>E</v>
      </c>
      <c r="AE385" s="3">
        <v>292</v>
      </c>
      <c r="AF385" s="3" t="str">
        <f>IFERROR(MID(VLOOKUP($B385,Seqs!$A:$B,2,0),AG385,1),"")</f>
        <v>C</v>
      </c>
      <c r="AG385" s="3">
        <v>296</v>
      </c>
      <c r="AH385" s="3" t="str">
        <f>IFERROR(MID(VLOOKUP($B385,Seqs!$A:$B,2,0),AI385,1),"")</f>
        <v>T</v>
      </c>
      <c r="AI385" s="3">
        <v>298</v>
      </c>
      <c r="AJ385" s="3" t="str">
        <f>IFERROR(MID(VLOOKUP($B385,Seqs!$A:$B,2,0),AK385,1),"")</f>
        <v>N</v>
      </c>
      <c r="AK385" s="3">
        <v>302</v>
      </c>
      <c r="AL385" s="3" t="str">
        <f>IFERROR(MID(VLOOKUP($B385,Seqs!$A:$B,2,0),AM385,1),"")</f>
        <v>A</v>
      </c>
      <c r="AM385" s="3">
        <v>337</v>
      </c>
      <c r="AN385" s="3" t="str">
        <f>IFERROR(MID(VLOOKUP($B385,Seqs!$A:$B,2,0),AO385,1),"")</f>
        <v>D</v>
      </c>
      <c r="AO385" s="3">
        <v>344</v>
      </c>
      <c r="AP385" s="3" t="str">
        <f>IFERROR(MID(VLOOKUP($B385,Seqs!$A:$B,2,0),AQ385,1),"")</f>
        <v>F</v>
      </c>
      <c r="AQ385" s="3">
        <v>369</v>
      </c>
      <c r="AR385" s="3" t="str">
        <f>IFERROR(MID(VLOOKUP($B385,Seqs!$A:$B,2,0),AS385,1),"")</f>
        <v>G</v>
      </c>
      <c r="AS385" s="3">
        <v>377</v>
      </c>
      <c r="AT385" s="3" t="str">
        <f>IFERROR(MID(VLOOKUP($B385,Seqs!$A:$B,2,0),AU385,1),"")</f>
        <v>V</v>
      </c>
      <c r="AU385" s="3">
        <v>405</v>
      </c>
      <c r="AV385" s="3" t="str">
        <f>IFERROR(MID(VLOOKUP($B385,Seqs!$A:$B,2,0),AW385,1),"")</f>
        <v>N</v>
      </c>
      <c r="AW385" s="3">
        <v>406</v>
      </c>
      <c r="AX385" s="3" t="str">
        <f>IFERROR(MID(VLOOKUP($B385,Seqs!$A:$B,2,0),AY385,1),"")</f>
        <v>S</v>
      </c>
      <c r="AY385" s="3">
        <v>431</v>
      </c>
      <c r="AZ385" s="77" t="str">
        <f>VLOOKUP(B385,Classification!A:D,2,0)</f>
        <v>B1</v>
      </c>
      <c r="BA385" s="94" t="str">
        <f>VLOOKUP(B385,Classification!A:D,4,0)</f>
        <v>Glucagonreceptorfamily</v>
      </c>
      <c r="BB385" s="27" t="b">
        <f t="shared" si="2907"/>
        <v>1</v>
      </c>
      <c r="BC385" s="23">
        <f t="shared" si="2908"/>
        <v>256</v>
      </c>
      <c r="BD385" s="4" t="s">
        <v>23</v>
      </c>
      <c r="BE385" s="3" t="s">
        <v>23</v>
      </c>
      <c r="BF385" s="118" t="s">
        <v>23</v>
      </c>
      <c r="BG385" s="49" t="s">
        <v>1377</v>
      </c>
      <c r="BH385" s="49" t="s">
        <v>1377</v>
      </c>
      <c r="BI385" s="1"/>
      <c r="BJ385" s="70" t="s">
        <v>1287</v>
      </c>
      <c r="BK385" s="57" t="s">
        <v>1287</v>
      </c>
      <c r="BL385" s="57" t="s">
        <v>1287</v>
      </c>
      <c r="BM385" s="57" t="s">
        <v>1287</v>
      </c>
      <c r="BN385" s="57" t="s">
        <v>1287</v>
      </c>
      <c r="BO385" s="57" t="s">
        <v>1287</v>
      </c>
      <c r="BP385" s="57" t="s">
        <v>1287</v>
      </c>
      <c r="BQ385" s="57" t="s">
        <v>1287</v>
      </c>
      <c r="BR385" s="57" t="s">
        <v>1287</v>
      </c>
      <c r="BS385" s="57" t="s">
        <v>1287</v>
      </c>
      <c r="BT385" s="57" t="s">
        <v>1287</v>
      </c>
      <c r="BU385" s="57" t="s">
        <v>1287</v>
      </c>
      <c r="BV385" s="70">
        <f t="shared" si="2909"/>
        <v>138</v>
      </c>
      <c r="BW385" s="71">
        <f t="shared" si="2910"/>
        <v>170</v>
      </c>
      <c r="BX385" s="72">
        <f t="shared" si="2911"/>
        <v>174</v>
      </c>
      <c r="BY385" s="71" t="str">
        <f t="shared" si="2912"/>
        <v>-</v>
      </c>
      <c r="BZ385" s="72">
        <f t="shared" si="2913"/>
        <v>224</v>
      </c>
      <c r="CA385" s="71" t="str">
        <f t="shared" si="2914"/>
        <v>-</v>
      </c>
      <c r="CB385" s="72">
        <f t="shared" si="2915"/>
        <v>262</v>
      </c>
      <c r="CC385" s="71">
        <f t="shared" si="2916"/>
        <v>296</v>
      </c>
      <c r="CD385" s="72">
        <f t="shared" si="2917"/>
        <v>302</v>
      </c>
      <c r="CE385" s="71">
        <f t="shared" si="2918"/>
        <v>344</v>
      </c>
      <c r="CF385" s="72">
        <f t="shared" si="2919"/>
        <v>377</v>
      </c>
      <c r="CG385" s="71">
        <f t="shared" si="2920"/>
        <v>406</v>
      </c>
      <c r="CH385" s="70">
        <f t="shared" si="2921"/>
        <v>169</v>
      </c>
      <c r="CI385" s="71">
        <f t="shared" si="2922"/>
        <v>173</v>
      </c>
      <c r="CJ385" s="72">
        <f t="shared" si="2923"/>
        <v>206</v>
      </c>
      <c r="CK385" s="72" t="str">
        <f t="shared" si="2924"/>
        <v>-</v>
      </c>
      <c r="CL385" s="72">
        <f t="shared" si="2925"/>
        <v>257</v>
      </c>
      <c r="CM385" s="72" t="str">
        <f t="shared" si="2926"/>
        <v>-</v>
      </c>
      <c r="CN385" s="72">
        <f t="shared" si="2927"/>
        <v>292</v>
      </c>
      <c r="CO385" s="72">
        <f t="shared" si="2928"/>
        <v>298</v>
      </c>
      <c r="CP385" s="72">
        <f t="shared" si="2929"/>
        <v>337</v>
      </c>
      <c r="CQ385" s="72">
        <f t="shared" si="2930"/>
        <v>369</v>
      </c>
      <c r="CR385" s="72">
        <f t="shared" si="2931"/>
        <v>405</v>
      </c>
      <c r="CS385" s="72">
        <f t="shared" si="2932"/>
        <v>431</v>
      </c>
      <c r="CT385" s="23">
        <f t="shared" si="2933"/>
        <v>1</v>
      </c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</row>
    <row r="386" spans="1:1029" x14ac:dyDescent="0.2">
      <c r="A386" s="3" t="str">
        <f t="shared" si="2906"/>
        <v>glp1r_human_5VEW</v>
      </c>
      <c r="B386" s="3" t="s">
        <v>406</v>
      </c>
      <c r="C386" s="3" t="s">
        <v>1407</v>
      </c>
      <c r="D386" s="3" t="str">
        <f>IFERROR(MID(VLOOKUP($B386,Seqs!$A:$B,2,0),E386,1),"")</f>
        <v>S</v>
      </c>
      <c r="E386" s="3">
        <v>136</v>
      </c>
      <c r="F386" s="3" t="str">
        <f>IFERROR(MID(VLOOKUP($B386,Seqs!$A:$B,2,0),G386,1),"")</f>
        <v>F</v>
      </c>
      <c r="G386" s="3">
        <v>169</v>
      </c>
      <c r="H386" s="3" t="str">
        <f>IFERROR(MID(VLOOKUP($B386,Seqs!$A:$B,2,0),I386,1),"")</f>
        <v>R</v>
      </c>
      <c r="I386" s="23">
        <v>170</v>
      </c>
      <c r="J386" s="3" t="str">
        <f>IFERROR(MID(VLOOKUP($B386,Seqs!$A:$B,2,0),K386,1),"")</f>
        <v>H</v>
      </c>
      <c r="K386" s="23">
        <v>173</v>
      </c>
      <c r="L386" s="3" t="str">
        <f>IFERROR(MID(VLOOKUP($B386,Seqs!$A:$B,2,0),M386,1),"")</f>
        <v>C</v>
      </c>
      <c r="M386" s="23">
        <v>174</v>
      </c>
      <c r="N386" s="3" t="str">
        <f>IFERROR(MID(VLOOKUP($B386,Seqs!$A:$B,2,0),O386,1),"")</f>
        <v>K</v>
      </c>
      <c r="O386" s="3">
        <v>202</v>
      </c>
      <c r="P386" s="3" t="str">
        <f>IFERROR(MID(VLOOKUP($B386,Seqs!$A:$B,2,0),Q386,1),"")</f>
        <v/>
      </c>
      <c r="Q386" s="3" t="s">
        <v>23</v>
      </c>
      <c r="R386" s="3" t="str">
        <f>IFERROR(MID(VLOOKUP($B386,Seqs!$A:$B,2,0),S386,1),"")</f>
        <v/>
      </c>
      <c r="S386" s="3" t="s">
        <v>23</v>
      </c>
      <c r="T386" s="3" t="str">
        <f>IFERROR(MID(VLOOKUP($B386,Seqs!$A:$B,2,0),U386,1),"")</f>
        <v>L</v>
      </c>
      <c r="U386" s="3">
        <v>224</v>
      </c>
      <c r="V386" s="3" t="str">
        <f>IFERROR(MID(VLOOKUP($B386,Seqs!$A:$B,2,0),W386,1),"")</f>
        <v>F</v>
      </c>
      <c r="W386" s="3">
        <v>257</v>
      </c>
      <c r="X386" s="3" t="str">
        <f>IFERROR(MID(VLOOKUP($B386,Seqs!$A:$B,2,0),Y386,1),"")</f>
        <v/>
      </c>
      <c r="Y386" s="3" t="s">
        <v>23</v>
      </c>
      <c r="Z386" s="3" t="str">
        <f>IFERROR(MID(VLOOKUP($B386,Seqs!$A:$B,2,0),AA386,1),"")</f>
        <v/>
      </c>
      <c r="AA386" s="3" t="s">
        <v>23</v>
      </c>
      <c r="AB386" s="3" t="str">
        <f>IFERROR(MID(VLOOKUP($B386,Seqs!$A:$B,2,0),AC386,1),"")</f>
        <v>E</v>
      </c>
      <c r="AC386" s="3">
        <v>262</v>
      </c>
      <c r="AD386" s="3" t="str">
        <f>IFERROR(MID(VLOOKUP($B386,Seqs!$A:$B,2,0),AE386,1),"")</f>
        <v>E</v>
      </c>
      <c r="AE386" s="3">
        <v>292</v>
      </c>
      <c r="AF386" s="3" t="str">
        <f>IFERROR(MID(VLOOKUP($B386,Seqs!$A:$B,2,0),AG386,1),"")</f>
        <v>C</v>
      </c>
      <c r="AG386" s="3">
        <v>296</v>
      </c>
      <c r="AH386" s="3" t="str">
        <f>IFERROR(MID(VLOOKUP($B386,Seqs!$A:$B,2,0),AI386,1),"")</f>
        <v>T</v>
      </c>
      <c r="AI386" s="3">
        <v>298</v>
      </c>
      <c r="AJ386" s="3" t="str">
        <f>IFERROR(MID(VLOOKUP($B386,Seqs!$A:$B,2,0),AK386,1),"")</f>
        <v>M</v>
      </c>
      <c r="AK386" s="3">
        <v>303</v>
      </c>
      <c r="AL386" s="3" t="str">
        <f>IFERROR(MID(VLOOKUP($B386,Seqs!$A:$B,2,0),AM386,1),"")</f>
        <v>A</v>
      </c>
      <c r="AM386" s="3">
        <v>337</v>
      </c>
      <c r="AN386" s="3" t="str">
        <f>IFERROR(MID(VLOOKUP($B386,Seqs!$A:$B,2,0),AO386,1),"")</f>
        <v>D</v>
      </c>
      <c r="AO386" s="3">
        <v>344</v>
      </c>
      <c r="AP386" s="3" t="str">
        <f>IFERROR(MID(VLOOKUP($B386,Seqs!$A:$B,2,0),AQ386,1),"")</f>
        <v>F</v>
      </c>
      <c r="AQ386" s="3">
        <v>367</v>
      </c>
      <c r="AR386" s="3" t="str">
        <f>IFERROR(MID(VLOOKUP($B386,Seqs!$A:$B,2,0),AS386,1),"")</f>
        <v>R</v>
      </c>
      <c r="AS386" s="3">
        <v>380</v>
      </c>
      <c r="AT386" s="3" t="str">
        <f>IFERROR(MID(VLOOKUP($B386,Seqs!$A:$B,2,0),AU386,1),"")</f>
        <v>V</v>
      </c>
      <c r="AU386" s="3">
        <v>405</v>
      </c>
      <c r="AV386" s="3" t="str">
        <f>IFERROR(MID(VLOOKUP($B386,Seqs!$A:$B,2,0),AW386,1),"")</f>
        <v>N</v>
      </c>
      <c r="AW386" s="3">
        <v>406</v>
      </c>
      <c r="AX386" s="3" t="str">
        <f>IFERROR(MID(VLOOKUP($B386,Seqs!$A:$B,2,0),AY386,1),"")</f>
        <v>L</v>
      </c>
      <c r="AY386" s="3">
        <v>422</v>
      </c>
      <c r="AZ386" s="77" t="str">
        <f>VLOOKUP(B386,Classification!A:D,2,0)</f>
        <v>B1</v>
      </c>
      <c r="BA386" s="94" t="str">
        <f>VLOOKUP(B386,Classification!A:D,4,0)</f>
        <v>Glucagonreceptorfamily</v>
      </c>
      <c r="BB386" s="27" t="b">
        <f t="shared" si="2907"/>
        <v>1</v>
      </c>
      <c r="BC386" s="23">
        <f t="shared" si="2908"/>
        <v>239</v>
      </c>
      <c r="BD386" s="4" t="s">
        <v>1376</v>
      </c>
      <c r="BE386" s="3" t="s">
        <v>1374</v>
      </c>
      <c r="BF386" s="118">
        <v>2.7</v>
      </c>
      <c r="BG386" s="49" t="s">
        <v>1281</v>
      </c>
      <c r="BH386" s="49" t="s">
        <v>1281</v>
      </c>
      <c r="BI386" s="1"/>
      <c r="BJ386" s="70" t="s">
        <v>1287</v>
      </c>
      <c r="BK386" s="57" t="s">
        <v>1287</v>
      </c>
      <c r="BL386" s="57" t="s">
        <v>1287</v>
      </c>
      <c r="BM386" s="57" t="s">
        <v>1287</v>
      </c>
      <c r="BN386" s="57" t="s">
        <v>1287</v>
      </c>
      <c r="BO386" s="57" t="s">
        <v>1287</v>
      </c>
      <c r="BP386" s="57" t="s">
        <v>1287</v>
      </c>
      <c r="BQ386" s="57" t="s">
        <v>1287</v>
      </c>
      <c r="BR386" s="57" t="s">
        <v>1287</v>
      </c>
      <c r="BS386" s="57" t="s">
        <v>1287</v>
      </c>
      <c r="BT386" s="57" t="s">
        <v>1287</v>
      </c>
      <c r="BU386" s="57" t="s">
        <v>1287</v>
      </c>
      <c r="BV386" s="70">
        <f t="shared" si="2909"/>
        <v>136</v>
      </c>
      <c r="BW386" s="71">
        <f t="shared" si="2910"/>
        <v>170</v>
      </c>
      <c r="BX386" s="72">
        <f t="shared" si="2911"/>
        <v>174</v>
      </c>
      <c r="BY386" s="71" t="str">
        <f t="shared" si="2912"/>
        <v>-</v>
      </c>
      <c r="BZ386" s="72">
        <f t="shared" si="2913"/>
        <v>224</v>
      </c>
      <c r="CA386" s="71" t="str">
        <f t="shared" si="2914"/>
        <v>-</v>
      </c>
      <c r="CB386" s="72">
        <f t="shared" si="2915"/>
        <v>262</v>
      </c>
      <c r="CC386" s="71">
        <f t="shared" si="2916"/>
        <v>296</v>
      </c>
      <c r="CD386" s="72">
        <f t="shared" si="2917"/>
        <v>303</v>
      </c>
      <c r="CE386" s="71">
        <f t="shared" si="2918"/>
        <v>344</v>
      </c>
      <c r="CF386" s="72">
        <f t="shared" si="2919"/>
        <v>380</v>
      </c>
      <c r="CG386" s="71">
        <f t="shared" si="2920"/>
        <v>406</v>
      </c>
      <c r="CH386" s="70">
        <f t="shared" si="2921"/>
        <v>169</v>
      </c>
      <c r="CI386" s="71">
        <f t="shared" si="2922"/>
        <v>173</v>
      </c>
      <c r="CJ386" s="72">
        <f t="shared" si="2923"/>
        <v>202</v>
      </c>
      <c r="CK386" s="72" t="str">
        <f t="shared" si="2924"/>
        <v>-</v>
      </c>
      <c r="CL386" s="72">
        <f t="shared" si="2925"/>
        <v>257</v>
      </c>
      <c r="CM386" s="72" t="str">
        <f t="shared" si="2926"/>
        <v>-</v>
      </c>
      <c r="CN386" s="72">
        <f t="shared" si="2927"/>
        <v>292</v>
      </c>
      <c r="CO386" s="72">
        <f t="shared" si="2928"/>
        <v>298</v>
      </c>
      <c r="CP386" s="72">
        <f t="shared" si="2929"/>
        <v>337</v>
      </c>
      <c r="CQ386" s="72">
        <f t="shared" si="2930"/>
        <v>367</v>
      </c>
      <c r="CR386" s="72">
        <f t="shared" si="2931"/>
        <v>405</v>
      </c>
      <c r="CS386" s="72">
        <f t="shared" si="2932"/>
        <v>422</v>
      </c>
      <c r="CT386" s="23">
        <f t="shared" si="2933"/>
        <v>1</v>
      </c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</row>
    <row r="387" spans="1:1029" x14ac:dyDescent="0.2">
      <c r="A387" s="3" t="str">
        <f t="shared" si="2906"/>
        <v>glp1r_human_5VEX</v>
      </c>
      <c r="B387" s="3" t="s">
        <v>406</v>
      </c>
      <c r="C387" s="3" t="s">
        <v>1406</v>
      </c>
      <c r="D387" s="3" t="str">
        <f>IFERROR(MID(VLOOKUP($B387,Seqs!$A:$B,2,0),E387,1),"")</f>
        <v>S</v>
      </c>
      <c r="E387" s="3">
        <v>136</v>
      </c>
      <c r="F387" s="3" t="str">
        <f>IFERROR(MID(VLOOKUP($B387,Seqs!$A:$B,2,0),G387,1),"")</f>
        <v>F</v>
      </c>
      <c r="G387" s="3">
        <v>169</v>
      </c>
      <c r="H387" s="3" t="str">
        <f>IFERROR(MID(VLOOKUP($B387,Seqs!$A:$B,2,0),I387,1),"")</f>
        <v>R</v>
      </c>
      <c r="I387" s="23">
        <v>170</v>
      </c>
      <c r="J387" s="3" t="str">
        <f>IFERROR(MID(VLOOKUP($B387,Seqs!$A:$B,2,0),K387,1),"")</f>
        <v>H</v>
      </c>
      <c r="K387" s="23">
        <v>173</v>
      </c>
      <c r="L387" s="3" t="str">
        <f>IFERROR(MID(VLOOKUP($B387,Seqs!$A:$B,2,0),M387,1),"")</f>
        <v>C</v>
      </c>
      <c r="M387" s="23">
        <v>174</v>
      </c>
      <c r="N387" s="3" t="str">
        <f>IFERROR(MID(VLOOKUP($B387,Seqs!$A:$B,2,0),O387,1),"")</f>
        <v>K</v>
      </c>
      <c r="O387" s="3">
        <v>202</v>
      </c>
      <c r="P387" s="3" t="str">
        <f>IFERROR(MID(VLOOKUP($B387,Seqs!$A:$B,2,0),Q387,1),"")</f>
        <v/>
      </c>
      <c r="Q387" s="3" t="s">
        <v>23</v>
      </c>
      <c r="R387" s="3" t="str">
        <f>IFERROR(MID(VLOOKUP($B387,Seqs!$A:$B,2,0),S387,1),"")</f>
        <v/>
      </c>
      <c r="S387" s="3" t="s">
        <v>23</v>
      </c>
      <c r="T387" s="3" t="str">
        <f>IFERROR(MID(VLOOKUP($B387,Seqs!$A:$B,2,0),U387,1),"")</f>
        <v>L</v>
      </c>
      <c r="U387" s="3">
        <v>224</v>
      </c>
      <c r="V387" s="3" t="str">
        <f>IFERROR(MID(VLOOKUP($B387,Seqs!$A:$B,2,0),W387,1),"")</f>
        <v>F</v>
      </c>
      <c r="W387" s="3">
        <v>257</v>
      </c>
      <c r="X387" s="3" t="str">
        <f>IFERROR(MID(VLOOKUP($B387,Seqs!$A:$B,2,0),Y387,1),"")</f>
        <v/>
      </c>
      <c r="Y387" s="3" t="s">
        <v>23</v>
      </c>
      <c r="Z387" s="3" t="str">
        <f>IFERROR(MID(VLOOKUP($B387,Seqs!$A:$B,2,0),AA387,1),"")</f>
        <v/>
      </c>
      <c r="AA387" s="3" t="s">
        <v>23</v>
      </c>
      <c r="AB387" s="3" t="str">
        <f>IFERROR(MID(VLOOKUP($B387,Seqs!$A:$B,2,0),AC387,1),"")</f>
        <v>E</v>
      </c>
      <c r="AC387" s="3">
        <v>262</v>
      </c>
      <c r="AD387" s="3" t="str">
        <f>IFERROR(MID(VLOOKUP($B387,Seqs!$A:$B,2,0),AE387,1),"")</f>
        <v>E</v>
      </c>
      <c r="AE387" s="3">
        <v>292</v>
      </c>
      <c r="AF387" s="3" t="str">
        <f>IFERROR(MID(VLOOKUP($B387,Seqs!$A:$B,2,0),AG387,1),"")</f>
        <v>C</v>
      </c>
      <c r="AG387" s="3">
        <v>296</v>
      </c>
      <c r="AH387" s="3" t="str">
        <f>IFERROR(MID(VLOOKUP($B387,Seqs!$A:$B,2,0),AI387,1),"")</f>
        <v>T</v>
      </c>
      <c r="AI387" s="3">
        <v>298</v>
      </c>
      <c r="AJ387" s="3" t="str">
        <f>IFERROR(MID(VLOOKUP($B387,Seqs!$A:$B,2,0),AK387,1),"")</f>
        <v>N</v>
      </c>
      <c r="AK387" s="3">
        <v>304</v>
      </c>
      <c r="AL387" s="3" t="str">
        <f>IFERROR(MID(VLOOKUP($B387,Seqs!$A:$B,2,0),AM387,1),"")</f>
        <v>A</v>
      </c>
      <c r="AM387" s="3">
        <v>337</v>
      </c>
      <c r="AN387" s="3" t="str">
        <f>IFERROR(MID(VLOOKUP($B387,Seqs!$A:$B,2,0),AO387,1),"")</f>
        <v>D</v>
      </c>
      <c r="AO387" s="3">
        <v>344</v>
      </c>
      <c r="AP387" s="3" t="str">
        <f>IFERROR(MID(VLOOKUP($B387,Seqs!$A:$B,2,0),AQ387,1),"")</f>
        <v>F</v>
      </c>
      <c r="AQ387" s="3">
        <v>367</v>
      </c>
      <c r="AR387" s="3" t="str">
        <f>IFERROR(MID(VLOOKUP($B387,Seqs!$A:$B,2,0),AS387,1),"")</f>
        <v>R</v>
      </c>
      <c r="AS387" s="3">
        <v>380</v>
      </c>
      <c r="AT387" s="3" t="str">
        <f>IFERROR(MID(VLOOKUP($B387,Seqs!$A:$B,2,0),AU387,1),"")</f>
        <v>V</v>
      </c>
      <c r="AU387" s="3">
        <v>405</v>
      </c>
      <c r="AV387" s="3" t="str">
        <f>IFERROR(MID(VLOOKUP($B387,Seqs!$A:$B,2,0),AW387,1),"")</f>
        <v>N</v>
      </c>
      <c r="AW387" s="3">
        <v>406</v>
      </c>
      <c r="AX387" s="3" t="str">
        <f>IFERROR(MID(VLOOKUP($B387,Seqs!$A:$B,2,0),AY387,1),"")</f>
        <v>L</v>
      </c>
      <c r="AY387" s="3">
        <v>422</v>
      </c>
      <c r="AZ387" s="77" t="str">
        <f>VLOOKUP(B387,Classification!A:D,2,0)</f>
        <v>B1</v>
      </c>
      <c r="BA387" s="94" t="str">
        <f>VLOOKUP(B387,Classification!A:D,4,0)</f>
        <v>Glucagonreceptorfamily</v>
      </c>
      <c r="BB387" s="27" t="b">
        <f t="shared" si="2907"/>
        <v>1</v>
      </c>
      <c r="BC387" s="23">
        <f t="shared" si="2908"/>
        <v>238</v>
      </c>
      <c r="BD387" s="4" t="s">
        <v>23</v>
      </c>
      <c r="BE387" s="3" t="s">
        <v>1374</v>
      </c>
      <c r="BF387" s="118">
        <v>3</v>
      </c>
      <c r="BG387" s="49" t="s">
        <v>1</v>
      </c>
      <c r="BH387" s="49" t="s">
        <v>1</v>
      </c>
      <c r="BI387" s="1"/>
      <c r="BJ387" s="70" t="s">
        <v>1287</v>
      </c>
      <c r="BK387" s="57" t="s">
        <v>1287</v>
      </c>
      <c r="BL387" s="57" t="s">
        <v>1287</v>
      </c>
      <c r="BM387" s="57" t="s">
        <v>1287</v>
      </c>
      <c r="BN387" s="57" t="s">
        <v>1287</v>
      </c>
      <c r="BO387" s="57" t="s">
        <v>1287</v>
      </c>
      <c r="BP387" s="57" t="s">
        <v>1287</v>
      </c>
      <c r="BQ387" s="57" t="s">
        <v>1287</v>
      </c>
      <c r="BR387" s="57" t="s">
        <v>1287</v>
      </c>
      <c r="BS387" s="57" t="s">
        <v>1287</v>
      </c>
      <c r="BT387" s="57" t="s">
        <v>1287</v>
      </c>
      <c r="BU387" s="57" t="s">
        <v>1287</v>
      </c>
      <c r="BV387" s="70">
        <f t="shared" si="2909"/>
        <v>136</v>
      </c>
      <c r="BW387" s="71">
        <f t="shared" si="2910"/>
        <v>170</v>
      </c>
      <c r="BX387" s="72">
        <f t="shared" si="2911"/>
        <v>174</v>
      </c>
      <c r="BY387" s="71" t="str">
        <f t="shared" si="2912"/>
        <v>-</v>
      </c>
      <c r="BZ387" s="72">
        <f t="shared" si="2913"/>
        <v>224</v>
      </c>
      <c r="CA387" s="71" t="str">
        <f t="shared" si="2914"/>
        <v>-</v>
      </c>
      <c r="CB387" s="72">
        <f t="shared" si="2915"/>
        <v>262</v>
      </c>
      <c r="CC387" s="71">
        <f t="shared" si="2916"/>
        <v>296</v>
      </c>
      <c r="CD387" s="72">
        <f t="shared" si="2917"/>
        <v>304</v>
      </c>
      <c r="CE387" s="71">
        <f t="shared" si="2918"/>
        <v>344</v>
      </c>
      <c r="CF387" s="72">
        <f t="shared" si="2919"/>
        <v>380</v>
      </c>
      <c r="CG387" s="71">
        <f t="shared" si="2920"/>
        <v>406</v>
      </c>
      <c r="CH387" s="70">
        <f t="shared" si="2921"/>
        <v>169</v>
      </c>
      <c r="CI387" s="71">
        <f t="shared" si="2922"/>
        <v>173</v>
      </c>
      <c r="CJ387" s="72">
        <f t="shared" si="2923"/>
        <v>202</v>
      </c>
      <c r="CK387" s="72" t="str">
        <f t="shared" si="2924"/>
        <v>-</v>
      </c>
      <c r="CL387" s="72">
        <f t="shared" si="2925"/>
        <v>257</v>
      </c>
      <c r="CM387" s="72" t="str">
        <f t="shared" si="2926"/>
        <v>-</v>
      </c>
      <c r="CN387" s="72">
        <f t="shared" si="2927"/>
        <v>292</v>
      </c>
      <c r="CO387" s="72">
        <f t="shared" si="2928"/>
        <v>298</v>
      </c>
      <c r="CP387" s="72">
        <f t="shared" si="2929"/>
        <v>337</v>
      </c>
      <c r="CQ387" s="72">
        <f t="shared" si="2930"/>
        <v>367</v>
      </c>
      <c r="CR387" s="72">
        <f t="shared" si="2931"/>
        <v>405</v>
      </c>
      <c r="CS387" s="72">
        <f t="shared" si="2932"/>
        <v>422</v>
      </c>
      <c r="CT387" s="23">
        <f t="shared" si="2933"/>
        <v>1</v>
      </c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</row>
    <row r="388" spans="1:1029" x14ac:dyDescent="0.2">
      <c r="A388" s="3" t="str">
        <f t="shared" si="2906"/>
        <v>glp1r_human_5NX2</v>
      </c>
      <c r="B388" s="3" t="s">
        <v>406</v>
      </c>
      <c r="C388" s="3" t="s">
        <v>1418</v>
      </c>
      <c r="D388" s="3" t="str">
        <f>IFERROR(MID(VLOOKUP($B388,Seqs!$A:$B,2,0),E388,1),"")</f>
        <v>E</v>
      </c>
      <c r="E388" s="3">
        <v>138</v>
      </c>
      <c r="F388" s="3" t="str">
        <f>IFERROR(MID(VLOOKUP($B388,Seqs!$A:$B,2,0),G388,1),"")</f>
        <v>F</v>
      </c>
      <c r="G388" s="3">
        <v>169</v>
      </c>
      <c r="H388" s="3" t="str">
        <f>IFERROR(MID(VLOOKUP($B388,Seqs!$A:$B,2,0),I388,1),"")</f>
        <v>R</v>
      </c>
      <c r="I388" s="23">
        <v>170</v>
      </c>
      <c r="J388" s="3" t="str">
        <f>IFERROR(MID(VLOOKUP($B388,Seqs!$A:$B,2,0),K388,1),"")</f>
        <v>H</v>
      </c>
      <c r="K388" s="23">
        <v>173</v>
      </c>
      <c r="L388" s="3" t="str">
        <f>IFERROR(MID(VLOOKUP($B388,Seqs!$A:$B,2,0),M388,1),"")</f>
        <v>C</v>
      </c>
      <c r="M388" s="23">
        <v>174</v>
      </c>
      <c r="N388" s="3" t="str">
        <f>IFERROR(MID(VLOOKUP($B388,Seqs!$A:$B,2,0),O388,1),"")</f>
        <v>S</v>
      </c>
      <c r="O388" s="3">
        <v>206</v>
      </c>
      <c r="P388" s="3" t="str">
        <f>IFERROR(MID(VLOOKUP($B388,Seqs!$A:$B,2,0),Q388,1),"")</f>
        <v/>
      </c>
      <c r="Q388" s="3" t="s">
        <v>23</v>
      </c>
      <c r="R388" s="3" t="str">
        <f>IFERROR(MID(VLOOKUP($B388,Seqs!$A:$B,2,0),S388,1),"")</f>
        <v/>
      </c>
      <c r="S388" s="3" t="s">
        <v>23</v>
      </c>
      <c r="T388" s="3" t="str">
        <f>IFERROR(MID(VLOOKUP($B388,Seqs!$A:$B,2,0),U388,1),"")</f>
        <v>L</v>
      </c>
      <c r="U388" s="3">
        <v>224</v>
      </c>
      <c r="V388" s="3" t="str">
        <f>IFERROR(MID(VLOOKUP($B388,Seqs!$A:$B,2,0),W388,1),"")</f>
        <v>F</v>
      </c>
      <c r="W388" s="3">
        <v>257</v>
      </c>
      <c r="X388" s="3" t="str">
        <f>IFERROR(MID(VLOOKUP($B388,Seqs!$A:$B,2,0),Y388,1),"")</f>
        <v/>
      </c>
      <c r="Y388" s="3" t="s">
        <v>23</v>
      </c>
      <c r="Z388" s="3" t="str">
        <f>IFERROR(MID(VLOOKUP($B388,Seqs!$A:$B,2,0),AA388,1),"")</f>
        <v/>
      </c>
      <c r="AA388" s="3" t="s">
        <v>23</v>
      </c>
      <c r="AB388" s="3" t="str">
        <f>IFERROR(MID(VLOOKUP($B388,Seqs!$A:$B,2,0),AC388,1),"")</f>
        <v>E</v>
      </c>
      <c r="AC388" s="3">
        <v>262</v>
      </c>
      <c r="AD388" s="3" t="str">
        <f>IFERROR(MID(VLOOKUP($B388,Seqs!$A:$B,2,0),AE388,1),"")</f>
        <v>Y</v>
      </c>
      <c r="AE388" s="3">
        <v>291</v>
      </c>
      <c r="AF388" s="3" t="str">
        <f>IFERROR(MID(VLOOKUP($B388,Seqs!$A:$B,2,0),AG388,1),"")</f>
        <v>C</v>
      </c>
      <c r="AG388" s="3">
        <v>296</v>
      </c>
      <c r="AH388" s="3" t="str">
        <f>IFERROR(MID(VLOOKUP($B388,Seqs!$A:$B,2,0),AI388,1),"")</f>
        <v>T</v>
      </c>
      <c r="AI388" s="3">
        <v>298</v>
      </c>
      <c r="AJ388" s="3" t="str">
        <f>IFERROR(MID(VLOOKUP($B388,Seqs!$A:$B,2,0),AK388,1),"")</f>
        <v>N</v>
      </c>
      <c r="AK388" s="3">
        <v>302</v>
      </c>
      <c r="AL388" s="3" t="str">
        <f>IFERROR(MID(VLOOKUP($B388,Seqs!$A:$B,2,0),AM388,1),"")</f>
        <v>L</v>
      </c>
      <c r="AM388" s="3">
        <v>335</v>
      </c>
      <c r="AN388" s="3" t="str">
        <f>IFERROR(MID(VLOOKUP($B388,Seqs!$A:$B,2,0),AO388,1),"")</f>
        <v>M</v>
      </c>
      <c r="AO388" s="3">
        <v>340</v>
      </c>
      <c r="AP388" s="3" t="str">
        <f>IFERROR(MID(VLOOKUP($B388,Seqs!$A:$B,2,0),AQ388,1),"")</f>
        <v>F</v>
      </c>
      <c r="AQ388" s="3">
        <v>369</v>
      </c>
      <c r="AR388" s="3" t="str">
        <f>IFERROR(MID(VLOOKUP($B388,Seqs!$A:$B,2,0),AS388,1),"")</f>
        <v>G</v>
      </c>
      <c r="AS388" s="3">
        <v>377</v>
      </c>
      <c r="AT388" s="3" t="str">
        <f>IFERROR(MID(VLOOKUP($B388,Seqs!$A:$B,2,0),AU388,1),"")</f>
        <v>V</v>
      </c>
      <c r="AU388" s="3">
        <v>405</v>
      </c>
      <c r="AV388" s="3" t="str">
        <f>IFERROR(MID(VLOOKUP($B388,Seqs!$A:$B,2,0),AW388,1),"")</f>
        <v>N</v>
      </c>
      <c r="AW388" s="3">
        <v>406</v>
      </c>
      <c r="AX388" s="3" t="str">
        <f>IFERROR(MID(VLOOKUP($B388,Seqs!$A:$B,2,0),AY388,1),"")</f>
        <v>S</v>
      </c>
      <c r="AY388" s="3">
        <v>416</v>
      </c>
      <c r="AZ388" s="77" t="str">
        <f>VLOOKUP(B388,Classification!A:D,2,0)</f>
        <v>B1</v>
      </c>
      <c r="BA388" s="94" t="str">
        <f>VLOOKUP(B388,Classification!A:D,4,0)</f>
        <v>Glucagonreceptorfamily</v>
      </c>
      <c r="BB388" s="27" t="b">
        <f t="shared" si="2907"/>
        <v>1</v>
      </c>
      <c r="BC388" s="23">
        <f t="shared" si="2908"/>
        <v>242</v>
      </c>
      <c r="BD388" s="4" t="s">
        <v>1429</v>
      </c>
      <c r="BE388" s="3" t="s">
        <v>1428</v>
      </c>
      <c r="BF388" s="118">
        <v>3.7</v>
      </c>
      <c r="BG388" s="49" t="s">
        <v>1</v>
      </c>
      <c r="BH388" s="49" t="s">
        <v>1</v>
      </c>
      <c r="BI388" s="1"/>
      <c r="BJ388" s="70" t="s">
        <v>1287</v>
      </c>
      <c r="BK388" s="57" t="s">
        <v>1287</v>
      </c>
      <c r="BL388" s="57" t="s">
        <v>1287</v>
      </c>
      <c r="BM388" s="57" t="s">
        <v>1287</v>
      </c>
      <c r="BN388" s="57" t="s">
        <v>1287</v>
      </c>
      <c r="BO388" s="57" t="s">
        <v>1287</v>
      </c>
      <c r="BP388" s="57" t="s">
        <v>1287</v>
      </c>
      <c r="BQ388" s="57" t="s">
        <v>1287</v>
      </c>
      <c r="BR388" s="57" t="s">
        <v>1287</v>
      </c>
      <c r="BS388" s="57" t="s">
        <v>1287</v>
      </c>
      <c r="BT388" s="57" t="s">
        <v>1287</v>
      </c>
      <c r="BU388" s="57" t="s">
        <v>1287</v>
      </c>
      <c r="BV388" s="70">
        <f t="shared" si="2909"/>
        <v>138</v>
      </c>
      <c r="BW388" s="71">
        <f t="shared" si="2910"/>
        <v>170</v>
      </c>
      <c r="BX388" s="72">
        <f t="shared" si="2911"/>
        <v>174</v>
      </c>
      <c r="BY388" s="71" t="str">
        <f t="shared" si="2912"/>
        <v>-</v>
      </c>
      <c r="BZ388" s="72">
        <f t="shared" si="2913"/>
        <v>224</v>
      </c>
      <c r="CA388" s="71" t="str">
        <f t="shared" si="2914"/>
        <v>-</v>
      </c>
      <c r="CB388" s="72">
        <f t="shared" si="2915"/>
        <v>262</v>
      </c>
      <c r="CC388" s="71">
        <f t="shared" si="2916"/>
        <v>296</v>
      </c>
      <c r="CD388" s="72">
        <f t="shared" si="2917"/>
        <v>302</v>
      </c>
      <c r="CE388" s="71">
        <f t="shared" si="2918"/>
        <v>340</v>
      </c>
      <c r="CF388" s="72">
        <f t="shared" si="2919"/>
        <v>377</v>
      </c>
      <c r="CG388" s="71">
        <f t="shared" si="2920"/>
        <v>406</v>
      </c>
      <c r="CH388" s="70">
        <f t="shared" si="2921"/>
        <v>169</v>
      </c>
      <c r="CI388" s="71">
        <f t="shared" si="2922"/>
        <v>173</v>
      </c>
      <c r="CJ388" s="72">
        <f t="shared" si="2923"/>
        <v>206</v>
      </c>
      <c r="CK388" s="72" t="str">
        <f t="shared" si="2924"/>
        <v>-</v>
      </c>
      <c r="CL388" s="72">
        <f t="shared" si="2925"/>
        <v>257</v>
      </c>
      <c r="CM388" s="72" t="str">
        <f t="shared" si="2926"/>
        <v>-</v>
      </c>
      <c r="CN388" s="72">
        <f t="shared" si="2927"/>
        <v>291</v>
      </c>
      <c r="CO388" s="72">
        <f t="shared" si="2928"/>
        <v>298</v>
      </c>
      <c r="CP388" s="72">
        <f t="shared" si="2929"/>
        <v>335</v>
      </c>
      <c r="CQ388" s="72">
        <f t="shared" si="2930"/>
        <v>369</v>
      </c>
      <c r="CR388" s="72">
        <f t="shared" si="2931"/>
        <v>405</v>
      </c>
      <c r="CS388" s="72">
        <f t="shared" si="2932"/>
        <v>416</v>
      </c>
      <c r="CT388" s="23">
        <f t="shared" si="2933"/>
        <v>1</v>
      </c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</row>
    <row r="389" spans="1:1029" x14ac:dyDescent="0.2">
      <c r="A389" s="3" t="str">
        <f t="shared" si="2906"/>
        <v>glp1r_human_6B3J</v>
      </c>
      <c r="B389" s="3" t="s">
        <v>406</v>
      </c>
      <c r="C389" s="3" t="s">
        <v>1473</v>
      </c>
      <c r="D389" s="3" t="str">
        <f>IFERROR(MID(VLOOKUP($B389,Seqs!$A:$B,2,0),E389,1),"")</f>
        <v>E</v>
      </c>
      <c r="E389" s="3">
        <v>138</v>
      </c>
      <c r="F389" s="3" t="str">
        <f>IFERROR(MID(VLOOKUP($B389,Seqs!$A:$B,2,0),G389,1),"")</f>
        <v>F</v>
      </c>
      <c r="G389" s="3">
        <v>169</v>
      </c>
      <c r="H389" s="3" t="str">
        <f>IFERROR(MID(VLOOKUP($B389,Seqs!$A:$B,2,0),I389,1),"")</f>
        <v/>
      </c>
      <c r="I389" s="23" t="s">
        <v>23</v>
      </c>
      <c r="J389" s="3" t="str">
        <f>IFERROR(MID(VLOOKUP($B389,Seqs!$A:$B,2,0),K389,1),"")</f>
        <v/>
      </c>
      <c r="K389" s="23" t="s">
        <v>23</v>
      </c>
      <c r="L389" s="3" t="str">
        <f>IFERROR(MID(VLOOKUP($B389,Seqs!$A:$B,2,0),M389,1),"")</f>
        <v>C</v>
      </c>
      <c r="M389" s="23">
        <v>174</v>
      </c>
      <c r="N389" s="3" t="str">
        <f>IFERROR(MID(VLOOKUP($B389,Seqs!$A:$B,2,0),O389,1),"")</f>
        <v>Y</v>
      </c>
      <c r="O389" s="3">
        <v>205</v>
      </c>
      <c r="P389" s="3" t="str">
        <f>IFERROR(MID(VLOOKUP($B389,Seqs!$A:$B,2,0),Q389,1),"")</f>
        <v/>
      </c>
      <c r="Q389" s="3" t="s">
        <v>23</v>
      </c>
      <c r="R389" s="3" t="str">
        <f>IFERROR(MID(VLOOKUP($B389,Seqs!$A:$B,2,0),S389,1),"")</f>
        <v/>
      </c>
      <c r="S389" s="3" t="s">
        <v>23</v>
      </c>
      <c r="T389" s="3" t="str">
        <f>IFERROR(MID(VLOOKUP($B389,Seqs!$A:$B,2,0),U389,1),"")</f>
        <v>S</v>
      </c>
      <c r="U389" s="3">
        <v>225</v>
      </c>
      <c r="V389" s="3" t="str">
        <f>IFERROR(MID(VLOOKUP($B389,Seqs!$A:$B,2,0),W389,1),"")</f>
        <v>F</v>
      </c>
      <c r="W389" s="3">
        <v>257</v>
      </c>
      <c r="X389" s="3" t="str">
        <f>IFERROR(MID(VLOOKUP($B389,Seqs!$A:$B,2,0),Y389,1),"")</f>
        <v/>
      </c>
      <c r="Y389" s="3" t="s">
        <v>23</v>
      </c>
      <c r="Z389" s="3" t="str">
        <f>IFERROR(MID(VLOOKUP($B389,Seqs!$A:$B,2,0),AA389,1),"")</f>
        <v/>
      </c>
      <c r="AA389" s="3" t="s">
        <v>23</v>
      </c>
      <c r="AB389" s="3" t="str">
        <f>IFERROR(MID(VLOOKUP($B389,Seqs!$A:$B,2,0),AC389,1),"")</f>
        <v>S</v>
      </c>
      <c r="AC389" s="3">
        <v>261</v>
      </c>
      <c r="AD389" s="3" t="str">
        <f>IFERROR(MID(VLOOKUP($B389,Seqs!$A:$B,2,0),AE389,1),"")</f>
        <v>E</v>
      </c>
      <c r="AE389" s="3">
        <v>292</v>
      </c>
      <c r="AF389" s="3" t="str">
        <f>IFERROR(MID(VLOOKUP($B389,Seqs!$A:$B,2,0),AG389,1),"")</f>
        <v>C</v>
      </c>
      <c r="AG389" s="3">
        <v>296</v>
      </c>
      <c r="AH389" s="3" t="str">
        <f>IFERROR(MID(VLOOKUP($B389,Seqs!$A:$B,2,0),AI389,1),"")</f>
        <v>T</v>
      </c>
      <c r="AI389" s="3">
        <v>298</v>
      </c>
      <c r="AJ389" s="3" t="str">
        <f>IFERROR(MID(VLOOKUP($B389,Seqs!$A:$B,2,0),AK389,1),"")</f>
        <v>N</v>
      </c>
      <c r="AK389" s="3">
        <v>302</v>
      </c>
      <c r="AL389" s="3" t="str">
        <f>IFERROR(MID(VLOOKUP($B389,Seqs!$A:$B,2,0),AM389,1),"")</f>
        <v>A</v>
      </c>
      <c r="AM389" s="3">
        <v>337</v>
      </c>
      <c r="AN389" s="3" t="str">
        <f>IFERROR(MID(VLOOKUP($B389,Seqs!$A:$B,2,0),AO389,1),"")</f>
        <v>D</v>
      </c>
      <c r="AO389" s="3">
        <v>344</v>
      </c>
      <c r="AP389" s="3" t="str">
        <f>IFERROR(MID(VLOOKUP($B389,Seqs!$A:$B,2,0),AQ389,1),"")</f>
        <v>F</v>
      </c>
      <c r="AQ389" s="3">
        <v>369</v>
      </c>
      <c r="AR389" s="3" t="str">
        <f>IFERROR(MID(VLOOKUP($B389,Seqs!$A:$B,2,0),AS389,1),"")</f>
        <v>R</v>
      </c>
      <c r="AS389" s="3">
        <v>380</v>
      </c>
      <c r="AT389" s="3" t="str">
        <f>IFERROR(MID(VLOOKUP($B389,Seqs!$A:$B,2,0),AU389,1),"")</f>
        <v>V</v>
      </c>
      <c r="AU389" s="3">
        <v>405</v>
      </c>
      <c r="AV389" s="3" t="str">
        <f>IFERROR(MID(VLOOKUP($B389,Seqs!$A:$B,2,0),AW389,1),"")</f>
        <v>N</v>
      </c>
      <c r="AW389" s="3">
        <v>406</v>
      </c>
      <c r="AX389" s="3" t="str">
        <f>IFERROR(MID(VLOOKUP($B389,Seqs!$A:$B,2,0),AY389,1),"")</f>
        <v>E</v>
      </c>
      <c r="AY389" s="3">
        <v>423</v>
      </c>
      <c r="AZ389" s="77" t="str">
        <f>VLOOKUP(B389,Classification!A:D,2,0)</f>
        <v>B1</v>
      </c>
      <c r="BA389" s="94" t="str">
        <f>VLOOKUP(B389,Classification!A:D,4,0)</f>
        <v>Glucagonreceptorfamily</v>
      </c>
      <c r="BB389" s="27" t="b">
        <f t="shared" si="2907"/>
        <v>1</v>
      </c>
      <c r="BC389" s="23">
        <f t="shared" si="2908"/>
        <v>241</v>
      </c>
      <c r="BD389" s="4" t="s">
        <v>1375</v>
      </c>
      <c r="BE389" s="3" t="s">
        <v>1291</v>
      </c>
      <c r="BF389" s="118">
        <v>3.3</v>
      </c>
      <c r="BG389" s="49" t="s">
        <v>1422</v>
      </c>
      <c r="BH389" s="49" t="s">
        <v>1422</v>
      </c>
      <c r="BI389" s="1"/>
      <c r="BJ389" s="70" t="s">
        <v>1287</v>
      </c>
      <c r="BK389" s="57" t="s">
        <v>1287</v>
      </c>
      <c r="BL389" s="57" t="s">
        <v>1287</v>
      </c>
      <c r="BM389" s="57" t="s">
        <v>1287</v>
      </c>
      <c r="BN389" s="57" t="s">
        <v>1287</v>
      </c>
      <c r="BO389" s="57" t="s">
        <v>1287</v>
      </c>
      <c r="BP389" s="57" t="s">
        <v>1287</v>
      </c>
      <c r="BQ389" s="57" t="s">
        <v>1287</v>
      </c>
      <c r="BR389" s="57" t="s">
        <v>1287</v>
      </c>
      <c r="BS389" s="57" t="s">
        <v>1287</v>
      </c>
      <c r="BT389" s="57" t="s">
        <v>1287</v>
      </c>
      <c r="BU389" s="57" t="s">
        <v>1287</v>
      </c>
      <c r="BV389" s="70">
        <f t="shared" si="2909"/>
        <v>138</v>
      </c>
      <c r="BW389" s="71" t="str">
        <f t="shared" si="2910"/>
        <v>-</v>
      </c>
      <c r="BX389" s="72">
        <f t="shared" si="2911"/>
        <v>174</v>
      </c>
      <c r="BY389" s="71" t="str">
        <f t="shared" si="2912"/>
        <v>-</v>
      </c>
      <c r="BZ389" s="72">
        <f t="shared" si="2913"/>
        <v>225</v>
      </c>
      <c r="CA389" s="71" t="str">
        <f t="shared" si="2914"/>
        <v>-</v>
      </c>
      <c r="CB389" s="72">
        <f t="shared" si="2915"/>
        <v>261</v>
      </c>
      <c r="CC389" s="71">
        <f t="shared" si="2916"/>
        <v>296</v>
      </c>
      <c r="CD389" s="72">
        <f t="shared" si="2917"/>
        <v>302</v>
      </c>
      <c r="CE389" s="71">
        <f t="shared" si="2918"/>
        <v>344</v>
      </c>
      <c r="CF389" s="72">
        <f t="shared" si="2919"/>
        <v>380</v>
      </c>
      <c r="CG389" s="71">
        <f t="shared" si="2920"/>
        <v>406</v>
      </c>
      <c r="CH389" s="70">
        <f t="shared" si="2921"/>
        <v>169</v>
      </c>
      <c r="CI389" s="71" t="str">
        <f t="shared" si="2922"/>
        <v>-</v>
      </c>
      <c r="CJ389" s="72">
        <f t="shared" si="2923"/>
        <v>205</v>
      </c>
      <c r="CK389" s="72" t="str">
        <f t="shared" si="2924"/>
        <v>-</v>
      </c>
      <c r="CL389" s="72">
        <f t="shared" si="2925"/>
        <v>257</v>
      </c>
      <c r="CM389" s="72" t="str">
        <f t="shared" si="2926"/>
        <v>-</v>
      </c>
      <c r="CN389" s="72">
        <f t="shared" si="2927"/>
        <v>292</v>
      </c>
      <c r="CO389" s="72">
        <f t="shared" si="2928"/>
        <v>298</v>
      </c>
      <c r="CP389" s="72">
        <f t="shared" si="2929"/>
        <v>337</v>
      </c>
      <c r="CQ389" s="72">
        <f t="shared" si="2930"/>
        <v>369</v>
      </c>
      <c r="CR389" s="72">
        <f t="shared" si="2931"/>
        <v>405</v>
      </c>
      <c r="CS389" s="72">
        <f t="shared" si="2932"/>
        <v>423</v>
      </c>
      <c r="CT389" s="23" t="e">
        <f t="shared" si="2933"/>
        <v>#VALUE!</v>
      </c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</row>
    <row r="390" spans="1:1029" s="12" customFormat="1" x14ac:dyDescent="0.2">
      <c r="A390" s="9" t="str">
        <f t="shared" ref="A390" si="2934">CONCATENATE(B390,"_",C390)</f>
        <v>glp1r_human_6KJV</v>
      </c>
      <c r="B390" s="9" t="s">
        <v>406</v>
      </c>
      <c r="C390" s="9" t="s">
        <v>1604</v>
      </c>
      <c r="D390" s="9" t="str">
        <f>IFERROR(MID(VLOOKUP($B390,Seqs!$A:$B,2,0),E390,1),"")</f>
        <v>S</v>
      </c>
      <c r="E390" s="9">
        <v>136</v>
      </c>
      <c r="F390" s="9" t="str">
        <f>IFERROR(MID(VLOOKUP($B390,Seqs!$A:$B,2,0),G390,1),"")</f>
        <v>F</v>
      </c>
      <c r="G390" s="9">
        <v>169</v>
      </c>
      <c r="H390" s="9" t="str">
        <f>IFERROR(MID(VLOOKUP($B390,Seqs!$A:$B,2,0),I390,1),"")</f>
        <v>R</v>
      </c>
      <c r="I390" s="109">
        <v>170</v>
      </c>
      <c r="J390" s="9" t="str">
        <f>IFERROR(MID(VLOOKUP($B390,Seqs!$A:$B,2,0),K390,1),"")</f>
        <v>H</v>
      </c>
      <c r="K390" s="109">
        <v>173</v>
      </c>
      <c r="L390" s="9" t="str">
        <f>IFERROR(MID(VLOOKUP($B390,Seqs!$A:$B,2,0),M390,1),"")</f>
        <v>C</v>
      </c>
      <c r="M390" s="109">
        <v>174</v>
      </c>
      <c r="N390" s="9" t="str">
        <f>IFERROR(MID(VLOOKUP($B390,Seqs!$A:$B,2,0),O390,1),"")</f>
        <v>K</v>
      </c>
      <c r="O390" s="9">
        <v>202</v>
      </c>
      <c r="P390" s="9" t="str">
        <f>IFERROR(MID(VLOOKUP($B390,Seqs!$A:$B,2,0),Q390,1),"")</f>
        <v/>
      </c>
      <c r="Q390" s="9" t="s">
        <v>23</v>
      </c>
      <c r="R390" s="9" t="str">
        <f>IFERROR(MID(VLOOKUP($B390,Seqs!$A:$B,2,0),S390,1),"")</f>
        <v/>
      </c>
      <c r="S390" s="9" t="s">
        <v>23</v>
      </c>
      <c r="T390" s="9" t="str">
        <f>IFERROR(MID(VLOOKUP($B390,Seqs!$A:$B,2,0),U390,1),"")</f>
        <v>L</v>
      </c>
      <c r="U390" s="9">
        <v>224</v>
      </c>
      <c r="V390" s="9" t="str">
        <f>IFERROR(MID(VLOOKUP($B390,Seqs!$A:$B,2,0),W390,1),"")</f>
        <v>F</v>
      </c>
      <c r="W390" s="9">
        <v>257</v>
      </c>
      <c r="X390" s="9" t="str">
        <f>IFERROR(MID(VLOOKUP($B390,Seqs!$A:$B,2,0),Y390,1),"")</f>
        <v/>
      </c>
      <c r="Y390" s="9" t="s">
        <v>23</v>
      </c>
      <c r="Z390" s="9" t="str">
        <f>IFERROR(MID(VLOOKUP($B390,Seqs!$A:$B,2,0),AA390,1),"")</f>
        <v/>
      </c>
      <c r="AA390" s="9" t="s">
        <v>23</v>
      </c>
      <c r="AB390" s="9" t="str">
        <f>IFERROR(MID(VLOOKUP($B390,Seqs!$A:$B,2,0),AC390,1),"")</f>
        <v>E</v>
      </c>
      <c r="AC390" s="9">
        <v>262</v>
      </c>
      <c r="AD390" s="9" t="str">
        <f>IFERROR(MID(VLOOKUP($B390,Seqs!$A:$B,2,0),AE390,1),"")</f>
        <v>E</v>
      </c>
      <c r="AE390" s="9">
        <v>292</v>
      </c>
      <c r="AF390" s="9" t="str">
        <f>IFERROR(MID(VLOOKUP($B390,Seqs!$A:$B,2,0),AG390,1),"")</f>
        <v>C</v>
      </c>
      <c r="AG390" s="9">
        <v>296</v>
      </c>
      <c r="AH390" s="9" t="str">
        <f>IFERROR(MID(VLOOKUP($B390,Seqs!$A:$B,2,0),AI390,1),"")</f>
        <v>T</v>
      </c>
      <c r="AI390" s="9">
        <v>298</v>
      </c>
      <c r="AJ390" s="9" t="str">
        <f>IFERROR(MID(VLOOKUP($B390,Seqs!$A:$B,2,0),AK390,1),"")</f>
        <v>M</v>
      </c>
      <c r="AK390" s="9">
        <v>303</v>
      </c>
      <c r="AL390" s="9" t="str">
        <f>IFERROR(MID(VLOOKUP($B390,Seqs!$A:$B,2,0),AM390,1),"")</f>
        <v>N</v>
      </c>
      <c r="AM390" s="9">
        <v>338</v>
      </c>
      <c r="AN390" s="9" t="str">
        <f>IFERROR(MID(VLOOKUP($B390,Seqs!$A:$B,2,0),AO390,1),"")</f>
        <v>D</v>
      </c>
      <c r="AO390" s="9">
        <v>344</v>
      </c>
      <c r="AP390" s="9" t="str">
        <f>IFERROR(MID(VLOOKUP($B390,Seqs!$A:$B,2,0),AQ390,1),"")</f>
        <v>F</v>
      </c>
      <c r="AQ390" s="9">
        <v>367</v>
      </c>
      <c r="AR390" s="9" t="str">
        <f>IFERROR(MID(VLOOKUP($B390,Seqs!$A:$B,2,0),AS390,1),"")</f>
        <v>R</v>
      </c>
      <c r="AS390" s="9">
        <v>380</v>
      </c>
      <c r="AT390" s="9" t="str">
        <f>IFERROR(MID(VLOOKUP($B390,Seqs!$A:$B,2,0),AU390,1),"")</f>
        <v>V</v>
      </c>
      <c r="AU390" s="9">
        <v>405</v>
      </c>
      <c r="AV390" s="9" t="str">
        <f>IFERROR(MID(VLOOKUP($B390,Seqs!$A:$B,2,0),AW390,1),"")</f>
        <v>N</v>
      </c>
      <c r="AW390" s="9">
        <v>406</v>
      </c>
      <c r="AX390" s="9" t="str">
        <f>IFERROR(MID(VLOOKUP($B390,Seqs!$A:$B,2,0),AY390,1),"")</f>
        <v>L</v>
      </c>
      <c r="AY390" s="9">
        <v>422</v>
      </c>
      <c r="AZ390" s="110" t="str">
        <f>VLOOKUP(B390,Classification!A:D,2,0)</f>
        <v>B1</v>
      </c>
      <c r="BA390" s="98" t="str">
        <f>VLOOKUP(B390,Classification!A:D,4,0)</f>
        <v>Glucagonreceptorfamily</v>
      </c>
      <c r="BB390" s="36" t="b">
        <f t="shared" ref="BB390" si="2935">AND(E390&lt;G390,OR(G390&lt;I390,I390="-"),OR(I390&lt;K390,I390="-"),OR(K390&lt;M390,K390="-"),M390&lt;O390,OR(O390&lt;Q390,Q390="-"),OR(Q390&lt;S390,Q390="-"),OR(S390&lt;U390,S390="-"),U390&lt;W390,OR(W390&lt;Y390,Y390="-"),OR(Y390&lt;AA390,Y390="-"),OR(AA390&lt;AC390,AA390="-"),AC390&lt;AE390,OR(AE390&lt;AG390,AG390="-"),OR(AG390&lt;AI390,AG390="-"),OR(AI390&lt;AK390,AI390="-"),AK390&lt;AM390,AM390&lt;AO390,AO390&lt;AQ390,AQ390&lt;AS390,AS390&lt;AU390,OR(AU390&lt;AW390,AW390="-"),OR(AW390&lt;AY390,AW390="-"))</f>
        <v>1</v>
      </c>
      <c r="BC390" s="109">
        <f t="shared" ref="BC390" si="2936">_xlfn.AGGREGATE(9,6,CH390:CS390)-_xlfn.AGGREGATE(9,6,BV390:CG390)+12</f>
        <v>240</v>
      </c>
      <c r="BD390" s="11" t="s">
        <v>23</v>
      </c>
      <c r="BE390" s="9" t="s">
        <v>1374</v>
      </c>
      <c r="BF390" s="119">
        <v>2.8</v>
      </c>
      <c r="BG390" s="51" t="s">
        <v>1281</v>
      </c>
      <c r="BH390" s="51" t="s">
        <v>1281</v>
      </c>
      <c r="BJ390" s="111" t="s">
        <v>1287</v>
      </c>
      <c r="BK390" s="112" t="s">
        <v>1287</v>
      </c>
      <c r="BL390" s="112" t="s">
        <v>1287</v>
      </c>
      <c r="BM390" s="112" t="s">
        <v>1287</v>
      </c>
      <c r="BN390" s="112" t="s">
        <v>1287</v>
      </c>
      <c r="BO390" s="112" t="s">
        <v>1287</v>
      </c>
      <c r="BP390" s="112" t="s">
        <v>1287</v>
      </c>
      <c r="BQ390" s="112" t="s">
        <v>1287</v>
      </c>
      <c r="BR390" s="112" t="s">
        <v>1287</v>
      </c>
      <c r="BS390" s="112" t="s">
        <v>1287</v>
      </c>
      <c r="BT390" s="112" t="s">
        <v>1287</v>
      </c>
      <c r="BU390" s="112" t="s">
        <v>1287</v>
      </c>
      <c r="BV390" s="111">
        <f t="shared" ref="BV390" si="2937">E390</f>
        <v>136</v>
      </c>
      <c r="BW390" s="113">
        <f t="shared" ref="BW390" si="2938">I390</f>
        <v>170</v>
      </c>
      <c r="BX390" s="114">
        <f t="shared" ref="BX390" si="2939">M390</f>
        <v>174</v>
      </c>
      <c r="BY390" s="113" t="str">
        <f t="shared" ref="BY390" si="2940">Q390</f>
        <v>-</v>
      </c>
      <c r="BZ390" s="114">
        <f t="shared" ref="BZ390" si="2941">U390</f>
        <v>224</v>
      </c>
      <c r="CA390" s="113" t="str">
        <f t="shared" ref="CA390" si="2942">Y390</f>
        <v>-</v>
      </c>
      <c r="CB390" s="114">
        <f t="shared" ref="CB390" si="2943">AC390</f>
        <v>262</v>
      </c>
      <c r="CC390" s="113">
        <f t="shared" ref="CC390" si="2944">AG390</f>
        <v>296</v>
      </c>
      <c r="CD390" s="114">
        <f t="shared" ref="CD390" si="2945">AK390</f>
        <v>303</v>
      </c>
      <c r="CE390" s="113">
        <f t="shared" ref="CE390" si="2946">AO390</f>
        <v>344</v>
      </c>
      <c r="CF390" s="114">
        <f t="shared" ref="CF390" si="2947">AS390</f>
        <v>380</v>
      </c>
      <c r="CG390" s="113">
        <f t="shared" ref="CG390" si="2948">AW390</f>
        <v>406</v>
      </c>
      <c r="CH390" s="111">
        <f t="shared" ref="CH390" si="2949">G390</f>
        <v>169</v>
      </c>
      <c r="CI390" s="113">
        <f t="shared" ref="CI390" si="2950">K390</f>
        <v>173</v>
      </c>
      <c r="CJ390" s="114">
        <f t="shared" ref="CJ390" si="2951">O390</f>
        <v>202</v>
      </c>
      <c r="CK390" s="114" t="str">
        <f t="shared" ref="CK390" si="2952">S390</f>
        <v>-</v>
      </c>
      <c r="CL390" s="114">
        <f t="shared" ref="CL390" si="2953">W390</f>
        <v>257</v>
      </c>
      <c r="CM390" s="114" t="str">
        <f t="shared" ref="CM390" si="2954">AA390</f>
        <v>-</v>
      </c>
      <c r="CN390" s="114">
        <f t="shared" ref="CN390" si="2955">AE390</f>
        <v>292</v>
      </c>
      <c r="CO390" s="114">
        <f t="shared" ref="CO390" si="2956">AI390</f>
        <v>298</v>
      </c>
      <c r="CP390" s="114">
        <f t="shared" ref="CP390" si="2957">AM390</f>
        <v>338</v>
      </c>
      <c r="CQ390" s="114">
        <f t="shared" ref="CQ390" si="2958">AQ390</f>
        <v>367</v>
      </c>
      <c r="CR390" s="114">
        <f t="shared" ref="CR390" si="2959">AU390</f>
        <v>405</v>
      </c>
      <c r="CS390" s="114">
        <f t="shared" ref="CS390" si="2960">AY390</f>
        <v>422</v>
      </c>
      <c r="CT390" s="109">
        <f t="shared" ref="CT390" si="2961">M390-K390</f>
        <v>1</v>
      </c>
    </row>
    <row r="391" spans="1:1029" s="12" customFormat="1" x14ac:dyDescent="0.2">
      <c r="A391" s="9" t="str">
        <f t="shared" ref="A391" si="2962">CONCATENATE(B391,"_",C391)</f>
        <v>glp1r_human_6KK1</v>
      </c>
      <c r="B391" s="9" t="s">
        <v>406</v>
      </c>
      <c r="C391" s="9" t="s">
        <v>1605</v>
      </c>
      <c r="D391" s="9" t="str">
        <f>IFERROR(MID(VLOOKUP($B391,Seqs!$A:$B,2,0),E391,1),"")</f>
        <v>S</v>
      </c>
      <c r="E391" s="9">
        <v>136</v>
      </c>
      <c r="F391" s="9" t="str">
        <f>IFERROR(MID(VLOOKUP($B391,Seqs!$A:$B,2,0),G391,1),"")</f>
        <v>F</v>
      </c>
      <c r="G391" s="9">
        <v>169</v>
      </c>
      <c r="H391" s="9" t="str">
        <f>IFERROR(MID(VLOOKUP($B391,Seqs!$A:$B,2,0),I391,1),"")</f>
        <v>R</v>
      </c>
      <c r="I391" s="109">
        <v>170</v>
      </c>
      <c r="J391" s="9" t="str">
        <f>IFERROR(MID(VLOOKUP($B391,Seqs!$A:$B,2,0),K391,1),"")</f>
        <v>H</v>
      </c>
      <c r="K391" s="109">
        <v>173</v>
      </c>
      <c r="L391" s="9" t="str">
        <f>IFERROR(MID(VLOOKUP($B391,Seqs!$A:$B,2,0),M391,1),"")</f>
        <v>C</v>
      </c>
      <c r="M391" s="109">
        <v>174</v>
      </c>
      <c r="N391" s="9" t="str">
        <f>IFERROR(MID(VLOOKUP($B391,Seqs!$A:$B,2,0),O391,1),"")</f>
        <v>K</v>
      </c>
      <c r="O391" s="9">
        <v>202</v>
      </c>
      <c r="P391" s="9" t="str">
        <f>IFERROR(MID(VLOOKUP($B391,Seqs!$A:$B,2,0),Q391,1),"")</f>
        <v/>
      </c>
      <c r="Q391" s="9" t="s">
        <v>23</v>
      </c>
      <c r="R391" s="9" t="str">
        <f>IFERROR(MID(VLOOKUP($B391,Seqs!$A:$B,2,0),S391,1),"")</f>
        <v/>
      </c>
      <c r="S391" s="9" t="s">
        <v>23</v>
      </c>
      <c r="T391" s="9" t="str">
        <f>IFERROR(MID(VLOOKUP($B391,Seqs!$A:$B,2,0),U391,1),"")</f>
        <v>L</v>
      </c>
      <c r="U391" s="9">
        <v>224</v>
      </c>
      <c r="V391" s="9" t="str">
        <f>IFERROR(MID(VLOOKUP($B391,Seqs!$A:$B,2,0),W391,1),"")</f>
        <v>F</v>
      </c>
      <c r="W391" s="9">
        <v>257</v>
      </c>
      <c r="X391" s="9" t="str">
        <f>IFERROR(MID(VLOOKUP($B391,Seqs!$A:$B,2,0),Y391,1),"")</f>
        <v/>
      </c>
      <c r="Y391" s="9" t="s">
        <v>23</v>
      </c>
      <c r="Z391" s="9" t="str">
        <f>IFERROR(MID(VLOOKUP($B391,Seqs!$A:$B,2,0),AA391,1),"")</f>
        <v/>
      </c>
      <c r="AA391" s="9" t="s">
        <v>23</v>
      </c>
      <c r="AB391" s="9" t="str">
        <f>IFERROR(MID(VLOOKUP($B391,Seqs!$A:$B,2,0),AC391,1),"")</f>
        <v>E</v>
      </c>
      <c r="AC391" s="9">
        <v>262</v>
      </c>
      <c r="AD391" s="9" t="str">
        <f>IFERROR(MID(VLOOKUP($B391,Seqs!$A:$B,2,0),AE391,1),"")</f>
        <v>E</v>
      </c>
      <c r="AE391" s="9">
        <v>292</v>
      </c>
      <c r="AF391" s="9" t="str">
        <f>IFERROR(MID(VLOOKUP($B391,Seqs!$A:$B,2,0),AG391,1),"")</f>
        <v>C</v>
      </c>
      <c r="AG391" s="9">
        <v>296</v>
      </c>
      <c r="AH391" s="9" t="str">
        <f>IFERROR(MID(VLOOKUP($B391,Seqs!$A:$B,2,0),AI391,1),"")</f>
        <v>T</v>
      </c>
      <c r="AI391" s="9">
        <v>298</v>
      </c>
      <c r="AJ391" s="9" t="str">
        <f>IFERROR(MID(VLOOKUP($B391,Seqs!$A:$B,2,0),AK391,1),"")</f>
        <v>M</v>
      </c>
      <c r="AK391" s="9">
        <v>303</v>
      </c>
      <c r="AL391" s="9" t="str">
        <f>IFERROR(MID(VLOOKUP($B391,Seqs!$A:$B,2,0),AM391,1),"")</f>
        <v>N</v>
      </c>
      <c r="AM391" s="9">
        <v>338</v>
      </c>
      <c r="AN391" s="9" t="str">
        <f>IFERROR(MID(VLOOKUP($B391,Seqs!$A:$B,2,0),AO391,1),"")</f>
        <v>D</v>
      </c>
      <c r="AO391" s="9">
        <v>344</v>
      </c>
      <c r="AP391" s="9" t="str">
        <f>IFERROR(MID(VLOOKUP($B391,Seqs!$A:$B,2,0),AQ391,1),"")</f>
        <v>F</v>
      </c>
      <c r="AQ391" s="9">
        <v>367</v>
      </c>
      <c r="AR391" s="9" t="str">
        <f>IFERROR(MID(VLOOKUP($B391,Seqs!$A:$B,2,0),AS391,1),"")</f>
        <v>R</v>
      </c>
      <c r="AS391" s="9">
        <v>380</v>
      </c>
      <c r="AT391" s="9" t="str">
        <f>IFERROR(MID(VLOOKUP($B391,Seqs!$A:$B,2,0),AU391,1),"")</f>
        <v>V</v>
      </c>
      <c r="AU391" s="9">
        <v>405</v>
      </c>
      <c r="AV391" s="9" t="str">
        <f>IFERROR(MID(VLOOKUP($B391,Seqs!$A:$B,2,0),AW391,1),"")</f>
        <v>N</v>
      </c>
      <c r="AW391" s="9">
        <v>406</v>
      </c>
      <c r="AX391" s="9" t="str">
        <f>IFERROR(MID(VLOOKUP($B391,Seqs!$A:$B,2,0),AY391,1),"")</f>
        <v>L</v>
      </c>
      <c r="AY391" s="9">
        <v>422</v>
      </c>
      <c r="AZ391" s="110" t="str">
        <f>VLOOKUP(B391,Classification!A:D,2,0)</f>
        <v>B1</v>
      </c>
      <c r="BA391" s="98" t="str">
        <f>VLOOKUP(B391,Classification!A:D,4,0)</f>
        <v>Glucagonreceptorfamily</v>
      </c>
      <c r="BB391" s="36" t="b">
        <f t="shared" ref="BB391" si="2963">AND(E391&lt;G391,OR(G391&lt;I391,I391="-"),OR(I391&lt;K391,I391="-"),OR(K391&lt;M391,K391="-"),M391&lt;O391,OR(O391&lt;Q391,Q391="-"),OR(Q391&lt;S391,Q391="-"),OR(S391&lt;U391,S391="-"),U391&lt;W391,OR(W391&lt;Y391,Y391="-"),OR(Y391&lt;AA391,Y391="-"),OR(AA391&lt;AC391,AA391="-"),AC391&lt;AE391,OR(AE391&lt;AG391,AG391="-"),OR(AG391&lt;AI391,AG391="-"),OR(AI391&lt;AK391,AI391="-"),AK391&lt;AM391,AM391&lt;AO391,AO391&lt;AQ391,AQ391&lt;AS391,AS391&lt;AU391,OR(AU391&lt;AW391,AW391="-"),OR(AW391&lt;AY391,AW391="-"))</f>
        <v>1</v>
      </c>
      <c r="BC391" s="109">
        <f t="shared" ref="BC391" si="2964">_xlfn.AGGREGATE(9,6,CH391:CS391)-_xlfn.AGGREGATE(9,6,BV391:CG391)+12</f>
        <v>240</v>
      </c>
      <c r="BD391" s="11" t="s">
        <v>23</v>
      </c>
      <c r="BE391" s="9" t="s">
        <v>1374</v>
      </c>
      <c r="BF391" s="119">
        <v>2.8</v>
      </c>
      <c r="BG391" s="51" t="s">
        <v>1281</v>
      </c>
      <c r="BH391" s="51" t="s">
        <v>1281</v>
      </c>
      <c r="BJ391" s="111" t="s">
        <v>1287</v>
      </c>
      <c r="BK391" s="112" t="s">
        <v>1287</v>
      </c>
      <c r="BL391" s="112" t="s">
        <v>1287</v>
      </c>
      <c r="BM391" s="112" t="s">
        <v>1287</v>
      </c>
      <c r="BN391" s="112" t="s">
        <v>1287</v>
      </c>
      <c r="BO391" s="112" t="s">
        <v>1287</v>
      </c>
      <c r="BP391" s="112" t="s">
        <v>1287</v>
      </c>
      <c r="BQ391" s="112" t="s">
        <v>1287</v>
      </c>
      <c r="BR391" s="112" t="s">
        <v>1287</v>
      </c>
      <c r="BS391" s="112" t="s">
        <v>1287</v>
      </c>
      <c r="BT391" s="112" t="s">
        <v>1287</v>
      </c>
      <c r="BU391" s="112" t="s">
        <v>1287</v>
      </c>
      <c r="BV391" s="111">
        <f t="shared" ref="BV391" si="2965">E391</f>
        <v>136</v>
      </c>
      <c r="BW391" s="113">
        <f t="shared" ref="BW391" si="2966">I391</f>
        <v>170</v>
      </c>
      <c r="BX391" s="114">
        <f t="shared" ref="BX391" si="2967">M391</f>
        <v>174</v>
      </c>
      <c r="BY391" s="113" t="str">
        <f t="shared" ref="BY391" si="2968">Q391</f>
        <v>-</v>
      </c>
      <c r="BZ391" s="114">
        <f t="shared" ref="BZ391" si="2969">U391</f>
        <v>224</v>
      </c>
      <c r="CA391" s="113" t="str">
        <f t="shared" ref="CA391" si="2970">Y391</f>
        <v>-</v>
      </c>
      <c r="CB391" s="114">
        <f t="shared" ref="CB391" si="2971">AC391</f>
        <v>262</v>
      </c>
      <c r="CC391" s="113">
        <f t="shared" ref="CC391" si="2972">AG391</f>
        <v>296</v>
      </c>
      <c r="CD391" s="114">
        <f t="shared" ref="CD391" si="2973">AK391</f>
        <v>303</v>
      </c>
      <c r="CE391" s="113">
        <f t="shared" ref="CE391" si="2974">AO391</f>
        <v>344</v>
      </c>
      <c r="CF391" s="114">
        <f t="shared" ref="CF391" si="2975">AS391</f>
        <v>380</v>
      </c>
      <c r="CG391" s="113">
        <f t="shared" ref="CG391" si="2976">AW391</f>
        <v>406</v>
      </c>
      <c r="CH391" s="111">
        <f t="shared" ref="CH391" si="2977">G391</f>
        <v>169</v>
      </c>
      <c r="CI391" s="113">
        <f t="shared" ref="CI391" si="2978">K391</f>
        <v>173</v>
      </c>
      <c r="CJ391" s="114">
        <f t="shared" ref="CJ391" si="2979">O391</f>
        <v>202</v>
      </c>
      <c r="CK391" s="114" t="str">
        <f t="shared" ref="CK391" si="2980">S391</f>
        <v>-</v>
      </c>
      <c r="CL391" s="114">
        <f t="shared" ref="CL391" si="2981">W391</f>
        <v>257</v>
      </c>
      <c r="CM391" s="114" t="str">
        <f t="shared" ref="CM391" si="2982">AA391</f>
        <v>-</v>
      </c>
      <c r="CN391" s="114">
        <f t="shared" ref="CN391" si="2983">AE391</f>
        <v>292</v>
      </c>
      <c r="CO391" s="114">
        <f t="shared" ref="CO391" si="2984">AI391</f>
        <v>298</v>
      </c>
      <c r="CP391" s="114">
        <f t="shared" ref="CP391" si="2985">AM391</f>
        <v>338</v>
      </c>
      <c r="CQ391" s="114">
        <f t="shared" ref="CQ391" si="2986">AQ391</f>
        <v>367</v>
      </c>
      <c r="CR391" s="114">
        <f t="shared" ref="CR391" si="2987">AU391</f>
        <v>405</v>
      </c>
      <c r="CS391" s="114">
        <f t="shared" ref="CS391" si="2988">AY391</f>
        <v>422</v>
      </c>
      <c r="CT391" s="109">
        <f t="shared" ref="CT391" si="2989">M391-K391</f>
        <v>1</v>
      </c>
    </row>
    <row r="392" spans="1:1029" s="12" customFormat="1" x14ac:dyDescent="0.2">
      <c r="A392" s="9" t="str">
        <f t="shared" ref="A392" si="2990">CONCATENATE(B392,"_",C392)</f>
        <v>glp1r_human_6KK7</v>
      </c>
      <c r="B392" s="9" t="s">
        <v>406</v>
      </c>
      <c r="C392" s="9" t="s">
        <v>1606</v>
      </c>
      <c r="D392" s="9" t="str">
        <f>IFERROR(MID(VLOOKUP($B392,Seqs!$A:$B,2,0),E392,1),"")</f>
        <v>S</v>
      </c>
      <c r="E392" s="9">
        <v>136</v>
      </c>
      <c r="F392" s="9" t="str">
        <f>IFERROR(MID(VLOOKUP($B392,Seqs!$A:$B,2,0),G392,1),"")</f>
        <v>F</v>
      </c>
      <c r="G392" s="9">
        <v>169</v>
      </c>
      <c r="H392" s="9" t="str">
        <f>IFERROR(MID(VLOOKUP($B392,Seqs!$A:$B,2,0),I392,1),"")</f>
        <v>R</v>
      </c>
      <c r="I392" s="109">
        <v>170</v>
      </c>
      <c r="J392" s="9" t="str">
        <f>IFERROR(MID(VLOOKUP($B392,Seqs!$A:$B,2,0),K392,1),"")</f>
        <v>H</v>
      </c>
      <c r="K392" s="109">
        <v>173</v>
      </c>
      <c r="L392" s="9" t="str">
        <f>IFERROR(MID(VLOOKUP($B392,Seqs!$A:$B,2,0),M392,1),"")</f>
        <v>C</v>
      </c>
      <c r="M392" s="109">
        <v>174</v>
      </c>
      <c r="N392" s="9" t="str">
        <f>IFERROR(MID(VLOOKUP($B392,Seqs!$A:$B,2,0),O392,1),"")</f>
        <v>K</v>
      </c>
      <c r="O392" s="9">
        <v>202</v>
      </c>
      <c r="P392" s="9" t="str">
        <f>IFERROR(MID(VLOOKUP($B392,Seqs!$A:$B,2,0),Q392,1),"")</f>
        <v/>
      </c>
      <c r="Q392" s="9" t="s">
        <v>23</v>
      </c>
      <c r="R392" s="9" t="str">
        <f>IFERROR(MID(VLOOKUP($B392,Seqs!$A:$B,2,0),S392,1),"")</f>
        <v/>
      </c>
      <c r="S392" s="9" t="s">
        <v>23</v>
      </c>
      <c r="T392" s="9" t="str">
        <f>IFERROR(MID(VLOOKUP($B392,Seqs!$A:$B,2,0),U392,1),"")</f>
        <v>L</v>
      </c>
      <c r="U392" s="9">
        <v>224</v>
      </c>
      <c r="V392" s="9" t="str">
        <f>IFERROR(MID(VLOOKUP($B392,Seqs!$A:$B,2,0),W392,1),"")</f>
        <v>F</v>
      </c>
      <c r="W392" s="9">
        <v>257</v>
      </c>
      <c r="X392" s="9" t="str">
        <f>IFERROR(MID(VLOOKUP($B392,Seqs!$A:$B,2,0),Y392,1),"")</f>
        <v/>
      </c>
      <c r="Y392" s="9" t="s">
        <v>23</v>
      </c>
      <c r="Z392" s="9" t="str">
        <f>IFERROR(MID(VLOOKUP($B392,Seqs!$A:$B,2,0),AA392,1),"")</f>
        <v/>
      </c>
      <c r="AA392" s="9" t="s">
        <v>23</v>
      </c>
      <c r="AB392" s="9" t="str">
        <f>IFERROR(MID(VLOOKUP($B392,Seqs!$A:$B,2,0),AC392,1),"")</f>
        <v>E</v>
      </c>
      <c r="AC392" s="9">
        <v>262</v>
      </c>
      <c r="AD392" s="9" t="str">
        <f>IFERROR(MID(VLOOKUP($B392,Seqs!$A:$B,2,0),AE392,1),"")</f>
        <v>E</v>
      </c>
      <c r="AE392" s="9">
        <v>292</v>
      </c>
      <c r="AF392" s="9" t="str">
        <f>IFERROR(MID(VLOOKUP($B392,Seqs!$A:$B,2,0),AG392,1),"")</f>
        <v>C</v>
      </c>
      <c r="AG392" s="9">
        <v>296</v>
      </c>
      <c r="AH392" s="9" t="str">
        <f>IFERROR(MID(VLOOKUP($B392,Seqs!$A:$B,2,0),AI392,1),"")</f>
        <v>T</v>
      </c>
      <c r="AI392" s="9">
        <v>298</v>
      </c>
      <c r="AJ392" s="9" t="str">
        <f>IFERROR(MID(VLOOKUP($B392,Seqs!$A:$B,2,0),AK392,1),"")</f>
        <v>M</v>
      </c>
      <c r="AK392" s="9">
        <v>303</v>
      </c>
      <c r="AL392" s="9" t="str">
        <f>IFERROR(MID(VLOOKUP($B392,Seqs!$A:$B,2,0),AM392,1),"")</f>
        <v>N</v>
      </c>
      <c r="AM392" s="9">
        <v>338</v>
      </c>
      <c r="AN392" s="9" t="str">
        <f>IFERROR(MID(VLOOKUP($B392,Seqs!$A:$B,2,0),AO392,1),"")</f>
        <v>D</v>
      </c>
      <c r="AO392" s="9">
        <v>344</v>
      </c>
      <c r="AP392" s="9" t="str">
        <f>IFERROR(MID(VLOOKUP($B392,Seqs!$A:$B,2,0),AQ392,1),"")</f>
        <v>F</v>
      </c>
      <c r="AQ392" s="9">
        <v>367</v>
      </c>
      <c r="AR392" s="9" t="str">
        <f>IFERROR(MID(VLOOKUP($B392,Seqs!$A:$B,2,0),AS392,1),"")</f>
        <v>R</v>
      </c>
      <c r="AS392" s="9">
        <v>380</v>
      </c>
      <c r="AT392" s="9" t="str">
        <f>IFERROR(MID(VLOOKUP($B392,Seqs!$A:$B,2,0),AU392,1),"")</f>
        <v>V</v>
      </c>
      <c r="AU392" s="9">
        <v>405</v>
      </c>
      <c r="AV392" s="9" t="str">
        <f>IFERROR(MID(VLOOKUP($B392,Seqs!$A:$B,2,0),AW392,1),"")</f>
        <v>N</v>
      </c>
      <c r="AW392" s="9">
        <v>406</v>
      </c>
      <c r="AX392" s="9" t="str">
        <f>IFERROR(MID(VLOOKUP($B392,Seqs!$A:$B,2,0),AY392,1),"")</f>
        <v>L</v>
      </c>
      <c r="AY392" s="9">
        <v>422</v>
      </c>
      <c r="AZ392" s="110" t="str">
        <f>VLOOKUP(B392,Classification!A:D,2,0)</f>
        <v>B1</v>
      </c>
      <c r="BA392" s="98" t="str">
        <f>VLOOKUP(B392,Classification!A:D,4,0)</f>
        <v>Glucagonreceptorfamily</v>
      </c>
      <c r="BB392" s="36" t="b">
        <f t="shared" ref="BB392" si="2991">AND(E392&lt;G392,OR(G392&lt;I392,I392="-"),OR(I392&lt;K392,I392="-"),OR(K392&lt;M392,K392="-"),M392&lt;O392,OR(O392&lt;Q392,Q392="-"),OR(Q392&lt;S392,Q392="-"),OR(S392&lt;U392,S392="-"),U392&lt;W392,OR(W392&lt;Y392,Y392="-"),OR(Y392&lt;AA392,Y392="-"),OR(AA392&lt;AC392,AA392="-"),AC392&lt;AE392,OR(AE392&lt;AG392,AG392="-"),OR(AG392&lt;AI392,AG392="-"),OR(AI392&lt;AK392,AI392="-"),AK392&lt;AM392,AM392&lt;AO392,AO392&lt;AQ392,AQ392&lt;AS392,AS392&lt;AU392,OR(AU392&lt;AW392,AW392="-"),OR(AW392&lt;AY392,AW392="-"))</f>
        <v>1</v>
      </c>
      <c r="BC392" s="109">
        <f t="shared" ref="BC392" si="2992">_xlfn.AGGREGATE(9,6,CH392:CS392)-_xlfn.AGGREGATE(9,6,BV392:CG392)+12</f>
        <v>240</v>
      </c>
      <c r="BD392" s="11" t="s">
        <v>23</v>
      </c>
      <c r="BE392" s="9" t="s">
        <v>1374</v>
      </c>
      <c r="BF392" s="119">
        <v>2.8</v>
      </c>
      <c r="BG392" s="51" t="s">
        <v>1281</v>
      </c>
      <c r="BH392" s="51" t="s">
        <v>1281</v>
      </c>
      <c r="BJ392" s="111" t="s">
        <v>1287</v>
      </c>
      <c r="BK392" s="112" t="s">
        <v>1287</v>
      </c>
      <c r="BL392" s="112" t="s">
        <v>1287</v>
      </c>
      <c r="BM392" s="112" t="s">
        <v>1287</v>
      </c>
      <c r="BN392" s="112" t="s">
        <v>1287</v>
      </c>
      <c r="BO392" s="112" t="s">
        <v>1287</v>
      </c>
      <c r="BP392" s="112" t="s">
        <v>1287</v>
      </c>
      <c r="BQ392" s="112" t="s">
        <v>1287</v>
      </c>
      <c r="BR392" s="112" t="s">
        <v>1287</v>
      </c>
      <c r="BS392" s="112" t="s">
        <v>1287</v>
      </c>
      <c r="BT392" s="112" t="s">
        <v>1287</v>
      </c>
      <c r="BU392" s="112" t="s">
        <v>1287</v>
      </c>
      <c r="BV392" s="111">
        <f t="shared" ref="BV392" si="2993">E392</f>
        <v>136</v>
      </c>
      <c r="BW392" s="113">
        <f t="shared" ref="BW392" si="2994">I392</f>
        <v>170</v>
      </c>
      <c r="BX392" s="114">
        <f t="shared" ref="BX392" si="2995">M392</f>
        <v>174</v>
      </c>
      <c r="BY392" s="113" t="str">
        <f t="shared" ref="BY392" si="2996">Q392</f>
        <v>-</v>
      </c>
      <c r="BZ392" s="114">
        <f t="shared" ref="BZ392" si="2997">U392</f>
        <v>224</v>
      </c>
      <c r="CA392" s="113" t="str">
        <f t="shared" ref="CA392" si="2998">Y392</f>
        <v>-</v>
      </c>
      <c r="CB392" s="114">
        <f t="shared" ref="CB392" si="2999">AC392</f>
        <v>262</v>
      </c>
      <c r="CC392" s="113">
        <f t="shared" ref="CC392" si="3000">AG392</f>
        <v>296</v>
      </c>
      <c r="CD392" s="114">
        <f t="shared" ref="CD392" si="3001">AK392</f>
        <v>303</v>
      </c>
      <c r="CE392" s="113">
        <f t="shared" ref="CE392" si="3002">AO392</f>
        <v>344</v>
      </c>
      <c r="CF392" s="114">
        <f t="shared" ref="CF392" si="3003">AS392</f>
        <v>380</v>
      </c>
      <c r="CG392" s="113">
        <f t="shared" ref="CG392" si="3004">AW392</f>
        <v>406</v>
      </c>
      <c r="CH392" s="111">
        <f t="shared" ref="CH392" si="3005">G392</f>
        <v>169</v>
      </c>
      <c r="CI392" s="113">
        <f t="shared" ref="CI392" si="3006">K392</f>
        <v>173</v>
      </c>
      <c r="CJ392" s="114">
        <f t="shared" ref="CJ392" si="3007">O392</f>
        <v>202</v>
      </c>
      <c r="CK392" s="114" t="str">
        <f t="shared" ref="CK392" si="3008">S392</f>
        <v>-</v>
      </c>
      <c r="CL392" s="114">
        <f t="shared" ref="CL392" si="3009">W392</f>
        <v>257</v>
      </c>
      <c r="CM392" s="114" t="str">
        <f t="shared" ref="CM392" si="3010">AA392</f>
        <v>-</v>
      </c>
      <c r="CN392" s="114">
        <f t="shared" ref="CN392" si="3011">AE392</f>
        <v>292</v>
      </c>
      <c r="CO392" s="114">
        <f t="shared" ref="CO392" si="3012">AI392</f>
        <v>298</v>
      </c>
      <c r="CP392" s="114">
        <f t="shared" ref="CP392" si="3013">AM392</f>
        <v>338</v>
      </c>
      <c r="CQ392" s="114">
        <f t="shared" ref="CQ392" si="3014">AQ392</f>
        <v>367</v>
      </c>
      <c r="CR392" s="114">
        <f t="shared" ref="CR392" si="3015">AU392</f>
        <v>405</v>
      </c>
      <c r="CS392" s="114">
        <f t="shared" ref="CS392" si="3016">AY392</f>
        <v>422</v>
      </c>
      <c r="CT392" s="109">
        <f t="shared" ref="CT392" si="3017">M392-K392</f>
        <v>1</v>
      </c>
    </row>
    <row r="393" spans="1:1029" x14ac:dyDescent="0.2">
      <c r="A393" s="3" t="str">
        <f t="shared" si="2906"/>
        <v>g1sgd4_rabit__wt</v>
      </c>
      <c r="B393" s="3" t="s">
        <v>1420</v>
      </c>
      <c r="C393" s="3" t="s">
        <v>100</v>
      </c>
      <c r="D393" s="3" t="str">
        <f>IFERROR(MID(VLOOKUP($B393,Seqs!$A:$B,2,0),E393,1),"")</f>
        <v>P</v>
      </c>
      <c r="E393" s="3">
        <v>137</v>
      </c>
      <c r="F393" s="3" t="str">
        <f>IFERROR(MID(VLOOKUP($B393,Seqs!$A:$B,2,0),G393,1),"")</f>
        <v>F</v>
      </c>
      <c r="G393" s="3">
        <v>169</v>
      </c>
      <c r="H393" s="3" t="str">
        <f>IFERROR(MID(VLOOKUP($B393,Seqs!$A:$B,2,0),I393,1),"")</f>
        <v>R</v>
      </c>
      <c r="I393" s="23">
        <v>170</v>
      </c>
      <c r="J393" s="3" t="str">
        <f>IFERROR(MID(VLOOKUP($B393,Seqs!$A:$B,2,0),K393,1),"")</f>
        <v>H</v>
      </c>
      <c r="K393" s="23">
        <v>173</v>
      </c>
      <c r="L393" s="3" t="str">
        <f>IFERROR(MID(VLOOKUP($B393,Seqs!$A:$B,2,0),M393,1),"")</f>
        <v>C</v>
      </c>
      <c r="M393" s="23">
        <v>174</v>
      </c>
      <c r="N393" s="3" t="str">
        <f>IFERROR(MID(VLOOKUP($B393,Seqs!$A:$B,2,0),O393,1),"")</f>
        <v>Q</v>
      </c>
      <c r="O393" s="3">
        <v>211</v>
      </c>
      <c r="P393" s="3" t="str">
        <f>IFERROR(MID(VLOOKUP($B393,Seqs!$A:$B,2,0),Q393,1),"")</f>
        <v/>
      </c>
      <c r="Q393" s="3" t="s">
        <v>23</v>
      </c>
      <c r="R393" s="3" t="str">
        <f>IFERROR(MID(VLOOKUP($B393,Seqs!$A:$B,2,0),S393,1),"")</f>
        <v/>
      </c>
      <c r="S393" s="3" t="s">
        <v>23</v>
      </c>
      <c r="T393" s="3" t="str">
        <f>IFERROR(MID(VLOOKUP($B393,Seqs!$A:$B,2,0),U393,1),"")</f>
        <v>L</v>
      </c>
      <c r="U393" s="3">
        <v>224</v>
      </c>
      <c r="V393" s="3" t="str">
        <f>IFERROR(MID(VLOOKUP($B393,Seqs!$A:$B,2,0),W393,1),"")</f>
        <v>F</v>
      </c>
      <c r="W393" s="3">
        <v>257</v>
      </c>
      <c r="X393" s="3" t="str">
        <f>IFERROR(MID(VLOOKUP($B393,Seqs!$A:$B,2,0),Y393,1),"")</f>
        <v/>
      </c>
      <c r="Y393" s="3" t="s">
        <v>23</v>
      </c>
      <c r="Z393" s="3" t="str">
        <f>IFERROR(MID(VLOOKUP($B393,Seqs!$A:$B,2,0),AA393,1),"")</f>
        <v/>
      </c>
      <c r="AA393" s="3" t="s">
        <v>23</v>
      </c>
      <c r="AB393" s="3" t="str">
        <f>IFERROR(MID(VLOOKUP($B393,Seqs!$A:$B,2,0),AC393,1),"")</f>
        <v>S</v>
      </c>
      <c r="AC393" s="3">
        <v>261</v>
      </c>
      <c r="AD393" s="3" t="str">
        <f>IFERROR(MID(VLOOKUP($B393,Seqs!$A:$B,2,0),AE393,1),"")</f>
        <v>E</v>
      </c>
      <c r="AE393" s="3">
        <v>292</v>
      </c>
      <c r="AF393" s="3" t="str">
        <f>IFERROR(MID(VLOOKUP($B393,Seqs!$A:$B,2,0),AG393,1),"")</f>
        <v>C</v>
      </c>
      <c r="AG393" s="3">
        <v>296</v>
      </c>
      <c r="AH393" s="3" t="str">
        <f>IFERROR(MID(VLOOKUP($B393,Seqs!$A:$B,2,0),AI393,1),"")</f>
        <v>T</v>
      </c>
      <c r="AI393" s="3">
        <v>298</v>
      </c>
      <c r="AJ393" s="3" t="str">
        <f>IFERROR(MID(VLOOKUP($B393,Seqs!$A:$B,2,0),AK393,1),"")</f>
        <v>N</v>
      </c>
      <c r="AK393" s="105">
        <v>302</v>
      </c>
      <c r="AL393" s="3" t="str">
        <f>IFERROR(MID(VLOOKUP($B393,Seqs!$A:$B,2,0),AM393,1),"")</f>
        <v>A</v>
      </c>
      <c r="AM393" s="3">
        <v>337</v>
      </c>
      <c r="AN393" s="3" t="str">
        <f>IFERROR(MID(VLOOKUP($B393,Seqs!$A:$B,2,0),AO393,1),"")</f>
        <v>K</v>
      </c>
      <c r="AO393" s="3">
        <v>346</v>
      </c>
      <c r="AP393" s="3" t="str">
        <f>IFERROR(MID(VLOOKUP($B393,Seqs!$A:$B,2,0),AQ393,1),"")</f>
        <v>F</v>
      </c>
      <c r="AQ393" s="3">
        <v>369</v>
      </c>
      <c r="AR393" s="3" t="str">
        <f>IFERROR(MID(VLOOKUP($B393,Seqs!$A:$B,2,0),AS393,1),"")</f>
        <v>L</v>
      </c>
      <c r="AS393" s="3">
        <v>379</v>
      </c>
      <c r="AT393" s="3" t="str">
        <f>IFERROR(MID(VLOOKUP($B393,Seqs!$A:$B,2,0),AU393,1),"")</f>
        <v>V</v>
      </c>
      <c r="AU393" s="3">
        <v>405</v>
      </c>
      <c r="AV393" s="3" t="str">
        <f>IFERROR(MID(VLOOKUP($B393,Seqs!$A:$B,2,0),AW393,1),"")</f>
        <v>N</v>
      </c>
      <c r="AW393" s="3">
        <v>406</v>
      </c>
      <c r="AX393" s="3" t="str">
        <f>IFERROR(MID(VLOOKUP($B393,Seqs!$A:$B,2,0),AY393,1),"")</f>
        <v>S</v>
      </c>
      <c r="AY393" s="3">
        <v>431</v>
      </c>
      <c r="AZ393" s="77" t="str">
        <f>VLOOKUP(B393,Classification!A:D,2,0)</f>
        <v>B1</v>
      </c>
      <c r="BA393" s="94" t="str">
        <f>VLOOKUP(B393,Classification!A:D,4,0)</f>
        <v>Glucagonreceptorfamily</v>
      </c>
      <c r="BB393" s="27" t="b">
        <f t="shared" si="2907"/>
        <v>1</v>
      </c>
      <c r="BC393" s="23">
        <f t="shared" si="2908"/>
        <v>259</v>
      </c>
      <c r="BD393" s="4" t="s">
        <v>23</v>
      </c>
      <c r="BE393" s="3" t="s">
        <v>23</v>
      </c>
      <c r="BF393" s="118" t="s">
        <v>23</v>
      </c>
      <c r="BI393" s="1"/>
      <c r="BJ393" s="70" t="s">
        <v>1287</v>
      </c>
      <c r="BK393" s="57" t="s">
        <v>1287</v>
      </c>
      <c r="BL393" s="57" t="s">
        <v>1287</v>
      </c>
      <c r="BM393" s="57" t="s">
        <v>1287</v>
      </c>
      <c r="BN393" s="57" t="s">
        <v>1287</v>
      </c>
      <c r="BO393" s="57" t="s">
        <v>1287</v>
      </c>
      <c r="BP393" s="57" t="s">
        <v>1287</v>
      </c>
      <c r="BQ393" s="57" t="s">
        <v>1287</v>
      </c>
      <c r="BR393" s="57" t="s">
        <v>1287</v>
      </c>
      <c r="BS393" s="57" t="s">
        <v>1287</v>
      </c>
      <c r="BT393" s="57" t="s">
        <v>1287</v>
      </c>
      <c r="BU393" s="57" t="s">
        <v>1287</v>
      </c>
      <c r="BV393" s="70">
        <f t="shared" si="2909"/>
        <v>137</v>
      </c>
      <c r="BW393" s="71">
        <f t="shared" si="2910"/>
        <v>170</v>
      </c>
      <c r="BX393" s="72">
        <f t="shared" si="2911"/>
        <v>174</v>
      </c>
      <c r="BY393" s="71" t="str">
        <f t="shared" si="2912"/>
        <v>-</v>
      </c>
      <c r="BZ393" s="72">
        <f t="shared" si="2913"/>
        <v>224</v>
      </c>
      <c r="CA393" s="71" t="str">
        <f t="shared" si="2914"/>
        <v>-</v>
      </c>
      <c r="CB393" s="72">
        <f t="shared" si="2915"/>
        <v>261</v>
      </c>
      <c r="CC393" s="71">
        <f t="shared" si="2916"/>
        <v>296</v>
      </c>
      <c r="CD393" s="72">
        <f t="shared" si="2917"/>
        <v>302</v>
      </c>
      <c r="CE393" s="71">
        <f t="shared" si="2918"/>
        <v>346</v>
      </c>
      <c r="CF393" s="72">
        <f t="shared" si="2919"/>
        <v>379</v>
      </c>
      <c r="CG393" s="71">
        <f t="shared" si="2920"/>
        <v>406</v>
      </c>
      <c r="CH393" s="70">
        <f t="shared" si="2921"/>
        <v>169</v>
      </c>
      <c r="CI393" s="71">
        <f t="shared" si="2922"/>
        <v>173</v>
      </c>
      <c r="CJ393" s="72">
        <f t="shared" si="2923"/>
        <v>211</v>
      </c>
      <c r="CK393" s="72" t="str">
        <f t="shared" si="2924"/>
        <v>-</v>
      </c>
      <c r="CL393" s="72">
        <f t="shared" si="2925"/>
        <v>257</v>
      </c>
      <c r="CM393" s="72" t="str">
        <f t="shared" si="2926"/>
        <v>-</v>
      </c>
      <c r="CN393" s="72">
        <f t="shared" si="2927"/>
        <v>292</v>
      </c>
      <c r="CO393" s="72">
        <f t="shared" si="2928"/>
        <v>298</v>
      </c>
      <c r="CP393" s="72">
        <f t="shared" si="2929"/>
        <v>337</v>
      </c>
      <c r="CQ393" s="72">
        <f t="shared" si="2930"/>
        <v>369</v>
      </c>
      <c r="CR393" s="72">
        <f t="shared" si="2931"/>
        <v>405</v>
      </c>
      <c r="CS393" s="72">
        <f t="shared" si="2932"/>
        <v>431</v>
      </c>
      <c r="CT393" s="23">
        <f t="shared" si="2933"/>
        <v>1</v>
      </c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  <c r="AMK393" s="1"/>
      <c r="AML393" s="1"/>
      <c r="AMM393" s="1"/>
      <c r="AMN393" s="1"/>
      <c r="AMO393" s="1"/>
    </row>
    <row r="394" spans="1:1029" x14ac:dyDescent="0.2">
      <c r="A394" s="3" t="str">
        <f t="shared" si="2906"/>
        <v>g1sgd4_rabit_5VAI</v>
      </c>
      <c r="B394" s="3" t="s">
        <v>1420</v>
      </c>
      <c r="C394" s="3" t="s">
        <v>1421</v>
      </c>
      <c r="D394" s="3" t="str">
        <f>IFERROR(MID(VLOOKUP($B394,Seqs!$A:$B,2,0),E394,1),"")</f>
        <v>P</v>
      </c>
      <c r="E394" s="3">
        <v>137</v>
      </c>
      <c r="F394" s="3" t="str">
        <f>IFERROR(MID(VLOOKUP($B394,Seqs!$A:$B,2,0),G394,1),"")</f>
        <v>G</v>
      </c>
      <c r="G394" s="3">
        <v>168</v>
      </c>
      <c r="H394" s="3" t="str">
        <f>IFERROR(MID(VLOOKUP($B394,Seqs!$A:$B,2,0),I394,1),"")</f>
        <v>R</v>
      </c>
      <c r="I394" s="23">
        <v>170</v>
      </c>
      <c r="J394" s="3" t="str">
        <f>IFERROR(MID(VLOOKUP($B394,Seqs!$A:$B,2,0),K394,1),"")</f>
        <v>H</v>
      </c>
      <c r="K394" s="23">
        <v>173</v>
      </c>
      <c r="L394" s="3" t="str">
        <f>IFERROR(MID(VLOOKUP($B394,Seqs!$A:$B,2,0),M394,1),"")</f>
        <v>C</v>
      </c>
      <c r="M394" s="23">
        <v>174</v>
      </c>
      <c r="N394" s="3" t="str">
        <f>IFERROR(MID(VLOOKUP($B394,Seqs!$A:$B,2,0),O394,1),"")</f>
        <v>Q</v>
      </c>
      <c r="O394" s="3">
        <v>211</v>
      </c>
      <c r="P394" s="3" t="str">
        <f>IFERROR(MID(VLOOKUP($B394,Seqs!$A:$B,2,0),Q394,1),"")</f>
        <v/>
      </c>
      <c r="Q394" s="3" t="s">
        <v>23</v>
      </c>
      <c r="R394" s="3" t="str">
        <f>IFERROR(MID(VLOOKUP($B394,Seqs!$A:$B,2,0),S394,1),"")</f>
        <v/>
      </c>
      <c r="S394" s="3" t="s">
        <v>23</v>
      </c>
      <c r="T394" s="3" t="str">
        <f>IFERROR(MID(VLOOKUP($B394,Seqs!$A:$B,2,0),U394,1),"")</f>
        <v>L</v>
      </c>
      <c r="U394" s="3">
        <v>224</v>
      </c>
      <c r="V394" s="3" t="str">
        <f>IFERROR(MID(VLOOKUP($B394,Seqs!$A:$B,2,0),W394,1),"")</f>
        <v>F</v>
      </c>
      <c r="W394" s="3">
        <v>257</v>
      </c>
      <c r="X394" s="3" t="str">
        <f>IFERROR(MID(VLOOKUP($B394,Seqs!$A:$B,2,0),Y394,1),"")</f>
        <v/>
      </c>
      <c r="Y394" s="3" t="s">
        <v>23</v>
      </c>
      <c r="Z394" s="3" t="str">
        <f>IFERROR(MID(VLOOKUP($B394,Seqs!$A:$B,2,0),AA394,1),"")</f>
        <v/>
      </c>
      <c r="AA394" s="3" t="s">
        <v>23</v>
      </c>
      <c r="AB394" s="3" t="str">
        <f>IFERROR(MID(VLOOKUP($B394,Seqs!$A:$B,2,0),AC394,1),"")</f>
        <v>S</v>
      </c>
      <c r="AC394" s="3">
        <v>261</v>
      </c>
      <c r="AD394" s="3" t="str">
        <f>IFERROR(MID(VLOOKUP($B394,Seqs!$A:$B,2,0),AE394,1),"")</f>
        <v>E</v>
      </c>
      <c r="AE394" s="3">
        <v>292</v>
      </c>
      <c r="AF394" s="3" t="str">
        <f>IFERROR(MID(VLOOKUP($B394,Seqs!$A:$B,2,0),AG394,1),"")</f>
        <v>C</v>
      </c>
      <c r="AG394" s="3">
        <v>296</v>
      </c>
      <c r="AH394" s="3" t="str">
        <f>IFERROR(MID(VLOOKUP($B394,Seqs!$A:$B,2,0),AI394,1),"")</f>
        <v>T</v>
      </c>
      <c r="AI394" s="3">
        <v>298</v>
      </c>
      <c r="AJ394" s="3" t="str">
        <f>IFERROR(MID(VLOOKUP($B394,Seqs!$A:$B,2,0),AK394,1),"")</f>
        <v>Y</v>
      </c>
      <c r="AK394" s="3">
        <v>305</v>
      </c>
      <c r="AL394" s="3" t="str">
        <f>IFERROR(MID(VLOOKUP($B394,Seqs!$A:$B,2,0),AM394,1),"")</f>
        <v>A</v>
      </c>
      <c r="AM394" s="3">
        <v>337</v>
      </c>
      <c r="AN394" s="3" t="str">
        <f>IFERROR(MID(VLOOKUP($B394,Seqs!$A:$B,2,0),AO394,1),"")</f>
        <v>K</v>
      </c>
      <c r="AO394" s="3">
        <v>346</v>
      </c>
      <c r="AP394" s="3" t="str">
        <f>IFERROR(MID(VLOOKUP($B394,Seqs!$A:$B,2,0),AQ394,1),"")</f>
        <v>F</v>
      </c>
      <c r="AQ394" s="3">
        <v>369</v>
      </c>
      <c r="AR394" s="3" t="str">
        <f>IFERROR(MID(VLOOKUP($B394,Seqs!$A:$B,2,0),AS394,1),"")</f>
        <v>L</v>
      </c>
      <c r="AS394" s="3">
        <v>379</v>
      </c>
      <c r="AT394" s="3" t="str">
        <f>IFERROR(MID(VLOOKUP($B394,Seqs!$A:$B,2,0),AU394,1),"")</f>
        <v>V</v>
      </c>
      <c r="AU394" s="3">
        <v>405</v>
      </c>
      <c r="AV394" s="3" t="str">
        <f>IFERROR(MID(VLOOKUP($B394,Seqs!$A:$B,2,0),AW394,1),"")</f>
        <v>N</v>
      </c>
      <c r="AW394" s="3">
        <v>406</v>
      </c>
      <c r="AX394" s="3" t="str">
        <f>IFERROR(MID(VLOOKUP($B394,Seqs!$A:$B,2,0),AY394,1),"")</f>
        <v>R</v>
      </c>
      <c r="AY394" s="3">
        <v>421</v>
      </c>
      <c r="AZ394" s="77" t="str">
        <f>VLOOKUP(B394,Classification!A:D,2,0)</f>
        <v>B1</v>
      </c>
      <c r="BA394" s="94" t="str">
        <f>VLOOKUP(B394,Classification!A:D,4,0)</f>
        <v>Glucagonreceptorfamily</v>
      </c>
      <c r="BB394" s="27" t="b">
        <f t="shared" si="2907"/>
        <v>1</v>
      </c>
      <c r="BC394" s="23">
        <f t="shared" si="2908"/>
        <v>245</v>
      </c>
      <c r="BD394" s="4" t="s">
        <v>23</v>
      </c>
      <c r="BE394" s="3" t="s">
        <v>1291</v>
      </c>
      <c r="BF394" s="118">
        <v>4.0999999999999996</v>
      </c>
      <c r="BG394" s="49" t="s">
        <v>1422</v>
      </c>
      <c r="BH394" s="49" t="s">
        <v>1422</v>
      </c>
      <c r="BI394" s="1"/>
      <c r="BJ394" s="70" t="s">
        <v>1287</v>
      </c>
      <c r="BK394" s="57" t="s">
        <v>1287</v>
      </c>
      <c r="BL394" s="57" t="s">
        <v>1287</v>
      </c>
      <c r="BM394" s="57" t="s">
        <v>1287</v>
      </c>
      <c r="BN394" s="57" t="s">
        <v>1287</v>
      </c>
      <c r="BO394" s="57" t="s">
        <v>1287</v>
      </c>
      <c r="BP394" s="57" t="s">
        <v>1287</v>
      </c>
      <c r="BQ394" s="57" t="s">
        <v>1287</v>
      </c>
      <c r="BR394" s="57" t="s">
        <v>1287</v>
      </c>
      <c r="BS394" s="57" t="s">
        <v>1287</v>
      </c>
      <c r="BT394" s="57" t="s">
        <v>1287</v>
      </c>
      <c r="BU394" s="57" t="s">
        <v>1287</v>
      </c>
      <c r="BV394" s="70">
        <f t="shared" si="2909"/>
        <v>137</v>
      </c>
      <c r="BW394" s="71">
        <f t="shared" si="2910"/>
        <v>170</v>
      </c>
      <c r="BX394" s="72">
        <f t="shared" si="2911"/>
        <v>174</v>
      </c>
      <c r="BY394" s="71" t="str">
        <f t="shared" si="2912"/>
        <v>-</v>
      </c>
      <c r="BZ394" s="72">
        <f t="shared" si="2913"/>
        <v>224</v>
      </c>
      <c r="CA394" s="71" t="str">
        <f t="shared" si="2914"/>
        <v>-</v>
      </c>
      <c r="CB394" s="72">
        <f t="shared" si="2915"/>
        <v>261</v>
      </c>
      <c r="CC394" s="71">
        <f t="shared" si="2916"/>
        <v>296</v>
      </c>
      <c r="CD394" s="72">
        <f t="shared" si="2917"/>
        <v>305</v>
      </c>
      <c r="CE394" s="71">
        <f t="shared" si="2918"/>
        <v>346</v>
      </c>
      <c r="CF394" s="72">
        <f t="shared" si="2919"/>
        <v>379</v>
      </c>
      <c r="CG394" s="71">
        <f t="shared" si="2920"/>
        <v>406</v>
      </c>
      <c r="CH394" s="70">
        <f t="shared" si="2921"/>
        <v>168</v>
      </c>
      <c r="CI394" s="71">
        <f t="shared" si="2922"/>
        <v>173</v>
      </c>
      <c r="CJ394" s="72">
        <f t="shared" si="2923"/>
        <v>211</v>
      </c>
      <c r="CK394" s="72" t="str">
        <f t="shared" si="2924"/>
        <v>-</v>
      </c>
      <c r="CL394" s="72">
        <f t="shared" si="2925"/>
        <v>257</v>
      </c>
      <c r="CM394" s="72" t="str">
        <f t="shared" si="2926"/>
        <v>-</v>
      </c>
      <c r="CN394" s="72">
        <f t="shared" si="2927"/>
        <v>292</v>
      </c>
      <c r="CO394" s="72">
        <f t="shared" si="2928"/>
        <v>298</v>
      </c>
      <c r="CP394" s="72">
        <f t="shared" si="2929"/>
        <v>337</v>
      </c>
      <c r="CQ394" s="72">
        <f t="shared" si="2930"/>
        <v>369</v>
      </c>
      <c r="CR394" s="72">
        <f t="shared" si="2931"/>
        <v>405</v>
      </c>
      <c r="CS394" s="72">
        <f t="shared" si="2932"/>
        <v>421</v>
      </c>
      <c r="CT394" s="23">
        <f t="shared" si="2933"/>
        <v>1</v>
      </c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  <c r="AMK394" s="1"/>
      <c r="AML394" s="1"/>
      <c r="AMM394" s="1"/>
      <c r="AMN394" s="1"/>
      <c r="AMO394" s="1"/>
    </row>
    <row r="395" spans="1:1029" x14ac:dyDescent="0.2">
      <c r="A395" s="3" t="str">
        <f t="shared" ref="A395" si="3018">CONCATENATE(B395,"_",C395)</f>
        <v>pth1r_human__wt</v>
      </c>
      <c r="B395" s="3" t="s">
        <v>409</v>
      </c>
      <c r="C395" s="3" t="s">
        <v>100</v>
      </c>
      <c r="D395" s="3" t="str">
        <f>IFERROR(MID(VLOOKUP($B395,Seqs!$A:$B,2,0),E395,1),"")</f>
        <v>F</v>
      </c>
      <c r="E395" s="105">
        <v>173</v>
      </c>
      <c r="F395" s="3" t="str">
        <f>IFERROR(MID(VLOOKUP($B395,Seqs!$A:$B,2,0),G395,1),"")</f>
        <v>F</v>
      </c>
      <c r="G395" s="3">
        <v>212</v>
      </c>
      <c r="H395" s="3" t="str">
        <f>IFERROR(MID(VLOOKUP($B395,Seqs!$A:$B,2,0),I395,1),"")</f>
        <v>R</v>
      </c>
      <c r="I395" s="23">
        <v>213</v>
      </c>
      <c r="J395" s="3" t="str">
        <f>IFERROR(MID(VLOOKUP($B395,Seqs!$A:$B,2,0),K395,1),"")</f>
        <v>H</v>
      </c>
      <c r="K395" s="23">
        <v>216</v>
      </c>
      <c r="L395" s="3" t="str">
        <f>IFERROR(MID(VLOOKUP($B395,Seqs!$A:$B,2,0),M395,1),"")</f>
        <v>C</v>
      </c>
      <c r="M395" s="23">
        <v>217</v>
      </c>
      <c r="N395" s="3" t="str">
        <f>IFERROR(MID(VLOOKUP($B395,Seqs!$A:$B,2,0),O395,1),"")</f>
        <v>T</v>
      </c>
      <c r="O395" s="3">
        <v>249</v>
      </c>
      <c r="P395" s="3" t="str">
        <f>IFERROR(MID(VLOOKUP($B395,Seqs!$A:$B,2,0),Q395,1),"")</f>
        <v/>
      </c>
      <c r="Q395" s="3" t="s">
        <v>23</v>
      </c>
      <c r="R395" s="3" t="str">
        <f>IFERROR(MID(VLOOKUP($B395,Seqs!$A:$B,2,0),S395,1),"")</f>
        <v/>
      </c>
      <c r="S395" s="3" t="s">
        <v>23</v>
      </c>
      <c r="T395" s="3" t="str">
        <f>IFERROR(MID(VLOOKUP($B395,Seqs!$A:$B,2,0),U395,1),"")</f>
        <v>G</v>
      </c>
      <c r="U395" s="3">
        <v>277</v>
      </c>
      <c r="V395" s="3" t="str">
        <f>IFERROR(MID(VLOOKUP($B395,Seqs!$A:$B,2,0),W395,1),"")</f>
        <v>M</v>
      </c>
      <c r="W395" s="3">
        <v>312</v>
      </c>
      <c r="X395" s="3" t="str">
        <f>IFERROR(MID(VLOOKUP($B395,Seqs!$A:$B,2,0),Y395,1),"")</f>
        <v/>
      </c>
      <c r="Y395" s="3" t="s">
        <v>23</v>
      </c>
      <c r="Z395" s="3" t="str">
        <f>IFERROR(MID(VLOOKUP($B395,Seqs!$A:$B,2,0),AA395,1),"")</f>
        <v/>
      </c>
      <c r="AA395" s="3" t="s">
        <v>23</v>
      </c>
      <c r="AB395" s="3" t="str">
        <f>IFERROR(MID(VLOOKUP($B395,Seqs!$A:$B,2,0),AC395,1),"")</f>
        <v>S</v>
      </c>
      <c r="AC395" s="3">
        <v>316</v>
      </c>
      <c r="AD395" s="3" t="str">
        <f>IFERROR(MID(VLOOKUP($B395,Seqs!$A:$B,2,0),AE395,1),"")</f>
        <v>A</v>
      </c>
      <c r="AE395" s="3">
        <v>347</v>
      </c>
      <c r="AF395" s="3" t="str">
        <f>IFERROR(MID(VLOOKUP($B395,Seqs!$A:$B,2,0),AG395,1),"")</f>
        <v>C</v>
      </c>
      <c r="AG395" s="3">
        <v>351</v>
      </c>
      <c r="AH395" s="3" t="str">
        <f>IFERROR(MID(VLOOKUP($B395,Seqs!$A:$B,2,0),AI395,1),"")</f>
        <v>D</v>
      </c>
      <c r="AI395" s="3">
        <v>353</v>
      </c>
      <c r="AJ395" s="3" t="str">
        <f>IFERROR(MID(VLOOKUP($B395,Seqs!$A:$B,2,0),AK395,1),"")</f>
        <v>G</v>
      </c>
      <c r="AK395" s="105">
        <v>357</v>
      </c>
      <c r="AL395" s="3" t="str">
        <f>IFERROR(MID(VLOOKUP($B395,Seqs!$A:$B,2,0),AM395,1),"")</f>
        <v>L</v>
      </c>
      <c r="AM395" s="3">
        <v>389</v>
      </c>
      <c r="AN395" s="3" t="str">
        <f>IFERROR(MID(VLOOKUP($B395,Seqs!$A:$B,2,0),AO395,1),"")</f>
        <v>D</v>
      </c>
      <c r="AO395" s="3">
        <v>398</v>
      </c>
      <c r="AP395" s="3" t="str">
        <f>IFERROR(MID(VLOOKUP($B395,Seqs!$A:$B,2,0),AQ395,1),"")</f>
        <v>T</v>
      </c>
      <c r="AQ395" s="3">
        <v>427</v>
      </c>
      <c r="AR395" s="3" t="str">
        <f>IFERROR(MID(VLOOKUP($B395,Seqs!$A:$B,2,0),AS395,1),"")</f>
        <v>G</v>
      </c>
      <c r="AS395" s="3">
        <v>434</v>
      </c>
      <c r="AT395" s="3" t="str">
        <f>IFERROR(MID(VLOOKUP($B395,Seqs!$A:$B,2,0),AU395,1),"")</f>
        <v>C</v>
      </c>
      <c r="AU395" s="3">
        <v>462</v>
      </c>
      <c r="AV395" s="3" t="str">
        <f>IFERROR(MID(VLOOKUP($B395,Seqs!$A:$B,2,0),AW395,1),"")</f>
        <v>N</v>
      </c>
      <c r="AW395" s="3">
        <v>463</v>
      </c>
      <c r="AX395" s="3" t="str">
        <f>IFERROR(MID(VLOOKUP($B395,Seqs!$A:$B,2,0),AY395,1),"")</f>
        <v>R</v>
      </c>
      <c r="AY395" s="3">
        <v>488</v>
      </c>
      <c r="AZ395" s="77" t="str">
        <f>VLOOKUP(B395,Classification!A:D,2,0)</f>
        <v>B1</v>
      </c>
      <c r="BA395" s="94" t="str">
        <f>VLOOKUP(B395,Classification!A:D,4,0)</f>
        <v>Parathyroidhormone</v>
      </c>
      <c r="BB395" s="27" t="b">
        <f t="shared" ref="BB395" si="3019">AND(E395&lt;G395,OR(G395&lt;I395,I395="-"),OR(I395&lt;K395,I395="-"),OR(K395&lt;M395,K395="-"),M395&lt;O395,OR(O395&lt;Q395,Q395="-"),OR(Q395&lt;S395,Q395="-"),OR(S395&lt;U395,S395="-"),U395&lt;W395,OR(W395&lt;Y395,Y395="-"),OR(Y395&lt;AA395,Y395="-"),OR(AA395&lt;AC395,AA395="-"),AC395&lt;AE395,OR(AE395&lt;AG395,AG395="-"),OR(AG395&lt;AI395,AG395="-"),OR(AI395&lt;AK395,AI395="-"),AK395&lt;AM395,AM395&lt;AO395,AO395&lt;AQ395,AQ395&lt;AS395,AS395&lt;AU395,OR(AU395&lt;AW395,AW395="-"),OR(AW395&lt;AY395,AW395="-"))</f>
        <v>1</v>
      </c>
      <c r="BC395" s="23">
        <f t="shared" ref="BC395" si="3020">_xlfn.AGGREGATE(9,6,CH395:CS395)-_xlfn.AGGREGATE(9,6,BV395:CG395)+12</f>
        <v>268</v>
      </c>
      <c r="BD395" s="4" t="s">
        <v>23</v>
      </c>
      <c r="BE395" s="3" t="s">
        <v>23</v>
      </c>
      <c r="BF395" s="118" t="s">
        <v>23</v>
      </c>
      <c r="BG395" s="49" t="s">
        <v>23</v>
      </c>
      <c r="BH395" s="49" t="s">
        <v>23</v>
      </c>
      <c r="BI395" s="1"/>
      <c r="BJ395" s="70" t="s">
        <v>1287</v>
      </c>
      <c r="BK395" s="57" t="s">
        <v>1287</v>
      </c>
      <c r="BL395" s="57" t="s">
        <v>1287</v>
      </c>
      <c r="BM395" s="57" t="s">
        <v>1287</v>
      </c>
      <c r="BN395" s="57" t="s">
        <v>1287</v>
      </c>
      <c r="BO395" s="57" t="s">
        <v>1287</v>
      </c>
      <c r="BP395" s="57" t="s">
        <v>1287</v>
      </c>
      <c r="BQ395" s="57" t="s">
        <v>1287</v>
      </c>
      <c r="BR395" s="57" t="s">
        <v>1287</v>
      </c>
      <c r="BS395" s="57" t="s">
        <v>1287</v>
      </c>
      <c r="BT395" s="57" t="s">
        <v>1287</v>
      </c>
      <c r="BU395" s="57" t="s">
        <v>1287</v>
      </c>
      <c r="BV395" s="70">
        <f t="shared" ref="BV395" si="3021">E395</f>
        <v>173</v>
      </c>
      <c r="BW395" s="71">
        <f t="shared" ref="BW395" si="3022">I395</f>
        <v>213</v>
      </c>
      <c r="BX395" s="72">
        <f t="shared" ref="BX395" si="3023">M395</f>
        <v>217</v>
      </c>
      <c r="BY395" s="71" t="str">
        <f t="shared" ref="BY395" si="3024">Q395</f>
        <v>-</v>
      </c>
      <c r="BZ395" s="72">
        <f t="shared" ref="BZ395" si="3025">U395</f>
        <v>277</v>
      </c>
      <c r="CA395" s="71" t="str">
        <f t="shared" ref="CA395" si="3026">Y395</f>
        <v>-</v>
      </c>
      <c r="CB395" s="72">
        <f t="shared" ref="CB395" si="3027">AC395</f>
        <v>316</v>
      </c>
      <c r="CC395" s="71">
        <f t="shared" ref="CC395" si="3028">AG395</f>
        <v>351</v>
      </c>
      <c r="CD395" s="72">
        <f t="shared" ref="CD395" si="3029">AK395</f>
        <v>357</v>
      </c>
      <c r="CE395" s="71">
        <f t="shared" ref="CE395" si="3030">AO395</f>
        <v>398</v>
      </c>
      <c r="CF395" s="72">
        <f t="shared" ref="CF395" si="3031">AS395</f>
        <v>434</v>
      </c>
      <c r="CG395" s="71">
        <f t="shared" ref="CG395" si="3032">AW395</f>
        <v>463</v>
      </c>
      <c r="CH395" s="70">
        <f t="shared" ref="CH395" si="3033">G395</f>
        <v>212</v>
      </c>
      <c r="CI395" s="71">
        <f t="shared" ref="CI395" si="3034">K395</f>
        <v>216</v>
      </c>
      <c r="CJ395" s="72">
        <f t="shared" ref="CJ395" si="3035">O395</f>
        <v>249</v>
      </c>
      <c r="CK395" s="72" t="str">
        <f t="shared" ref="CK395" si="3036">S395</f>
        <v>-</v>
      </c>
      <c r="CL395" s="72">
        <f t="shared" ref="CL395" si="3037">W395</f>
        <v>312</v>
      </c>
      <c r="CM395" s="72" t="str">
        <f t="shared" ref="CM395" si="3038">AA395</f>
        <v>-</v>
      </c>
      <c r="CN395" s="72">
        <f t="shared" ref="CN395" si="3039">AE395</f>
        <v>347</v>
      </c>
      <c r="CO395" s="72">
        <f t="shared" ref="CO395" si="3040">AI395</f>
        <v>353</v>
      </c>
      <c r="CP395" s="72">
        <f t="shared" ref="CP395" si="3041">AM395</f>
        <v>389</v>
      </c>
      <c r="CQ395" s="72">
        <f t="shared" ref="CQ395" si="3042">AQ395</f>
        <v>427</v>
      </c>
      <c r="CR395" s="72">
        <f t="shared" ref="CR395" si="3043">AU395</f>
        <v>462</v>
      </c>
      <c r="CS395" s="72">
        <f t="shared" ref="CS395" si="3044">AY395</f>
        <v>488</v>
      </c>
      <c r="CT395" s="23">
        <f t="shared" ref="CT395" si="3045">M395-K395</f>
        <v>1</v>
      </c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  <c r="AMK395" s="1"/>
      <c r="AML395" s="1"/>
      <c r="AMM395" s="1"/>
      <c r="AMN395" s="1"/>
      <c r="AMO395" s="1"/>
    </row>
    <row r="396" spans="1:1029" x14ac:dyDescent="0.2">
      <c r="A396" s="3" t="str">
        <f t="shared" ref="A396" si="3046">CONCATENATE(B396,"_",C396)</f>
        <v>pth1r_human_6FJ3</v>
      </c>
      <c r="B396" s="3" t="s">
        <v>409</v>
      </c>
      <c r="C396" s="3" t="s">
        <v>1527</v>
      </c>
      <c r="D396" s="3" t="str">
        <f>IFERROR(MID(VLOOKUP($B396,Seqs!$A:$B,2,0),E396,1),"")</f>
        <v>R</v>
      </c>
      <c r="E396" s="3">
        <v>179</v>
      </c>
      <c r="F396" s="3" t="str">
        <f>IFERROR(MID(VLOOKUP($B396,Seqs!$A:$B,2,0),G396,1),"")</f>
        <v>F</v>
      </c>
      <c r="G396" s="3">
        <v>212</v>
      </c>
      <c r="H396" s="3" t="str">
        <f>IFERROR(MID(VLOOKUP($B396,Seqs!$A:$B,2,0),I396,1),"")</f>
        <v>R</v>
      </c>
      <c r="I396" s="23">
        <v>213</v>
      </c>
      <c r="J396" s="3" t="str">
        <f>IFERROR(MID(VLOOKUP($B396,Seqs!$A:$B,2,0),K396,1),"")</f>
        <v>H</v>
      </c>
      <c r="K396" s="23">
        <v>216</v>
      </c>
      <c r="L396" s="3" t="str">
        <f>IFERROR(MID(VLOOKUP($B396,Seqs!$A:$B,2,0),M396,1),"")</f>
        <v>C</v>
      </c>
      <c r="M396" s="23">
        <v>217</v>
      </c>
      <c r="N396" s="3" t="str">
        <f>IFERROR(MID(VLOOKUP($B396,Seqs!$A:$B,2,0),O396,1),"")</f>
        <v>Y</v>
      </c>
      <c r="O396" s="3">
        <v>245</v>
      </c>
      <c r="P396" s="3" t="str">
        <f>IFERROR(MID(VLOOKUP($B396,Seqs!$A:$B,2,0),Q396,1),"")</f>
        <v/>
      </c>
      <c r="Q396" s="3" t="s">
        <v>23</v>
      </c>
      <c r="R396" s="3" t="str">
        <f>IFERROR(MID(VLOOKUP($B396,Seqs!$A:$B,2,0),S396,1),"")</f>
        <v/>
      </c>
      <c r="S396" s="3" t="s">
        <v>23</v>
      </c>
      <c r="T396" s="3" t="str">
        <f>IFERROR(MID(VLOOKUP($B396,Seqs!$A:$B,2,0),U396,1),"")</f>
        <v>Y</v>
      </c>
      <c r="U396" s="3">
        <v>278</v>
      </c>
      <c r="V396" s="3" t="str">
        <f>IFERROR(MID(VLOOKUP($B396,Seqs!$A:$B,2,0),W396,1),"")</f>
        <v>M</v>
      </c>
      <c r="W396" s="3">
        <v>312</v>
      </c>
      <c r="X396" s="3" t="str">
        <f>IFERROR(MID(VLOOKUP($B396,Seqs!$A:$B,2,0),Y396,1),"")</f>
        <v/>
      </c>
      <c r="Y396" s="3" t="s">
        <v>23</v>
      </c>
      <c r="Z396" s="3" t="str">
        <f>IFERROR(MID(VLOOKUP($B396,Seqs!$A:$B,2,0),AA396,1),"")</f>
        <v/>
      </c>
      <c r="AA396" s="3" t="s">
        <v>23</v>
      </c>
      <c r="AB396" s="3" t="str">
        <f>IFERROR(MID(VLOOKUP($B396,Seqs!$A:$B,2,0),AC396,1),"")</f>
        <v>S</v>
      </c>
      <c r="AC396" s="3">
        <v>316</v>
      </c>
      <c r="AD396" s="3" t="str">
        <f>IFERROR(MID(VLOOKUP($B396,Seqs!$A:$B,2,0),AE396,1),"")</f>
        <v>A</v>
      </c>
      <c r="AE396" s="3">
        <v>347</v>
      </c>
      <c r="AF396" s="3" t="str">
        <f>IFERROR(MID(VLOOKUP($B396,Seqs!$A:$B,2,0),AG396,1),"")</f>
        <v>C</v>
      </c>
      <c r="AG396" s="3">
        <v>351</v>
      </c>
      <c r="AH396" s="3" t="str">
        <f>IFERROR(MID(VLOOKUP($B396,Seqs!$A:$B,2,0),AI396,1),"")</f>
        <v>D</v>
      </c>
      <c r="AI396" s="3">
        <v>353</v>
      </c>
      <c r="AJ396" s="3" t="str">
        <f>IFERROR(MID(VLOOKUP($B396,Seqs!$A:$B,2,0),AK396,1),"")</f>
        <v>G</v>
      </c>
      <c r="AK396" s="3">
        <v>357</v>
      </c>
      <c r="AL396" s="3" t="str">
        <f>IFERROR(MID(VLOOKUP($B396,Seqs!$A:$B,2,0),AM396,1),"")</f>
        <v>R</v>
      </c>
      <c r="AM396" s="3">
        <v>383</v>
      </c>
      <c r="AN396" s="3" t="str">
        <f>IFERROR(MID(VLOOKUP($B396,Seqs!$A:$B,2,0),AO396,1),"")</f>
        <v>D</v>
      </c>
      <c r="AO396" s="3">
        <v>398</v>
      </c>
      <c r="AP396" s="3" t="str">
        <f>IFERROR(MID(VLOOKUP($B396,Seqs!$A:$B,2,0),AQ396,1),"")</f>
        <v>T</v>
      </c>
      <c r="AQ396" s="3">
        <v>427</v>
      </c>
      <c r="AR396" s="3" t="str">
        <f>IFERROR(MID(VLOOKUP($B396,Seqs!$A:$B,2,0),AS396,1),"")</f>
        <v>G</v>
      </c>
      <c r="AS396" s="3">
        <v>434</v>
      </c>
      <c r="AT396" s="3" t="str">
        <f>IFERROR(MID(VLOOKUP($B396,Seqs!$A:$B,2,0),AU396,1),"")</f>
        <v>C</v>
      </c>
      <c r="AU396" s="3">
        <v>462</v>
      </c>
      <c r="AV396" s="3" t="str">
        <f>IFERROR(MID(VLOOKUP($B396,Seqs!$A:$B,2,0),AW396,1),"")</f>
        <v>N</v>
      </c>
      <c r="AW396" s="3">
        <v>463</v>
      </c>
      <c r="AX396" s="3" t="str">
        <f>IFERROR(MID(VLOOKUP($B396,Seqs!$A:$B,2,0),AY396,1),"")</f>
        <v>W</v>
      </c>
      <c r="AY396" s="3">
        <v>477</v>
      </c>
      <c r="AZ396" s="77" t="str">
        <f>VLOOKUP(B396,Classification!A:D,2,0)</f>
        <v>B1</v>
      </c>
      <c r="BA396" s="94" t="str">
        <f>VLOOKUP(B396,Classification!A:D,4,0)</f>
        <v>Parathyroidhormone</v>
      </c>
      <c r="BB396" s="27" t="b">
        <f t="shared" ref="BB396" si="3047">AND(E396&lt;G396,OR(G396&lt;I396,I396="-"),OR(I396&lt;K396,I396="-"),OR(K396&lt;M396,K396="-"),M396&lt;O396,OR(O396&lt;Q396,Q396="-"),OR(Q396&lt;S396,Q396="-"),OR(S396&lt;U396,S396="-"),U396&lt;W396,OR(W396&lt;Y396,Y396="-"),OR(Y396&lt;AA396,Y396="-"),OR(AA396&lt;AC396,AA396="-"),AC396&lt;AE396,OR(AE396&lt;AG396,AG396="-"),OR(AG396&lt;AI396,AG396="-"),OR(AI396&lt;AK396,AI396="-"),AK396&lt;AM396,AM396&lt;AO396,AO396&lt;AQ396,AQ396&lt;AS396,AS396&lt;AU396,OR(AU396&lt;AW396,AW396="-"),OR(AW396&lt;AY396,AW396="-"))</f>
        <v>1</v>
      </c>
      <c r="BC396" s="23">
        <f t="shared" ref="BC396" si="3048">_xlfn.AGGREGATE(9,6,CH396:CS396)-_xlfn.AGGREGATE(9,6,BV396:CG396)+12</f>
        <v>240</v>
      </c>
      <c r="BD396" s="4" t="s">
        <v>1376</v>
      </c>
      <c r="BE396" s="3" t="s">
        <v>1374</v>
      </c>
      <c r="BF396" s="118">
        <v>2.5</v>
      </c>
      <c r="BG396" s="49" t="s">
        <v>1</v>
      </c>
      <c r="BH396" s="49" t="s">
        <v>1</v>
      </c>
      <c r="BI396" s="1"/>
      <c r="BJ396" s="70" t="s">
        <v>1287</v>
      </c>
      <c r="BK396" s="57" t="s">
        <v>1287</v>
      </c>
      <c r="BL396" s="57" t="s">
        <v>1287</v>
      </c>
      <c r="BM396" s="57" t="s">
        <v>1287</v>
      </c>
      <c r="BN396" s="57" t="s">
        <v>1287</v>
      </c>
      <c r="BO396" s="57" t="s">
        <v>1287</v>
      </c>
      <c r="BP396" s="57" t="s">
        <v>1287</v>
      </c>
      <c r="BQ396" s="57" t="s">
        <v>1287</v>
      </c>
      <c r="BR396" s="57" t="s">
        <v>1287</v>
      </c>
      <c r="BS396" s="57" t="s">
        <v>1287</v>
      </c>
      <c r="BT396" s="57" t="s">
        <v>1287</v>
      </c>
      <c r="BU396" s="57" t="s">
        <v>1287</v>
      </c>
      <c r="BV396" s="70">
        <f t="shared" ref="BV396" si="3049">E396</f>
        <v>179</v>
      </c>
      <c r="BW396" s="71">
        <f t="shared" ref="BW396" si="3050">I396</f>
        <v>213</v>
      </c>
      <c r="BX396" s="72">
        <f t="shared" ref="BX396" si="3051">M396</f>
        <v>217</v>
      </c>
      <c r="BY396" s="71" t="str">
        <f t="shared" ref="BY396" si="3052">Q396</f>
        <v>-</v>
      </c>
      <c r="BZ396" s="72">
        <f t="shared" ref="BZ396" si="3053">U396</f>
        <v>278</v>
      </c>
      <c r="CA396" s="71" t="str">
        <f t="shared" ref="CA396" si="3054">Y396</f>
        <v>-</v>
      </c>
      <c r="CB396" s="72">
        <f t="shared" ref="CB396" si="3055">AC396</f>
        <v>316</v>
      </c>
      <c r="CC396" s="71">
        <f t="shared" ref="CC396" si="3056">AG396</f>
        <v>351</v>
      </c>
      <c r="CD396" s="72">
        <f t="shared" ref="CD396" si="3057">AK396</f>
        <v>357</v>
      </c>
      <c r="CE396" s="71">
        <f t="shared" ref="CE396" si="3058">AO396</f>
        <v>398</v>
      </c>
      <c r="CF396" s="72">
        <f t="shared" ref="CF396" si="3059">AS396</f>
        <v>434</v>
      </c>
      <c r="CG396" s="71">
        <f t="shared" ref="CG396" si="3060">AW396</f>
        <v>463</v>
      </c>
      <c r="CH396" s="70">
        <f t="shared" ref="CH396" si="3061">G396</f>
        <v>212</v>
      </c>
      <c r="CI396" s="71">
        <f t="shared" ref="CI396" si="3062">K396</f>
        <v>216</v>
      </c>
      <c r="CJ396" s="72">
        <f t="shared" ref="CJ396" si="3063">O396</f>
        <v>245</v>
      </c>
      <c r="CK396" s="72" t="str">
        <f t="shared" ref="CK396" si="3064">S396</f>
        <v>-</v>
      </c>
      <c r="CL396" s="72">
        <f t="shared" ref="CL396" si="3065">W396</f>
        <v>312</v>
      </c>
      <c r="CM396" s="72" t="str">
        <f t="shared" ref="CM396" si="3066">AA396</f>
        <v>-</v>
      </c>
      <c r="CN396" s="72">
        <f t="shared" ref="CN396" si="3067">AE396</f>
        <v>347</v>
      </c>
      <c r="CO396" s="72">
        <f t="shared" ref="CO396" si="3068">AI396</f>
        <v>353</v>
      </c>
      <c r="CP396" s="72">
        <f t="shared" ref="CP396" si="3069">AM396</f>
        <v>383</v>
      </c>
      <c r="CQ396" s="72">
        <f t="shared" ref="CQ396" si="3070">AQ396</f>
        <v>427</v>
      </c>
      <c r="CR396" s="72">
        <f t="shared" ref="CR396" si="3071">AU396</f>
        <v>462</v>
      </c>
      <c r="CS396" s="72">
        <f t="shared" ref="CS396" si="3072">AY396</f>
        <v>477</v>
      </c>
      <c r="CT396" s="23">
        <f t="shared" ref="CT396" si="3073">M396-K396</f>
        <v>1</v>
      </c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  <c r="AMK396" s="1"/>
      <c r="AML396" s="1"/>
      <c r="AMM396" s="1"/>
      <c r="AMN396" s="1"/>
      <c r="AMO396" s="1"/>
    </row>
    <row r="397" spans="1:1029" s="12" customFormat="1" x14ac:dyDescent="0.2">
      <c r="A397" s="9" t="str">
        <f t="shared" ref="A397" si="3074">CONCATENATE(B397,"_",C397)</f>
        <v>pth1r_human_6NBF</v>
      </c>
      <c r="B397" s="9" t="s">
        <v>409</v>
      </c>
      <c r="C397" s="9" t="s">
        <v>1573</v>
      </c>
      <c r="D397" s="9" t="str">
        <f>IFERROR(MID(VLOOKUP($B397,Seqs!$A:$B,2,0),E397,1),"")</f>
        <v>T</v>
      </c>
      <c r="E397" s="9">
        <v>178</v>
      </c>
      <c r="F397" s="9" t="str">
        <f>IFERROR(MID(VLOOKUP($B397,Seqs!$A:$B,2,0),G397,1),"")</f>
        <v>F</v>
      </c>
      <c r="G397" s="9">
        <v>212</v>
      </c>
      <c r="H397" s="9" t="str">
        <f>IFERROR(MID(VLOOKUP($B397,Seqs!$A:$B,2,0),I397,1),"")</f>
        <v>R</v>
      </c>
      <c r="I397" s="109">
        <v>213</v>
      </c>
      <c r="J397" s="9" t="str">
        <f>IFERROR(MID(VLOOKUP($B397,Seqs!$A:$B,2,0),K397,1),"")</f>
        <v>H</v>
      </c>
      <c r="K397" s="109">
        <v>216</v>
      </c>
      <c r="L397" s="9" t="str">
        <f>IFERROR(MID(VLOOKUP($B397,Seqs!$A:$B,2,0),M397,1),"")</f>
        <v>C</v>
      </c>
      <c r="M397" s="109">
        <v>217</v>
      </c>
      <c r="N397" s="9" t="str">
        <f>IFERROR(MID(VLOOKUP($B397,Seqs!$A:$B,2,0),O397,1),"")</f>
        <v>S</v>
      </c>
      <c r="O397" s="9">
        <v>246</v>
      </c>
      <c r="P397" s="9" t="str">
        <f>IFERROR(MID(VLOOKUP($B397,Seqs!$A:$B,2,0),Q397,1),"")</f>
        <v/>
      </c>
      <c r="Q397" s="9" t="s">
        <v>23</v>
      </c>
      <c r="R397" s="9" t="str">
        <f>IFERROR(MID(VLOOKUP($B397,Seqs!$A:$B,2,0),S397,1),"")</f>
        <v/>
      </c>
      <c r="S397" s="9" t="s">
        <v>23</v>
      </c>
      <c r="T397" s="9" t="str">
        <f>IFERROR(MID(VLOOKUP($B397,Seqs!$A:$B,2,0),U397,1),"")</f>
        <v>Y</v>
      </c>
      <c r="U397" s="9">
        <v>278</v>
      </c>
      <c r="V397" s="9" t="str">
        <f>IFERROR(MID(VLOOKUP($B397,Seqs!$A:$B,2,0),W397,1),"")</f>
        <v>M</v>
      </c>
      <c r="W397" s="9">
        <v>312</v>
      </c>
      <c r="X397" s="9" t="str">
        <f>IFERROR(MID(VLOOKUP($B397,Seqs!$A:$B,2,0),Y397,1),"")</f>
        <v/>
      </c>
      <c r="Y397" s="9" t="s">
        <v>23</v>
      </c>
      <c r="Z397" s="9" t="str">
        <f>IFERROR(MID(VLOOKUP($B397,Seqs!$A:$B,2,0),AA397,1),"")</f>
        <v/>
      </c>
      <c r="AA397" s="9" t="s">
        <v>23</v>
      </c>
      <c r="AB397" s="9" t="str">
        <f>IFERROR(MID(VLOOKUP($B397,Seqs!$A:$B,2,0),AC397,1),"")</f>
        <v>S</v>
      </c>
      <c r="AC397" s="9">
        <v>316</v>
      </c>
      <c r="AD397" s="9" t="str">
        <f>IFERROR(MID(VLOOKUP($B397,Seqs!$A:$B,2,0),AE397,1),"")</f>
        <v>L</v>
      </c>
      <c r="AE397" s="9">
        <v>346</v>
      </c>
      <c r="AF397" s="9" t="str">
        <f>IFERROR(MID(VLOOKUP($B397,Seqs!$A:$B,2,0),AG397,1),"")</f>
        <v>C</v>
      </c>
      <c r="AG397" s="9">
        <v>351</v>
      </c>
      <c r="AH397" s="9" t="str">
        <f>IFERROR(MID(VLOOKUP($B397,Seqs!$A:$B,2,0),AI397,1),"")</f>
        <v>D</v>
      </c>
      <c r="AI397" s="9">
        <v>353</v>
      </c>
      <c r="AJ397" s="9" t="str">
        <f>IFERROR(MID(VLOOKUP($B397,Seqs!$A:$B,2,0),AK397,1),"")</f>
        <v>G</v>
      </c>
      <c r="AK397" s="9">
        <v>357</v>
      </c>
      <c r="AL397" s="9" t="str">
        <f>IFERROR(MID(VLOOKUP($B397,Seqs!$A:$B,2,0),AM397,1),"")</f>
        <v>N</v>
      </c>
      <c r="AM397" s="9">
        <v>393</v>
      </c>
      <c r="AN397" s="9" t="str">
        <f>IFERROR(MID(VLOOKUP($B397,Seqs!$A:$B,2,0),AO397,1),"")</f>
        <v>T</v>
      </c>
      <c r="AO397" s="9">
        <v>399</v>
      </c>
      <c r="AP397" s="9" t="str">
        <f>IFERROR(MID(VLOOKUP($B397,Seqs!$A:$B,2,0),AQ397,1),"")</f>
        <v>F</v>
      </c>
      <c r="AQ397" s="9">
        <v>424</v>
      </c>
      <c r="AR397" s="9" t="str">
        <f>IFERROR(MID(VLOOKUP($B397,Seqs!$A:$B,2,0),AS397,1),"")</f>
        <v>G</v>
      </c>
      <c r="AS397" s="9">
        <v>434</v>
      </c>
      <c r="AT397" s="9" t="str">
        <f>IFERROR(MID(VLOOKUP($B397,Seqs!$A:$B,2,0),AU397,1),"")</f>
        <v>C</v>
      </c>
      <c r="AU397" s="9">
        <v>462</v>
      </c>
      <c r="AV397" s="9" t="str">
        <f>IFERROR(MID(VLOOKUP($B397,Seqs!$A:$B,2,0),AW397,1),"")</f>
        <v>N</v>
      </c>
      <c r="AW397" s="9">
        <v>463</v>
      </c>
      <c r="AX397" s="9" t="str">
        <f>IFERROR(MID(VLOOKUP($B397,Seqs!$A:$B,2,0),AY397,1),"")</f>
        <v>L</v>
      </c>
      <c r="AY397" s="9">
        <v>481</v>
      </c>
      <c r="AZ397" s="110" t="str">
        <f>VLOOKUP(B397,Classification!A:D,2,0)</f>
        <v>B1</v>
      </c>
      <c r="BA397" s="98" t="str">
        <f>VLOOKUP(B397,Classification!A:D,4,0)</f>
        <v>Parathyroidhormone</v>
      </c>
      <c r="BB397" s="36" t="b">
        <f t="shared" ref="BB397" si="3075">AND(E397&lt;G397,OR(G397&lt;I397,I397="-"),OR(I397&lt;K397,I397="-"),OR(K397&lt;M397,K397="-"),M397&lt;O397,OR(O397&lt;Q397,Q397="-"),OR(Q397&lt;S397,Q397="-"),OR(S397&lt;U397,S397="-"),U397&lt;W397,OR(W397&lt;Y397,Y397="-"),OR(Y397&lt;AA397,Y397="-"),OR(AA397&lt;AC397,AA397="-"),AC397&lt;AE397,OR(AE397&lt;AG397,AG397="-"),OR(AG397&lt;AI397,AG397="-"),OR(AI397&lt;AK397,AI397="-"),AK397&lt;AM397,AM397&lt;AO397,AO397&lt;AQ397,AQ397&lt;AS397,AS397&lt;AU397,OR(AU397&lt;AW397,AW397="-"),OR(AW397&lt;AY397,AW397="-"))</f>
        <v>1</v>
      </c>
      <c r="BC397" s="109">
        <f t="shared" ref="BC397" si="3076">_xlfn.AGGREGATE(9,6,CH397:CS397)-_xlfn.AGGREGATE(9,6,BV397:CG397)+12</f>
        <v>251</v>
      </c>
      <c r="BD397" s="11" t="s">
        <v>23</v>
      </c>
      <c r="BE397" s="9" t="s">
        <v>1291</v>
      </c>
      <c r="BF397" s="119">
        <v>3</v>
      </c>
      <c r="BG397" s="51" t="s">
        <v>1422</v>
      </c>
      <c r="BH397" s="51" t="s">
        <v>1422</v>
      </c>
      <c r="BJ397" s="111" t="s">
        <v>1287</v>
      </c>
      <c r="BK397" s="112" t="s">
        <v>1287</v>
      </c>
      <c r="BL397" s="112" t="s">
        <v>1287</v>
      </c>
      <c r="BM397" s="112" t="s">
        <v>1287</v>
      </c>
      <c r="BN397" s="112" t="s">
        <v>1287</v>
      </c>
      <c r="BO397" s="112" t="s">
        <v>1287</v>
      </c>
      <c r="BP397" s="112" t="s">
        <v>1287</v>
      </c>
      <c r="BQ397" s="112" t="s">
        <v>1287</v>
      </c>
      <c r="BR397" s="112" t="s">
        <v>1287</v>
      </c>
      <c r="BS397" s="112" t="s">
        <v>1287</v>
      </c>
      <c r="BT397" s="112" t="s">
        <v>1287</v>
      </c>
      <c r="BU397" s="112" t="s">
        <v>1287</v>
      </c>
      <c r="BV397" s="111">
        <f t="shared" ref="BV397" si="3077">E397</f>
        <v>178</v>
      </c>
      <c r="BW397" s="113">
        <f t="shared" ref="BW397" si="3078">I397</f>
        <v>213</v>
      </c>
      <c r="BX397" s="114">
        <f t="shared" ref="BX397" si="3079">M397</f>
        <v>217</v>
      </c>
      <c r="BY397" s="113" t="str">
        <f t="shared" ref="BY397" si="3080">Q397</f>
        <v>-</v>
      </c>
      <c r="BZ397" s="114">
        <f t="shared" ref="BZ397" si="3081">U397</f>
        <v>278</v>
      </c>
      <c r="CA397" s="113" t="str">
        <f t="shared" ref="CA397" si="3082">Y397</f>
        <v>-</v>
      </c>
      <c r="CB397" s="114">
        <f t="shared" ref="CB397" si="3083">AC397</f>
        <v>316</v>
      </c>
      <c r="CC397" s="113">
        <f t="shared" ref="CC397" si="3084">AG397</f>
        <v>351</v>
      </c>
      <c r="CD397" s="114">
        <f t="shared" ref="CD397" si="3085">AK397</f>
        <v>357</v>
      </c>
      <c r="CE397" s="113">
        <f t="shared" ref="CE397" si="3086">AO397</f>
        <v>399</v>
      </c>
      <c r="CF397" s="114">
        <f t="shared" ref="CF397" si="3087">AS397</f>
        <v>434</v>
      </c>
      <c r="CG397" s="113">
        <f t="shared" ref="CG397" si="3088">AW397</f>
        <v>463</v>
      </c>
      <c r="CH397" s="111">
        <f t="shared" ref="CH397" si="3089">G397</f>
        <v>212</v>
      </c>
      <c r="CI397" s="113">
        <f t="shared" ref="CI397" si="3090">K397</f>
        <v>216</v>
      </c>
      <c r="CJ397" s="114">
        <f t="shared" ref="CJ397" si="3091">O397</f>
        <v>246</v>
      </c>
      <c r="CK397" s="114" t="str">
        <f t="shared" ref="CK397" si="3092">S397</f>
        <v>-</v>
      </c>
      <c r="CL397" s="114">
        <f t="shared" ref="CL397" si="3093">W397</f>
        <v>312</v>
      </c>
      <c r="CM397" s="114" t="str">
        <f t="shared" ref="CM397" si="3094">AA397</f>
        <v>-</v>
      </c>
      <c r="CN397" s="114">
        <f t="shared" ref="CN397" si="3095">AE397</f>
        <v>346</v>
      </c>
      <c r="CO397" s="114">
        <f t="shared" ref="CO397" si="3096">AI397</f>
        <v>353</v>
      </c>
      <c r="CP397" s="114">
        <f t="shared" ref="CP397" si="3097">AM397</f>
        <v>393</v>
      </c>
      <c r="CQ397" s="114">
        <f t="shared" ref="CQ397" si="3098">AQ397</f>
        <v>424</v>
      </c>
      <c r="CR397" s="114">
        <f t="shared" ref="CR397" si="3099">AU397</f>
        <v>462</v>
      </c>
      <c r="CS397" s="114">
        <f t="shared" ref="CS397" si="3100">AY397</f>
        <v>481</v>
      </c>
      <c r="CT397" s="109">
        <f t="shared" ref="CT397" si="3101">M397-K397</f>
        <v>1</v>
      </c>
    </row>
    <row r="398" spans="1:1029" s="12" customFormat="1" x14ac:dyDescent="0.2">
      <c r="A398" s="9" t="str">
        <f t="shared" ref="A398" si="3102">CONCATENATE(B398,"_",C398)</f>
        <v>pth1r_human_6NBH</v>
      </c>
      <c r="B398" s="9" t="s">
        <v>409</v>
      </c>
      <c r="C398" s="9" t="s">
        <v>1574</v>
      </c>
      <c r="D398" s="9" t="str">
        <f>IFERROR(MID(VLOOKUP($B398,Seqs!$A:$B,2,0),E398,1),"")</f>
        <v>T</v>
      </c>
      <c r="E398" s="9">
        <v>178</v>
      </c>
      <c r="F398" s="9" t="str">
        <f>IFERROR(MID(VLOOKUP($B398,Seqs!$A:$B,2,0),G398,1),"")</f>
        <v>F</v>
      </c>
      <c r="G398" s="9">
        <v>212</v>
      </c>
      <c r="H398" s="9" t="str">
        <f>IFERROR(MID(VLOOKUP($B398,Seqs!$A:$B,2,0),I398,1),"")</f>
        <v>R</v>
      </c>
      <c r="I398" s="109">
        <v>213</v>
      </c>
      <c r="J398" s="9" t="str">
        <f>IFERROR(MID(VLOOKUP($B398,Seqs!$A:$B,2,0),K398,1),"")</f>
        <v>H</v>
      </c>
      <c r="K398" s="109">
        <v>216</v>
      </c>
      <c r="L398" s="9" t="str">
        <f>IFERROR(MID(VLOOKUP($B398,Seqs!$A:$B,2,0),M398,1),"")</f>
        <v>C</v>
      </c>
      <c r="M398" s="109">
        <v>217</v>
      </c>
      <c r="N398" s="9" t="str">
        <f>IFERROR(MID(VLOOKUP($B398,Seqs!$A:$B,2,0),O398,1),"")</f>
        <v>L</v>
      </c>
      <c r="O398" s="9">
        <v>250</v>
      </c>
      <c r="P398" s="9" t="str">
        <f>IFERROR(MID(VLOOKUP($B398,Seqs!$A:$B,2,0),Q398,1),"")</f>
        <v/>
      </c>
      <c r="Q398" s="9" t="s">
        <v>23</v>
      </c>
      <c r="R398" s="9" t="str">
        <f>IFERROR(MID(VLOOKUP($B398,Seqs!$A:$B,2,0),S398,1),"")</f>
        <v/>
      </c>
      <c r="S398" s="9" t="s">
        <v>23</v>
      </c>
      <c r="T398" s="9" t="str">
        <f>IFERROR(MID(VLOOKUP($B398,Seqs!$A:$B,2,0),U398,1),"")</f>
        <v>Y</v>
      </c>
      <c r="U398" s="9">
        <v>278</v>
      </c>
      <c r="V398" s="9" t="str">
        <f>IFERROR(MID(VLOOKUP($B398,Seqs!$A:$B,2,0),W398,1),"")</f>
        <v>M</v>
      </c>
      <c r="W398" s="9">
        <v>312</v>
      </c>
      <c r="X398" s="9" t="str">
        <f>IFERROR(MID(VLOOKUP($B398,Seqs!$A:$B,2,0),Y398,1),"")</f>
        <v/>
      </c>
      <c r="Y398" s="9" t="s">
        <v>23</v>
      </c>
      <c r="Z398" s="9" t="str">
        <f>IFERROR(MID(VLOOKUP($B398,Seqs!$A:$B,2,0),AA398,1),"")</f>
        <v/>
      </c>
      <c r="AA398" s="9" t="s">
        <v>23</v>
      </c>
      <c r="AB398" s="9" t="str">
        <f>IFERROR(MID(VLOOKUP($B398,Seqs!$A:$B,2,0),AC398,1),"")</f>
        <v>S</v>
      </c>
      <c r="AC398" s="9">
        <v>316</v>
      </c>
      <c r="AD398" s="9" t="str">
        <f>IFERROR(MID(VLOOKUP($B398,Seqs!$A:$B,2,0),AE398,1),"")</f>
        <v>A</v>
      </c>
      <c r="AE398" s="9">
        <v>347</v>
      </c>
      <c r="AF398" s="9" t="str">
        <f>IFERROR(MID(VLOOKUP($B398,Seqs!$A:$B,2,0),AG398,1),"")</f>
        <v>C</v>
      </c>
      <c r="AG398" s="9">
        <v>351</v>
      </c>
      <c r="AH398" s="9" t="str">
        <f>IFERROR(MID(VLOOKUP($B398,Seqs!$A:$B,2,0),AI398,1),"")</f>
        <v>D</v>
      </c>
      <c r="AI398" s="9">
        <v>353</v>
      </c>
      <c r="AJ398" s="9" t="str">
        <f>IFERROR(MID(VLOOKUP($B398,Seqs!$A:$B,2,0),AK398,1),"")</f>
        <v>G</v>
      </c>
      <c r="AK398" s="9">
        <v>357</v>
      </c>
      <c r="AL398" s="9" t="str">
        <f>IFERROR(MID(VLOOKUP($B398,Seqs!$A:$B,2,0),AM398,1),"")</f>
        <v>T</v>
      </c>
      <c r="AM398" s="9">
        <v>392</v>
      </c>
      <c r="AN398" s="9" t="str">
        <f>IFERROR(MID(VLOOKUP($B398,Seqs!$A:$B,2,0),AO398,1),"")</f>
        <v>T</v>
      </c>
      <c r="AO398" s="9">
        <v>399</v>
      </c>
      <c r="AP398" s="9" t="str">
        <f>IFERROR(MID(VLOOKUP($B398,Seqs!$A:$B,2,0),AQ398,1),"")</f>
        <v>F</v>
      </c>
      <c r="AQ398" s="9">
        <v>424</v>
      </c>
      <c r="AR398" s="9" t="str">
        <f>IFERROR(MID(VLOOKUP($B398,Seqs!$A:$B,2,0),AS398,1),"")</f>
        <v>G</v>
      </c>
      <c r="AS398" s="9">
        <v>434</v>
      </c>
      <c r="AT398" s="9" t="str">
        <f>IFERROR(MID(VLOOKUP($B398,Seqs!$A:$B,2,0),AU398,1),"")</f>
        <v>C</v>
      </c>
      <c r="AU398" s="9">
        <v>462</v>
      </c>
      <c r="AV398" s="9" t="str">
        <f>IFERROR(MID(VLOOKUP($B398,Seqs!$A:$B,2,0),AW398,1),"")</f>
        <v>N</v>
      </c>
      <c r="AW398" s="9">
        <v>463</v>
      </c>
      <c r="AX398" s="9" t="str">
        <f>IFERROR(MID(VLOOKUP($B398,Seqs!$A:$B,2,0),AY398,1),"")</f>
        <v>D</v>
      </c>
      <c r="AY398" s="9">
        <v>482</v>
      </c>
      <c r="AZ398" s="110" t="str">
        <f>VLOOKUP(B398,Classification!A:D,2,0)</f>
        <v>B1</v>
      </c>
      <c r="BA398" s="98" t="str">
        <f>VLOOKUP(B398,Classification!A:D,4,0)</f>
        <v>Parathyroidhormone</v>
      </c>
      <c r="BB398" s="36" t="b">
        <f t="shared" ref="BB398" si="3103">AND(E398&lt;G398,OR(G398&lt;I398,I398="-"),OR(I398&lt;K398,I398="-"),OR(K398&lt;M398,K398="-"),M398&lt;O398,OR(O398&lt;Q398,Q398="-"),OR(Q398&lt;S398,Q398="-"),OR(S398&lt;U398,S398="-"),U398&lt;W398,OR(W398&lt;Y398,Y398="-"),OR(Y398&lt;AA398,Y398="-"),OR(AA398&lt;AC398,AA398="-"),AC398&lt;AE398,OR(AE398&lt;AG398,AG398="-"),OR(AG398&lt;AI398,AG398="-"),OR(AI398&lt;AK398,AI398="-"),AK398&lt;AM398,AM398&lt;AO398,AO398&lt;AQ398,AQ398&lt;AS398,AS398&lt;AU398,OR(AU398&lt;AW398,AW398="-"),OR(AW398&lt;AY398,AW398="-"))</f>
        <v>1</v>
      </c>
      <c r="BC398" s="109">
        <f t="shared" ref="BC398" si="3104">_xlfn.AGGREGATE(9,6,CH398:CS398)-_xlfn.AGGREGATE(9,6,BV398:CG398)+12</f>
        <v>256</v>
      </c>
      <c r="BD398" s="11" t="s">
        <v>23</v>
      </c>
      <c r="BE398" s="9" t="s">
        <v>1291</v>
      </c>
      <c r="BF398" s="119">
        <v>3.5</v>
      </c>
      <c r="BG398" s="51" t="s">
        <v>1422</v>
      </c>
      <c r="BH398" s="51" t="s">
        <v>1422</v>
      </c>
      <c r="BJ398" s="111" t="s">
        <v>1287</v>
      </c>
      <c r="BK398" s="112" t="s">
        <v>1287</v>
      </c>
      <c r="BL398" s="112" t="s">
        <v>1287</v>
      </c>
      <c r="BM398" s="112" t="s">
        <v>1287</v>
      </c>
      <c r="BN398" s="112" t="s">
        <v>1287</v>
      </c>
      <c r="BO398" s="112" t="s">
        <v>1287</v>
      </c>
      <c r="BP398" s="112" t="s">
        <v>1287</v>
      </c>
      <c r="BQ398" s="112" t="s">
        <v>1287</v>
      </c>
      <c r="BR398" s="112" t="s">
        <v>1287</v>
      </c>
      <c r="BS398" s="112" t="s">
        <v>1287</v>
      </c>
      <c r="BT398" s="112" t="s">
        <v>1287</v>
      </c>
      <c r="BU398" s="112" t="s">
        <v>1287</v>
      </c>
      <c r="BV398" s="111">
        <f t="shared" ref="BV398" si="3105">E398</f>
        <v>178</v>
      </c>
      <c r="BW398" s="113">
        <f t="shared" ref="BW398" si="3106">I398</f>
        <v>213</v>
      </c>
      <c r="BX398" s="114">
        <f t="shared" ref="BX398" si="3107">M398</f>
        <v>217</v>
      </c>
      <c r="BY398" s="113" t="str">
        <f t="shared" ref="BY398" si="3108">Q398</f>
        <v>-</v>
      </c>
      <c r="BZ398" s="114">
        <f t="shared" ref="BZ398" si="3109">U398</f>
        <v>278</v>
      </c>
      <c r="CA398" s="113" t="str">
        <f t="shared" ref="CA398" si="3110">Y398</f>
        <v>-</v>
      </c>
      <c r="CB398" s="114">
        <f t="shared" ref="CB398" si="3111">AC398</f>
        <v>316</v>
      </c>
      <c r="CC398" s="113">
        <f t="shared" ref="CC398" si="3112">AG398</f>
        <v>351</v>
      </c>
      <c r="CD398" s="114">
        <f t="shared" ref="CD398" si="3113">AK398</f>
        <v>357</v>
      </c>
      <c r="CE398" s="113">
        <f t="shared" ref="CE398" si="3114">AO398</f>
        <v>399</v>
      </c>
      <c r="CF398" s="114">
        <f t="shared" ref="CF398" si="3115">AS398</f>
        <v>434</v>
      </c>
      <c r="CG398" s="113">
        <f t="shared" ref="CG398" si="3116">AW398</f>
        <v>463</v>
      </c>
      <c r="CH398" s="111">
        <f t="shared" ref="CH398" si="3117">G398</f>
        <v>212</v>
      </c>
      <c r="CI398" s="113">
        <f t="shared" ref="CI398" si="3118">K398</f>
        <v>216</v>
      </c>
      <c r="CJ398" s="114">
        <f t="shared" ref="CJ398" si="3119">O398</f>
        <v>250</v>
      </c>
      <c r="CK398" s="114" t="str">
        <f t="shared" ref="CK398" si="3120">S398</f>
        <v>-</v>
      </c>
      <c r="CL398" s="114">
        <f t="shared" ref="CL398" si="3121">W398</f>
        <v>312</v>
      </c>
      <c r="CM398" s="114" t="str">
        <f t="shared" ref="CM398" si="3122">AA398</f>
        <v>-</v>
      </c>
      <c r="CN398" s="114">
        <f t="shared" ref="CN398" si="3123">AE398</f>
        <v>347</v>
      </c>
      <c r="CO398" s="114">
        <f t="shared" ref="CO398" si="3124">AI398</f>
        <v>353</v>
      </c>
      <c r="CP398" s="114">
        <f t="shared" ref="CP398" si="3125">AM398</f>
        <v>392</v>
      </c>
      <c r="CQ398" s="114">
        <f t="shared" ref="CQ398" si="3126">AQ398</f>
        <v>424</v>
      </c>
      <c r="CR398" s="114">
        <f t="shared" ref="CR398" si="3127">AU398</f>
        <v>462</v>
      </c>
      <c r="CS398" s="114">
        <f t="shared" ref="CS398" si="3128">AY398</f>
        <v>482</v>
      </c>
      <c r="CT398" s="109">
        <f t="shared" ref="CT398" si="3129">M398-K398</f>
        <v>1</v>
      </c>
    </row>
    <row r="399" spans="1:1029" s="12" customFormat="1" x14ac:dyDescent="0.2">
      <c r="A399" s="9" t="str">
        <f t="shared" ref="A399" si="3130">CONCATENATE(B399,"_",C399)</f>
        <v>pth1r_human_6NBI</v>
      </c>
      <c r="B399" s="9" t="s">
        <v>409</v>
      </c>
      <c r="C399" s="9" t="s">
        <v>1575</v>
      </c>
      <c r="D399" s="9" t="str">
        <f>IFERROR(MID(VLOOKUP($B399,Seqs!$A:$B,2,0),E399,1),"")</f>
        <v>F</v>
      </c>
      <c r="E399" s="9">
        <v>173</v>
      </c>
      <c r="F399" s="9" t="str">
        <f>IFERROR(MID(VLOOKUP($B399,Seqs!$A:$B,2,0),G399,1),"")</f>
        <v>F</v>
      </c>
      <c r="G399" s="9">
        <v>212</v>
      </c>
      <c r="H399" s="9" t="str">
        <f>IFERROR(MID(VLOOKUP($B399,Seqs!$A:$B,2,0),I399,1),"")</f>
        <v>R</v>
      </c>
      <c r="I399" s="109">
        <v>213</v>
      </c>
      <c r="J399" s="9" t="str">
        <f>IFERROR(MID(VLOOKUP($B399,Seqs!$A:$B,2,0),K399,1),"")</f>
        <v>H</v>
      </c>
      <c r="K399" s="109">
        <v>216</v>
      </c>
      <c r="L399" s="9" t="str">
        <f>IFERROR(MID(VLOOKUP($B399,Seqs!$A:$B,2,0),M399,1),"")</f>
        <v>C</v>
      </c>
      <c r="M399" s="109">
        <v>217</v>
      </c>
      <c r="N399" s="9" t="str">
        <f>IFERROR(MID(VLOOKUP($B399,Seqs!$A:$B,2,0),O399,1),"")</f>
        <v>L</v>
      </c>
      <c r="O399" s="9">
        <v>250</v>
      </c>
      <c r="P399" s="9" t="str">
        <f>IFERROR(MID(VLOOKUP($B399,Seqs!$A:$B,2,0),Q399,1),"")</f>
        <v/>
      </c>
      <c r="Q399" s="9" t="s">
        <v>23</v>
      </c>
      <c r="R399" s="9" t="str">
        <f>IFERROR(MID(VLOOKUP($B399,Seqs!$A:$B,2,0),S399,1),"")</f>
        <v/>
      </c>
      <c r="S399" s="9" t="s">
        <v>23</v>
      </c>
      <c r="T399" s="9" t="str">
        <f>IFERROR(MID(VLOOKUP($B399,Seqs!$A:$B,2,0),U399,1),"")</f>
        <v>T</v>
      </c>
      <c r="U399" s="9">
        <v>273</v>
      </c>
      <c r="V399" s="9" t="str">
        <f>IFERROR(MID(VLOOKUP($B399,Seqs!$A:$B,2,0),W399,1),"")</f>
        <v>F</v>
      </c>
      <c r="W399" s="9">
        <v>311</v>
      </c>
      <c r="X399" s="9" t="str">
        <f>IFERROR(MID(VLOOKUP($B399,Seqs!$A:$B,2,0),Y399,1),"")</f>
        <v/>
      </c>
      <c r="Y399" s="9" t="s">
        <v>23</v>
      </c>
      <c r="Z399" s="9" t="str">
        <f>IFERROR(MID(VLOOKUP($B399,Seqs!$A:$B,2,0),AA399,1),"")</f>
        <v/>
      </c>
      <c r="AA399" s="9" t="s">
        <v>23</v>
      </c>
      <c r="AB399" s="9" t="str">
        <f>IFERROR(MID(VLOOKUP($B399,Seqs!$A:$B,2,0),AC399,1),"")</f>
        <v>S</v>
      </c>
      <c r="AC399" s="9">
        <v>316</v>
      </c>
      <c r="AD399" s="9" t="str">
        <f>IFERROR(MID(VLOOKUP($B399,Seqs!$A:$B,2,0),AE399,1),"")</f>
        <v>A</v>
      </c>
      <c r="AE399" s="9">
        <v>347</v>
      </c>
      <c r="AF399" s="9" t="str">
        <f>IFERROR(MID(VLOOKUP($B399,Seqs!$A:$B,2,0),AG399,1),"")</f>
        <v>C</v>
      </c>
      <c r="AG399" s="9">
        <v>351</v>
      </c>
      <c r="AH399" s="9" t="str">
        <f>IFERROR(MID(VLOOKUP($B399,Seqs!$A:$B,2,0),AI399,1),"")</f>
        <v>D</v>
      </c>
      <c r="AI399" s="9">
        <v>353</v>
      </c>
      <c r="AJ399" s="9" t="str">
        <f>IFERROR(MID(VLOOKUP($B399,Seqs!$A:$B,2,0),AK399,1),"")</f>
        <v>G</v>
      </c>
      <c r="AK399" s="9">
        <v>357</v>
      </c>
      <c r="AL399" s="9" t="str">
        <f>IFERROR(MID(VLOOKUP($B399,Seqs!$A:$B,2,0),AM399,1),"")</f>
        <v>A</v>
      </c>
      <c r="AM399" s="9">
        <v>394</v>
      </c>
      <c r="AN399" s="9" t="str">
        <f>IFERROR(MID(VLOOKUP($B399,Seqs!$A:$B,2,0),AO399,1),"")</f>
        <v>T</v>
      </c>
      <c r="AO399" s="9">
        <v>399</v>
      </c>
      <c r="AP399" s="9" t="str">
        <f>IFERROR(MID(VLOOKUP($B399,Seqs!$A:$B,2,0),AQ399,1),"")</f>
        <v>F</v>
      </c>
      <c r="AQ399" s="9">
        <v>424</v>
      </c>
      <c r="AR399" s="9" t="str">
        <f>IFERROR(MID(VLOOKUP($B399,Seqs!$A:$B,2,0),AS399,1),"")</f>
        <v>G</v>
      </c>
      <c r="AS399" s="9">
        <v>434</v>
      </c>
      <c r="AT399" s="9" t="str">
        <f>IFERROR(MID(VLOOKUP($B399,Seqs!$A:$B,2,0),AU399,1),"")</f>
        <v>C</v>
      </c>
      <c r="AU399" s="9">
        <v>462</v>
      </c>
      <c r="AV399" s="9" t="str">
        <f>IFERROR(MID(VLOOKUP($B399,Seqs!$A:$B,2,0),AW399,1),"")</f>
        <v>N</v>
      </c>
      <c r="AW399" s="9">
        <v>463</v>
      </c>
      <c r="AX399" s="9" t="str">
        <f>IFERROR(MID(VLOOKUP($B399,Seqs!$A:$B,2,0),AY399,1),"")</f>
        <v>D</v>
      </c>
      <c r="AY399" s="9">
        <v>482</v>
      </c>
      <c r="AZ399" s="110" t="str">
        <f>VLOOKUP(B399,Classification!A:D,2,0)</f>
        <v>B1</v>
      </c>
      <c r="BA399" s="98" t="str">
        <f>VLOOKUP(B399,Classification!A:D,4,0)</f>
        <v>Parathyroidhormone</v>
      </c>
      <c r="BB399" s="36" t="b">
        <f t="shared" ref="BB399" si="3131">AND(E399&lt;G399,OR(G399&lt;I399,I399="-"),OR(I399&lt;K399,I399="-"),OR(K399&lt;M399,K399="-"),M399&lt;O399,OR(O399&lt;Q399,Q399="-"),OR(Q399&lt;S399,Q399="-"),OR(S399&lt;U399,S399="-"),U399&lt;W399,OR(W399&lt;Y399,Y399="-"),OR(Y399&lt;AA399,Y399="-"),OR(AA399&lt;AC399,AA399="-"),AC399&lt;AE399,OR(AE399&lt;AG399,AG399="-"),OR(AG399&lt;AI399,AG399="-"),OR(AI399&lt;AK399,AI399="-"),AK399&lt;AM399,AM399&lt;AO399,AO399&lt;AQ399,AQ399&lt;AS399,AS399&lt;AU399,OR(AU399&lt;AW399,AW399="-"),OR(AW399&lt;AY399,AW399="-"))</f>
        <v>1</v>
      </c>
      <c r="BC399" s="109">
        <f t="shared" ref="BC399" si="3132">_xlfn.AGGREGATE(9,6,CH399:CS399)-_xlfn.AGGREGATE(9,6,BV399:CG399)+12</f>
        <v>267</v>
      </c>
      <c r="BD399" s="11" t="s">
        <v>1375</v>
      </c>
      <c r="BE399" s="9" t="s">
        <v>1291</v>
      </c>
      <c r="BF399" s="119">
        <v>4</v>
      </c>
      <c r="BG399" s="51" t="s">
        <v>1422</v>
      </c>
      <c r="BH399" s="51" t="s">
        <v>1422</v>
      </c>
      <c r="BJ399" s="111" t="s">
        <v>1287</v>
      </c>
      <c r="BK399" s="112" t="s">
        <v>1287</v>
      </c>
      <c r="BL399" s="112" t="s">
        <v>1287</v>
      </c>
      <c r="BM399" s="112" t="s">
        <v>1287</v>
      </c>
      <c r="BN399" s="112" t="s">
        <v>1287</v>
      </c>
      <c r="BO399" s="112" t="s">
        <v>1287</v>
      </c>
      <c r="BP399" s="112" t="s">
        <v>1287</v>
      </c>
      <c r="BQ399" s="112" t="s">
        <v>1287</v>
      </c>
      <c r="BR399" s="112" t="s">
        <v>1287</v>
      </c>
      <c r="BS399" s="112" t="s">
        <v>1287</v>
      </c>
      <c r="BT399" s="112" t="s">
        <v>1287</v>
      </c>
      <c r="BU399" s="112" t="s">
        <v>1287</v>
      </c>
      <c r="BV399" s="111">
        <f t="shared" ref="BV399" si="3133">E399</f>
        <v>173</v>
      </c>
      <c r="BW399" s="113">
        <f t="shared" ref="BW399" si="3134">I399</f>
        <v>213</v>
      </c>
      <c r="BX399" s="114">
        <f t="shared" ref="BX399" si="3135">M399</f>
        <v>217</v>
      </c>
      <c r="BY399" s="113" t="str">
        <f t="shared" ref="BY399" si="3136">Q399</f>
        <v>-</v>
      </c>
      <c r="BZ399" s="114">
        <f t="shared" ref="BZ399" si="3137">U399</f>
        <v>273</v>
      </c>
      <c r="CA399" s="113" t="str">
        <f t="shared" ref="CA399" si="3138">Y399</f>
        <v>-</v>
      </c>
      <c r="CB399" s="114">
        <f t="shared" ref="CB399" si="3139">AC399</f>
        <v>316</v>
      </c>
      <c r="CC399" s="113">
        <f t="shared" ref="CC399" si="3140">AG399</f>
        <v>351</v>
      </c>
      <c r="CD399" s="114">
        <f t="shared" ref="CD399" si="3141">AK399</f>
        <v>357</v>
      </c>
      <c r="CE399" s="113">
        <f t="shared" ref="CE399" si="3142">AO399</f>
        <v>399</v>
      </c>
      <c r="CF399" s="114">
        <f t="shared" ref="CF399" si="3143">AS399</f>
        <v>434</v>
      </c>
      <c r="CG399" s="113">
        <f t="shared" ref="CG399" si="3144">AW399</f>
        <v>463</v>
      </c>
      <c r="CH399" s="111">
        <f t="shared" ref="CH399" si="3145">G399</f>
        <v>212</v>
      </c>
      <c r="CI399" s="113">
        <f t="shared" ref="CI399" si="3146">K399</f>
        <v>216</v>
      </c>
      <c r="CJ399" s="114">
        <f t="shared" ref="CJ399" si="3147">O399</f>
        <v>250</v>
      </c>
      <c r="CK399" s="114" t="str">
        <f t="shared" ref="CK399" si="3148">S399</f>
        <v>-</v>
      </c>
      <c r="CL399" s="114">
        <f t="shared" ref="CL399" si="3149">W399</f>
        <v>311</v>
      </c>
      <c r="CM399" s="114" t="str">
        <f t="shared" ref="CM399" si="3150">AA399</f>
        <v>-</v>
      </c>
      <c r="CN399" s="114">
        <f t="shared" ref="CN399" si="3151">AE399</f>
        <v>347</v>
      </c>
      <c r="CO399" s="114">
        <f t="shared" ref="CO399" si="3152">AI399</f>
        <v>353</v>
      </c>
      <c r="CP399" s="114">
        <f t="shared" ref="CP399" si="3153">AM399</f>
        <v>394</v>
      </c>
      <c r="CQ399" s="114">
        <f t="shared" ref="CQ399" si="3154">AQ399</f>
        <v>424</v>
      </c>
      <c r="CR399" s="114">
        <f t="shared" ref="CR399" si="3155">AU399</f>
        <v>462</v>
      </c>
      <c r="CS399" s="114">
        <f t="shared" ref="CS399" si="3156">AY399</f>
        <v>482</v>
      </c>
      <c r="CT399" s="109">
        <f t="shared" ref="CT399" si="3157">M399-K399</f>
        <v>1</v>
      </c>
    </row>
    <row r="400" spans="1:1029" x14ac:dyDescent="0.2">
      <c r="A400" s="3" t="str">
        <f t="shared" si="2904"/>
        <v>grm1_human__wt</v>
      </c>
      <c r="B400" s="3" t="s">
        <v>40</v>
      </c>
      <c r="C400" s="3" t="s">
        <v>100</v>
      </c>
      <c r="D400" s="3" t="str">
        <f>IFERROR(MID(VLOOKUP($B400,Seqs!$A:$B,2,0),E400,1),"")</f>
        <v>I</v>
      </c>
      <c r="E400" s="3">
        <v>591</v>
      </c>
      <c r="F400" s="3" t="str">
        <f>IFERROR(MID(VLOOKUP($B400,Seqs!$A:$B,2,0),G400,1),"")</f>
        <v>Y</v>
      </c>
      <c r="G400" s="3">
        <v>617</v>
      </c>
      <c r="H400" s="3" t="str">
        <f>IFERROR(MID(VLOOKUP($B400,Seqs!$A:$B,2,0),I400,1),"")</f>
        <v>T</v>
      </c>
      <c r="I400" s="23">
        <v>620</v>
      </c>
      <c r="J400" s="3" t="str">
        <f>IFERROR(MID(VLOOKUP($B400,Seqs!$A:$B,2,0),K400,1),"")</f>
        <v>S</v>
      </c>
      <c r="K400" s="23">
        <v>626</v>
      </c>
      <c r="L400" s="3" t="str">
        <f>IFERROR(MID(VLOOKUP($B400,Seqs!$A:$B,2,0),M400,1),"")</f>
        <v>S</v>
      </c>
      <c r="M400" s="3">
        <v>627</v>
      </c>
      <c r="N400" s="3" t="str">
        <f>IFERROR(MID(VLOOKUP($B400,Seqs!$A:$B,2,0),O400,1),"")</f>
        <v>I</v>
      </c>
      <c r="O400" s="3">
        <v>649</v>
      </c>
      <c r="P400" s="3" t="str">
        <f>IFERROR(MID(VLOOKUP($B400,Seqs!$A:$B,2,0),Q400,1),"")</f>
        <v/>
      </c>
      <c r="Q400" s="3" t="s">
        <v>23</v>
      </c>
      <c r="R400" s="3" t="str">
        <f>IFERROR(MID(VLOOKUP($B400,Seqs!$A:$B,2,0),S400,1),"")</f>
        <v/>
      </c>
      <c r="S400" s="3" t="s">
        <v>23</v>
      </c>
      <c r="T400" s="3" t="str">
        <f>IFERROR(MID(VLOOKUP($B400,Seqs!$A:$B,2,0),U400,1),"")</f>
        <v>T</v>
      </c>
      <c r="U400" s="3">
        <v>654</v>
      </c>
      <c r="V400" s="3" t="str">
        <f>IFERROR(MID(VLOOKUP($B400,Seqs!$A:$B,2,0),W400,1),"")</f>
        <v>L</v>
      </c>
      <c r="W400" s="3">
        <v>686</v>
      </c>
      <c r="X400" s="3" t="str">
        <f>IFERROR(MID(VLOOKUP($B400,Seqs!$A:$B,2,0),Y400,1),"")</f>
        <v/>
      </c>
      <c r="Y400" s="3" t="s">
        <v>23</v>
      </c>
      <c r="Z400" s="3" t="str">
        <f>IFERROR(MID(VLOOKUP($B400,Seqs!$A:$B,2,0),AA400,1),"")</f>
        <v/>
      </c>
      <c r="AA400" s="3" t="s">
        <v>23</v>
      </c>
      <c r="AB400" s="3" t="str">
        <f>IFERROR(MID(VLOOKUP($B400,Seqs!$A:$B,2,0),AC400,1),"")</f>
        <v>S</v>
      </c>
      <c r="AC400" s="3">
        <v>702</v>
      </c>
      <c r="AD400" s="3" t="str">
        <f>IFERROR(MID(VLOOKUP($B400,Seqs!$A:$B,2,0),AE400,1),"")</f>
        <v>E</v>
      </c>
      <c r="AE400" s="3">
        <v>728</v>
      </c>
      <c r="AF400" s="3" t="str">
        <f>IFERROR(MID(VLOOKUP($B400,Seqs!$A:$B,2,0),AG400,1),"")</f>
        <v>C</v>
      </c>
      <c r="AG400" s="3">
        <v>746</v>
      </c>
      <c r="AH400" s="3" t="str">
        <f>IFERROR(MID(VLOOKUP($B400,Seqs!$A:$B,2,0),AI400,1),"")</f>
        <v>T</v>
      </c>
      <c r="AI400" s="3">
        <v>748</v>
      </c>
      <c r="AJ400" s="3" t="str">
        <f>IFERROR(MID(VLOOKUP($B400,Seqs!$A:$B,2,0),AK400,1),"")</f>
        <v>S</v>
      </c>
      <c r="AK400" s="3">
        <v>749</v>
      </c>
      <c r="AL400" s="3" t="str">
        <f>IFERROR(MID(VLOOKUP($B400,Seqs!$A:$B,2,0),AM400,1),"")</f>
        <v>T</v>
      </c>
      <c r="AM400" s="3">
        <v>774</v>
      </c>
      <c r="AN400" s="3" t="str">
        <f>IFERROR(MID(VLOOKUP($B400,Seqs!$A:$B,2,0),AO400,1),"")</f>
        <v>E</v>
      </c>
      <c r="AO400" s="3">
        <v>783</v>
      </c>
      <c r="AP400" s="3" t="str">
        <f>IFERROR(MID(VLOOKUP($B400,Seqs!$A:$B,2,0),AQ400,1),"")</f>
        <v>G</v>
      </c>
      <c r="AQ400" s="3">
        <v>807</v>
      </c>
      <c r="AR400" s="3" t="str">
        <f>IFERROR(MID(VLOOKUP($B400,Seqs!$A:$B,2,0),AS400,1),"")</f>
        <v>Y</v>
      </c>
      <c r="AS400" s="3">
        <v>810</v>
      </c>
      <c r="AT400" s="3" t="str">
        <f>IFERROR(MID(VLOOKUP($B400,Seqs!$A:$B,2,0),AU400,1),"")</f>
        <v>K</v>
      </c>
      <c r="AU400" s="3">
        <v>841</v>
      </c>
      <c r="AV400" s="3" t="str">
        <f>IFERROR(MID(VLOOKUP($B400,Seqs!$A:$B,2,0),AW400,1),"")</f>
        <v>P</v>
      </c>
      <c r="AW400" s="3">
        <v>842</v>
      </c>
      <c r="AX400" s="3" t="str">
        <f>IFERROR(MID(VLOOKUP($B400,Seqs!$A:$B,2,0),AY400,1),"")</f>
        <v>S</v>
      </c>
      <c r="AY400" s="3">
        <v>853</v>
      </c>
      <c r="AZ400" s="77" t="str">
        <f>VLOOKUP(B400,Classification!A:D,2,0)</f>
        <v>C</v>
      </c>
      <c r="BA400" s="94" t="str">
        <f>VLOOKUP(B400,Classification!A:D,4,0)</f>
        <v>Metabotropicglutamate</v>
      </c>
      <c r="BB400" s="27" t="b">
        <f t="shared" si="2905"/>
        <v>1</v>
      </c>
      <c r="BC400" s="23">
        <f t="shared" si="2878"/>
        <v>217</v>
      </c>
      <c r="BD400" s="56" t="s">
        <v>23</v>
      </c>
      <c r="BE400" s="3" t="s">
        <v>23</v>
      </c>
      <c r="BF400" s="118" t="s">
        <v>23</v>
      </c>
      <c r="BG400" s="49" t="s">
        <v>1372</v>
      </c>
      <c r="BH400" s="49" t="s">
        <v>1377</v>
      </c>
      <c r="BI400" s="3" t="s">
        <v>1163</v>
      </c>
      <c r="BJ400" s="70" t="s">
        <v>1287</v>
      </c>
      <c r="BK400" s="57" t="s">
        <v>1287</v>
      </c>
      <c r="BL400" s="57" t="s">
        <v>1287</v>
      </c>
      <c r="BM400" s="57" t="s">
        <v>1287</v>
      </c>
      <c r="BN400" s="57" t="s">
        <v>1287</v>
      </c>
      <c r="BO400" s="57" t="s">
        <v>1287</v>
      </c>
      <c r="BP400" s="57" t="s">
        <v>1287</v>
      </c>
      <c r="BQ400" s="57" t="s">
        <v>1287</v>
      </c>
      <c r="BR400" s="57" t="s">
        <v>1287</v>
      </c>
      <c r="BS400" s="57" t="s">
        <v>1287</v>
      </c>
      <c r="BT400" s="57" t="s">
        <v>1287</v>
      </c>
      <c r="BU400" s="57" t="s">
        <v>1287</v>
      </c>
      <c r="BV400" s="70">
        <f t="shared" si="2879"/>
        <v>591</v>
      </c>
      <c r="BW400" s="71">
        <f t="shared" si="2880"/>
        <v>620</v>
      </c>
      <c r="BX400" s="72">
        <f t="shared" si="2881"/>
        <v>627</v>
      </c>
      <c r="BY400" s="71" t="str">
        <f t="shared" si="2882"/>
        <v>-</v>
      </c>
      <c r="BZ400" s="72">
        <f t="shared" si="2883"/>
        <v>654</v>
      </c>
      <c r="CA400" s="71" t="str">
        <f t="shared" si="2884"/>
        <v>-</v>
      </c>
      <c r="CB400" s="72">
        <f t="shared" si="2885"/>
        <v>702</v>
      </c>
      <c r="CC400" s="71">
        <f t="shared" si="2886"/>
        <v>746</v>
      </c>
      <c r="CD400" s="72">
        <f t="shared" si="2887"/>
        <v>749</v>
      </c>
      <c r="CE400" s="71">
        <f t="shared" si="2888"/>
        <v>783</v>
      </c>
      <c r="CF400" s="72">
        <f t="shared" si="2889"/>
        <v>810</v>
      </c>
      <c r="CG400" s="71">
        <f t="shared" si="2890"/>
        <v>842</v>
      </c>
      <c r="CH400" s="70">
        <f t="shared" si="2891"/>
        <v>617</v>
      </c>
      <c r="CI400" s="71">
        <f t="shared" si="2892"/>
        <v>626</v>
      </c>
      <c r="CJ400" s="72">
        <f t="shared" si="2893"/>
        <v>649</v>
      </c>
      <c r="CK400" s="72" t="str">
        <f t="shared" si="2894"/>
        <v>-</v>
      </c>
      <c r="CL400" s="72">
        <f t="shared" si="2895"/>
        <v>686</v>
      </c>
      <c r="CM400" s="72" t="str">
        <f t="shared" si="2896"/>
        <v>-</v>
      </c>
      <c r="CN400" s="72">
        <f t="shared" si="2897"/>
        <v>728</v>
      </c>
      <c r="CO400" s="72">
        <f t="shared" si="2898"/>
        <v>748</v>
      </c>
      <c r="CP400" s="72">
        <f t="shared" si="2899"/>
        <v>774</v>
      </c>
      <c r="CQ400" s="72">
        <f t="shared" si="2900"/>
        <v>807</v>
      </c>
      <c r="CR400" s="72">
        <f t="shared" si="2901"/>
        <v>841</v>
      </c>
      <c r="CS400" s="72">
        <f t="shared" si="2902"/>
        <v>853</v>
      </c>
      <c r="CT400" s="23">
        <f t="shared" si="2903"/>
        <v>1</v>
      </c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</row>
    <row r="401" spans="1:1030" x14ac:dyDescent="0.2">
      <c r="A401" s="3" t="str">
        <f t="shared" si="2904"/>
        <v>grm1_human_4OR2</v>
      </c>
      <c r="B401" s="3" t="s">
        <v>40</v>
      </c>
      <c r="C401" s="3" t="s">
        <v>96</v>
      </c>
      <c r="D401" s="3" t="str">
        <f>IFERROR(MID(VLOOKUP($B401,Seqs!$A:$B,2,0),E401,1),"")</f>
        <v>I</v>
      </c>
      <c r="E401" s="3">
        <v>591</v>
      </c>
      <c r="F401" s="3" t="str">
        <f>IFERROR(MID(VLOOKUP($B401,Seqs!$A:$B,2,0),G401,1),"")</f>
        <v>Y</v>
      </c>
      <c r="G401" s="3">
        <v>617</v>
      </c>
      <c r="H401" s="3" t="str">
        <f>IFERROR(MID(VLOOKUP($B401,Seqs!$A:$B,2,0),I401,1),"")</f>
        <v>T</v>
      </c>
      <c r="I401" s="23">
        <v>620</v>
      </c>
      <c r="J401" s="3" t="str">
        <f>IFERROR(MID(VLOOKUP($B401,Seqs!$A:$B,2,0),K401,1),"")</f>
        <v>S</v>
      </c>
      <c r="K401" s="23">
        <v>626</v>
      </c>
      <c r="L401" s="3" t="str">
        <f>IFERROR(MID(VLOOKUP($B401,Seqs!$A:$B,2,0),M401,1),"")</f>
        <v>S</v>
      </c>
      <c r="M401" s="3">
        <v>627</v>
      </c>
      <c r="N401" s="3" t="str">
        <f>IFERROR(MID(VLOOKUP($B401,Seqs!$A:$B,2,0),O401,1),"")</f>
        <v>I</v>
      </c>
      <c r="O401" s="3">
        <v>649</v>
      </c>
      <c r="P401" s="3" t="str">
        <f>IFERROR(MID(VLOOKUP($B401,Seqs!$A:$B,2,0),Q401,1),"")</f>
        <v/>
      </c>
      <c r="Q401" s="3" t="s">
        <v>23</v>
      </c>
      <c r="R401" s="3" t="str">
        <f>IFERROR(MID(VLOOKUP($B401,Seqs!$A:$B,2,0),S401,1),"")</f>
        <v/>
      </c>
      <c r="S401" s="3" t="s">
        <v>23</v>
      </c>
      <c r="T401" s="3" t="str">
        <f>IFERROR(MID(VLOOKUP($B401,Seqs!$A:$B,2,0),U401,1),"")</f>
        <v>T</v>
      </c>
      <c r="U401" s="3">
        <v>654</v>
      </c>
      <c r="V401" s="3" t="str">
        <f>IFERROR(MID(VLOOKUP($B401,Seqs!$A:$B,2,0),W401,1),"")</f>
        <v>L</v>
      </c>
      <c r="W401" s="3">
        <v>686</v>
      </c>
      <c r="X401" s="3" t="str">
        <f>IFERROR(MID(VLOOKUP($B401,Seqs!$A:$B,2,0),Y401,1),"")</f>
        <v/>
      </c>
      <c r="Y401" s="3" t="s">
        <v>23</v>
      </c>
      <c r="Z401" s="3" t="str">
        <f>IFERROR(MID(VLOOKUP($B401,Seqs!$A:$B,2,0),AA401,1),"")</f>
        <v/>
      </c>
      <c r="AA401" s="3" t="s">
        <v>23</v>
      </c>
      <c r="AB401" s="3" t="str">
        <f>IFERROR(MID(VLOOKUP($B401,Seqs!$A:$B,2,0),AC401,1),"")</f>
        <v>S</v>
      </c>
      <c r="AC401" s="9">
        <v>702</v>
      </c>
      <c r="AD401" s="3" t="str">
        <f>IFERROR(MID(VLOOKUP($B401,Seqs!$A:$B,2,0),AE401,1),"")</f>
        <v>E</v>
      </c>
      <c r="AE401" s="3">
        <v>728</v>
      </c>
      <c r="AF401" s="3" t="str">
        <f>IFERROR(MID(VLOOKUP($B401,Seqs!$A:$B,2,0),AG401,1),"")</f>
        <v>C</v>
      </c>
      <c r="AG401" s="3">
        <v>746</v>
      </c>
      <c r="AH401" s="3" t="str">
        <f>IFERROR(MID(VLOOKUP($B401,Seqs!$A:$B,2,0),AI401,1),"")</f>
        <v>T</v>
      </c>
      <c r="AI401" s="3">
        <v>748</v>
      </c>
      <c r="AJ401" s="3" t="str">
        <f>IFERROR(MID(VLOOKUP($B401,Seqs!$A:$B,2,0),AK401,1),"")</f>
        <v>S</v>
      </c>
      <c r="AK401" s="105">
        <v>749</v>
      </c>
      <c r="AL401" s="3" t="str">
        <f>IFERROR(MID(VLOOKUP($B401,Seqs!$A:$B,2,0),AM401,1),"")</f>
        <v>T</v>
      </c>
      <c r="AM401" s="3">
        <v>774</v>
      </c>
      <c r="AN401" s="3" t="str">
        <f>IFERROR(MID(VLOOKUP($B401,Seqs!$A:$B,2,0),AO401,1),"")</f>
        <v>E</v>
      </c>
      <c r="AO401" s="3">
        <v>783</v>
      </c>
      <c r="AP401" s="3" t="str">
        <f>IFERROR(MID(VLOOKUP($B401,Seqs!$A:$B,2,0),AQ401,1),"")</f>
        <v>G</v>
      </c>
      <c r="AQ401" s="3">
        <v>807</v>
      </c>
      <c r="AR401" s="3" t="str">
        <f>IFERROR(MID(VLOOKUP($B401,Seqs!$A:$B,2,0),AS401,1),"")</f>
        <v>Y</v>
      </c>
      <c r="AS401" s="105">
        <v>810</v>
      </c>
      <c r="AT401" s="3" t="str">
        <f>IFERROR(MID(VLOOKUP($B401,Seqs!$A:$B,2,0),AU401,1),"")</f>
        <v>K</v>
      </c>
      <c r="AU401" s="3">
        <v>841</v>
      </c>
      <c r="AV401" s="3" t="str">
        <f>IFERROR(MID(VLOOKUP($B401,Seqs!$A:$B,2,0),AW401,1),"")</f>
        <v/>
      </c>
      <c r="AW401" s="3" t="s">
        <v>23</v>
      </c>
      <c r="AX401" s="3" t="str">
        <f>IFERROR(MID(VLOOKUP($B401,Seqs!$A:$B,2,0),AY401,1),"")</f>
        <v/>
      </c>
      <c r="AY401" s="3" t="s">
        <v>23</v>
      </c>
      <c r="AZ401" s="77" t="str">
        <f>VLOOKUP(B401,Classification!A:D,2,0)</f>
        <v>C</v>
      </c>
      <c r="BA401" s="94" t="str">
        <f>VLOOKUP(B401,Classification!A:D,4,0)</f>
        <v>Metabotropicglutamate</v>
      </c>
      <c r="BB401" s="27" t="b">
        <f t="shared" si="2905"/>
        <v>1</v>
      </c>
      <c r="BC401" s="23">
        <f t="shared" si="2878"/>
        <v>206</v>
      </c>
      <c r="BD401" s="2" t="s">
        <v>1376</v>
      </c>
      <c r="BE401" s="3" t="s">
        <v>1374</v>
      </c>
      <c r="BF401" s="118">
        <v>2.8</v>
      </c>
      <c r="BG401" s="49" t="s">
        <v>1377</v>
      </c>
      <c r="BH401" s="49" t="s">
        <v>1377</v>
      </c>
      <c r="BJ401" s="70" t="s">
        <v>1287</v>
      </c>
      <c r="BK401" s="57" t="s">
        <v>1287</v>
      </c>
      <c r="BL401" s="57" t="s">
        <v>1287</v>
      </c>
      <c r="BM401" s="57" t="s">
        <v>1287</v>
      </c>
      <c r="BN401" s="57" t="s">
        <v>1287</v>
      </c>
      <c r="BO401" s="57" t="s">
        <v>1287</v>
      </c>
      <c r="BP401" s="57" t="s">
        <v>1287</v>
      </c>
      <c r="BQ401" s="57" t="s">
        <v>1287</v>
      </c>
      <c r="BR401" s="57" t="s">
        <v>1287</v>
      </c>
      <c r="BS401" s="57" t="s">
        <v>1287</v>
      </c>
      <c r="BT401" s="57" t="s">
        <v>1287</v>
      </c>
      <c r="BU401" s="57" t="s">
        <v>1287</v>
      </c>
      <c r="BV401" s="70">
        <f t="shared" si="2879"/>
        <v>591</v>
      </c>
      <c r="BW401" s="71">
        <f t="shared" si="2880"/>
        <v>620</v>
      </c>
      <c r="BX401" s="72">
        <f t="shared" si="2881"/>
        <v>627</v>
      </c>
      <c r="BY401" s="71" t="str">
        <f t="shared" si="2882"/>
        <v>-</v>
      </c>
      <c r="BZ401" s="72">
        <f t="shared" si="2883"/>
        <v>654</v>
      </c>
      <c r="CA401" s="71" t="str">
        <f t="shared" si="2884"/>
        <v>-</v>
      </c>
      <c r="CB401" s="72">
        <f t="shared" si="2885"/>
        <v>702</v>
      </c>
      <c r="CC401" s="71">
        <f t="shared" si="2886"/>
        <v>746</v>
      </c>
      <c r="CD401" s="72">
        <f t="shared" si="2887"/>
        <v>749</v>
      </c>
      <c r="CE401" s="71">
        <f t="shared" si="2888"/>
        <v>783</v>
      </c>
      <c r="CF401" s="72">
        <f t="shared" si="2889"/>
        <v>810</v>
      </c>
      <c r="CG401" s="71" t="str">
        <f t="shared" si="2890"/>
        <v>-</v>
      </c>
      <c r="CH401" s="70">
        <f t="shared" si="2891"/>
        <v>617</v>
      </c>
      <c r="CI401" s="71">
        <f t="shared" si="2892"/>
        <v>626</v>
      </c>
      <c r="CJ401" s="72">
        <f t="shared" si="2893"/>
        <v>649</v>
      </c>
      <c r="CK401" s="72" t="str">
        <f t="shared" si="2894"/>
        <v>-</v>
      </c>
      <c r="CL401" s="72">
        <f t="shared" si="2895"/>
        <v>686</v>
      </c>
      <c r="CM401" s="72" t="str">
        <f t="shared" si="2896"/>
        <v>-</v>
      </c>
      <c r="CN401" s="72">
        <f t="shared" si="2897"/>
        <v>728</v>
      </c>
      <c r="CO401" s="72">
        <f t="shared" si="2898"/>
        <v>748</v>
      </c>
      <c r="CP401" s="72">
        <f t="shared" si="2899"/>
        <v>774</v>
      </c>
      <c r="CQ401" s="72">
        <f t="shared" si="2900"/>
        <v>807</v>
      </c>
      <c r="CR401" s="72">
        <f t="shared" si="2901"/>
        <v>841</v>
      </c>
      <c r="CS401" s="72" t="str">
        <f t="shared" si="2902"/>
        <v>-</v>
      </c>
      <c r="CT401" s="23">
        <f t="shared" si="2903"/>
        <v>1</v>
      </c>
    </row>
    <row r="402" spans="1:1030" x14ac:dyDescent="0.2">
      <c r="A402" s="3" t="str">
        <f t="shared" si="2904"/>
        <v>grm5_human__wt</v>
      </c>
      <c r="B402" s="3" t="s">
        <v>41</v>
      </c>
      <c r="C402" s="3" t="s">
        <v>100</v>
      </c>
      <c r="D402" s="3" t="str">
        <f>IFERROR(MID(VLOOKUP($B402,Seqs!$A:$B,2,0),E402,1),"")</f>
        <v>P</v>
      </c>
      <c r="E402" s="3">
        <v>578</v>
      </c>
      <c r="F402" s="3" t="str">
        <f>IFERROR(MID(VLOOKUP($B402,Seqs!$A:$B,2,0),G402,1),"")</f>
        <v>Y</v>
      </c>
      <c r="G402" s="3">
        <v>604</v>
      </c>
      <c r="H402" s="3" t="str">
        <f>IFERROR(MID(VLOOKUP($B402,Seqs!$A:$B,2,0),I402,1),"")</f>
        <v>T</v>
      </c>
      <c r="I402" s="23">
        <v>607</v>
      </c>
      <c r="J402" s="3" t="str">
        <f>IFERROR(MID(VLOOKUP($B402,Seqs!$A:$B,2,0),K402,1),"")</f>
        <v>S</v>
      </c>
      <c r="K402" s="23">
        <v>613</v>
      </c>
      <c r="L402" s="3" t="str">
        <f>IFERROR(MID(VLOOKUP($B402,Seqs!$A:$B,2,0),M402,1),"")</f>
        <v>S</v>
      </c>
      <c r="M402" s="3">
        <v>614</v>
      </c>
      <c r="N402" s="3" t="str">
        <f>IFERROR(MID(VLOOKUP($B402,Seqs!$A:$B,2,0),O402,1),"")</f>
        <v>I</v>
      </c>
      <c r="O402" s="3">
        <v>636</v>
      </c>
      <c r="P402" s="3" t="str">
        <f>IFERROR(MID(VLOOKUP($B402,Seqs!$A:$B,2,0),Q402,1),"")</f>
        <v/>
      </c>
      <c r="Q402" s="3" t="s">
        <v>23</v>
      </c>
      <c r="R402" s="3" t="str">
        <f>IFERROR(MID(VLOOKUP($B402,Seqs!$A:$B,2,0),S402,1),"")</f>
        <v/>
      </c>
      <c r="S402" s="3" t="s">
        <v>23</v>
      </c>
      <c r="T402" s="3" t="str">
        <f>IFERROR(MID(VLOOKUP($B402,Seqs!$A:$B,2,0),U402,1),"")</f>
        <v>K</v>
      </c>
      <c r="U402" s="105">
        <v>640</v>
      </c>
      <c r="V402" s="3" t="str">
        <f>IFERROR(MID(VLOOKUP($B402,Seqs!$A:$B,2,0),W402,1),"")</f>
        <v>L</v>
      </c>
      <c r="W402" s="3">
        <v>673</v>
      </c>
      <c r="X402" s="3" t="str">
        <f>IFERROR(MID(VLOOKUP($B402,Seqs!$A:$B,2,0),Y402,1),"")</f>
        <v/>
      </c>
      <c r="Y402" s="3" t="s">
        <v>23</v>
      </c>
      <c r="Z402" s="3" t="str">
        <f>IFERROR(MID(VLOOKUP($B402,Seqs!$A:$B,2,0),AA402,1),"")</f>
        <v/>
      </c>
      <c r="AA402" s="3" t="s">
        <v>23</v>
      </c>
      <c r="AB402" s="3" t="str">
        <f>IFERROR(MID(VLOOKUP($B402,Seqs!$A:$B,2,0),AC402,1),"")</f>
        <v>S</v>
      </c>
      <c r="AC402" s="9">
        <v>689</v>
      </c>
      <c r="AD402" s="3" t="str">
        <f>IFERROR(MID(VLOOKUP($B402,Seqs!$A:$B,2,0),AE402,1),"")</f>
        <v>E</v>
      </c>
      <c r="AE402" s="3">
        <v>715</v>
      </c>
      <c r="AF402" s="3" t="str">
        <f>IFERROR(MID(VLOOKUP($B402,Seqs!$A:$B,2,0),AG402,1),"")</f>
        <v>C</v>
      </c>
      <c r="AG402" s="3">
        <v>733</v>
      </c>
      <c r="AH402" s="3" t="str">
        <f>IFERROR(MID(VLOOKUP($B402,Seqs!$A:$B,2,0),AI402,1),"")</f>
        <v>T</v>
      </c>
      <c r="AI402" s="3">
        <v>735</v>
      </c>
      <c r="AJ402" s="3" t="str">
        <f>IFERROR(MID(VLOOKUP($B402,Seqs!$A:$B,2,0),AK402,1),"")</f>
        <v>T</v>
      </c>
      <c r="AK402" s="105">
        <v>736</v>
      </c>
      <c r="AL402" s="3" t="str">
        <f>IFERROR(MID(VLOOKUP($B402,Seqs!$A:$B,2,0),AM402,1),"")</f>
        <v>T</v>
      </c>
      <c r="AM402" s="3">
        <v>761</v>
      </c>
      <c r="AN402" s="3" t="str">
        <f>IFERROR(MID(VLOOKUP($B402,Seqs!$A:$B,2,0),AO402,1),"")</f>
        <v>E</v>
      </c>
      <c r="AO402" s="3">
        <v>770</v>
      </c>
      <c r="AP402" s="3" t="str">
        <f>IFERROR(MID(VLOOKUP($B402,Seqs!$A:$B,2,0),AQ402,1),"")</f>
        <v>G</v>
      </c>
      <c r="AQ402" s="3">
        <v>794</v>
      </c>
      <c r="AR402" s="3" t="str">
        <f>IFERROR(MID(VLOOKUP($B402,Seqs!$A:$B,2,0),AS402,1),"")</f>
        <v>Y</v>
      </c>
      <c r="AS402" s="105">
        <v>797</v>
      </c>
      <c r="AT402" s="3" t="str">
        <f>IFERROR(MID(VLOOKUP($B402,Seqs!$A:$B,2,0),AU402,1),"")</f>
        <v>K</v>
      </c>
      <c r="AU402" s="3">
        <v>828</v>
      </c>
      <c r="AV402" s="3" t="str">
        <f>IFERROR(MID(VLOOKUP($B402,Seqs!$A:$B,2,0),AW402,1),"")</f>
        <v>P</v>
      </c>
      <c r="AW402" s="3">
        <v>829</v>
      </c>
      <c r="AX402" s="3" t="str">
        <f>IFERROR(MID(VLOOKUP($B402,Seqs!$A:$B,2,0),AY402,1),"")</f>
        <v>S</v>
      </c>
      <c r="AY402" s="3">
        <v>840</v>
      </c>
      <c r="AZ402" s="77" t="str">
        <f>VLOOKUP(B402,Classification!A:D,2,0)</f>
        <v>C</v>
      </c>
      <c r="BA402" s="94" t="str">
        <f>VLOOKUP(B402,Classification!A:D,4,0)</f>
        <v>Metabotropicglutamate</v>
      </c>
      <c r="BB402" s="27" t="b">
        <f t="shared" si="2905"/>
        <v>1</v>
      </c>
      <c r="BC402" s="23">
        <f t="shared" si="2878"/>
        <v>218</v>
      </c>
      <c r="BD402" s="56" t="s">
        <v>23</v>
      </c>
      <c r="BE402" s="3" t="s">
        <v>23</v>
      </c>
      <c r="BF402" s="118" t="s">
        <v>23</v>
      </c>
      <c r="BG402" s="49" t="s">
        <v>1372</v>
      </c>
      <c r="BH402" s="49" t="s">
        <v>1377</v>
      </c>
      <c r="BJ402" s="70" t="s">
        <v>1287</v>
      </c>
      <c r="BK402" s="57" t="s">
        <v>1287</v>
      </c>
      <c r="BL402" s="57" t="s">
        <v>1287</v>
      </c>
      <c r="BM402" s="57" t="s">
        <v>1287</v>
      </c>
      <c r="BN402" s="57" t="s">
        <v>1287</v>
      </c>
      <c r="BO402" s="57" t="s">
        <v>1287</v>
      </c>
      <c r="BP402" s="57" t="s">
        <v>1287</v>
      </c>
      <c r="BQ402" s="57" t="s">
        <v>1287</v>
      </c>
      <c r="BR402" s="57" t="s">
        <v>1287</v>
      </c>
      <c r="BS402" s="57" t="s">
        <v>1287</v>
      </c>
      <c r="BT402" s="57" t="s">
        <v>1287</v>
      </c>
      <c r="BU402" s="57" t="s">
        <v>1287</v>
      </c>
      <c r="BV402" s="70">
        <f t="shared" si="2879"/>
        <v>578</v>
      </c>
      <c r="BW402" s="71">
        <f t="shared" si="2880"/>
        <v>607</v>
      </c>
      <c r="BX402" s="72">
        <f t="shared" si="2881"/>
        <v>614</v>
      </c>
      <c r="BY402" s="71" t="str">
        <f t="shared" si="2882"/>
        <v>-</v>
      </c>
      <c r="BZ402" s="72">
        <f t="shared" si="2883"/>
        <v>640</v>
      </c>
      <c r="CA402" s="71" t="str">
        <f t="shared" si="2884"/>
        <v>-</v>
      </c>
      <c r="CB402" s="72">
        <f t="shared" si="2885"/>
        <v>689</v>
      </c>
      <c r="CC402" s="71">
        <f t="shared" si="2886"/>
        <v>733</v>
      </c>
      <c r="CD402" s="72">
        <f t="shared" si="2887"/>
        <v>736</v>
      </c>
      <c r="CE402" s="71">
        <f t="shared" si="2888"/>
        <v>770</v>
      </c>
      <c r="CF402" s="72">
        <f t="shared" si="2889"/>
        <v>797</v>
      </c>
      <c r="CG402" s="71">
        <f t="shared" si="2890"/>
        <v>829</v>
      </c>
      <c r="CH402" s="70">
        <f t="shared" si="2891"/>
        <v>604</v>
      </c>
      <c r="CI402" s="71">
        <f t="shared" si="2892"/>
        <v>613</v>
      </c>
      <c r="CJ402" s="72">
        <f t="shared" si="2893"/>
        <v>636</v>
      </c>
      <c r="CK402" s="72" t="str">
        <f t="shared" si="2894"/>
        <v>-</v>
      </c>
      <c r="CL402" s="72">
        <f t="shared" si="2895"/>
        <v>673</v>
      </c>
      <c r="CM402" s="72" t="str">
        <f t="shared" si="2896"/>
        <v>-</v>
      </c>
      <c r="CN402" s="72">
        <f t="shared" si="2897"/>
        <v>715</v>
      </c>
      <c r="CO402" s="72">
        <f t="shared" si="2898"/>
        <v>735</v>
      </c>
      <c r="CP402" s="72">
        <f t="shared" si="2899"/>
        <v>761</v>
      </c>
      <c r="CQ402" s="72">
        <f t="shared" si="2900"/>
        <v>794</v>
      </c>
      <c r="CR402" s="72">
        <f t="shared" si="2901"/>
        <v>828</v>
      </c>
      <c r="CS402" s="72">
        <f t="shared" si="2902"/>
        <v>840</v>
      </c>
      <c r="CT402" s="23">
        <f t="shared" si="2903"/>
        <v>1</v>
      </c>
    </row>
    <row r="403" spans="1:1030" x14ac:dyDescent="0.2">
      <c r="A403" s="3" t="str">
        <f t="shared" si="2904"/>
        <v>grm5_human_4OO9</v>
      </c>
      <c r="B403" s="3" t="s">
        <v>41</v>
      </c>
      <c r="C403" s="3" t="s">
        <v>57</v>
      </c>
      <c r="D403" s="3" t="str">
        <f>IFERROR(MID(VLOOKUP($B403,Seqs!$A:$B,2,0),E403,1),"")</f>
        <v>P</v>
      </c>
      <c r="E403" s="3">
        <v>578</v>
      </c>
      <c r="F403" s="3" t="str">
        <f>IFERROR(MID(VLOOKUP($B403,Seqs!$A:$B,2,0),G403,1),"")</f>
        <v>Y</v>
      </c>
      <c r="G403" s="3">
        <v>604</v>
      </c>
      <c r="H403" s="3" t="str">
        <f>IFERROR(MID(VLOOKUP($B403,Seqs!$A:$B,2,0),I403,1),"")</f>
        <v>T</v>
      </c>
      <c r="I403" s="23">
        <v>607</v>
      </c>
      <c r="J403" s="3" t="str">
        <f>IFERROR(MID(VLOOKUP($B403,Seqs!$A:$B,2,0),K403,1),"")</f>
        <v>S</v>
      </c>
      <c r="K403" s="23">
        <v>613</v>
      </c>
      <c r="L403" s="3" t="str">
        <f>IFERROR(MID(VLOOKUP($B403,Seqs!$A:$B,2,0),M403,1),"")</f>
        <v>S</v>
      </c>
      <c r="M403" s="3">
        <v>614</v>
      </c>
      <c r="N403" s="3" t="str">
        <f>IFERROR(MID(VLOOKUP($B403,Seqs!$A:$B,2,0),O403,1),"")</f>
        <v>I</v>
      </c>
      <c r="O403" s="3">
        <v>636</v>
      </c>
      <c r="P403" s="3" t="str">
        <f>IFERROR(MID(VLOOKUP($B403,Seqs!$A:$B,2,0),Q403,1),"")</f>
        <v/>
      </c>
      <c r="Q403" s="3" t="s">
        <v>23</v>
      </c>
      <c r="R403" s="3" t="str">
        <f>IFERROR(MID(VLOOKUP($B403,Seqs!$A:$B,2,0),S403,1),"")</f>
        <v/>
      </c>
      <c r="S403" s="3" t="s">
        <v>23</v>
      </c>
      <c r="T403" s="3" t="str">
        <f>IFERROR(MID(VLOOKUP($B403,Seqs!$A:$B,2,0),U403,1),"")</f>
        <v>Q</v>
      </c>
      <c r="U403" s="3">
        <v>641</v>
      </c>
      <c r="V403" s="3" t="str">
        <f>IFERROR(MID(VLOOKUP($B403,Seqs!$A:$B,2,0),W403,1),"")</f>
        <v>K</v>
      </c>
      <c r="W403" s="3">
        <v>678</v>
      </c>
      <c r="X403" s="3" t="str">
        <f>IFERROR(MID(VLOOKUP($B403,Seqs!$A:$B,2,0),Y403,1),"")</f>
        <v/>
      </c>
      <c r="Y403" s="3" t="s">
        <v>23</v>
      </c>
      <c r="Z403" s="3" t="str">
        <f>IFERROR(MID(VLOOKUP($B403,Seqs!$A:$B,2,0),AA403,1),"")</f>
        <v/>
      </c>
      <c r="AA403" s="3" t="s">
        <v>23</v>
      </c>
      <c r="AB403" s="3" t="str">
        <f>IFERROR(MID(VLOOKUP($B403,Seqs!$A:$B,2,0),AC403,1),"")</f>
        <v>S</v>
      </c>
      <c r="AC403" s="9">
        <v>689</v>
      </c>
      <c r="AD403" s="3" t="str">
        <f>IFERROR(MID(VLOOKUP($B403,Seqs!$A:$B,2,0),AE403,1),"")</f>
        <v>E</v>
      </c>
      <c r="AE403" s="3">
        <v>715</v>
      </c>
      <c r="AF403" s="3" t="str">
        <f>IFERROR(MID(VLOOKUP($B403,Seqs!$A:$B,2,0),AG403,1),"")</f>
        <v>C</v>
      </c>
      <c r="AG403" s="3">
        <v>733</v>
      </c>
      <c r="AH403" s="3" t="str">
        <f>IFERROR(MID(VLOOKUP($B403,Seqs!$A:$B,2,0),AI403,1),"")</f>
        <v>T</v>
      </c>
      <c r="AI403" s="3">
        <v>735</v>
      </c>
      <c r="AJ403" s="3" t="str">
        <f>IFERROR(MID(VLOOKUP($B403,Seqs!$A:$B,2,0),AK403,1),"")</f>
        <v>N</v>
      </c>
      <c r="AK403" s="3">
        <v>737</v>
      </c>
      <c r="AL403" s="3" t="str">
        <f>IFERROR(MID(VLOOKUP($B403,Seqs!$A:$B,2,0),AM403,1),"")</f>
        <v>T</v>
      </c>
      <c r="AM403" s="3">
        <v>761</v>
      </c>
      <c r="AN403" s="3" t="str">
        <f>IFERROR(MID(VLOOKUP($B403,Seqs!$A:$B,2,0),AO403,1),"")</f>
        <v>E</v>
      </c>
      <c r="AO403" s="3">
        <v>770</v>
      </c>
      <c r="AP403" s="3" t="str">
        <f>IFERROR(MID(VLOOKUP($B403,Seqs!$A:$B,2,0),AQ403,1),"")</f>
        <v>G</v>
      </c>
      <c r="AQ403" s="3">
        <v>794</v>
      </c>
      <c r="AR403" s="3" t="str">
        <f>IFERROR(MID(VLOOKUP($B403,Seqs!$A:$B,2,0),AS403,1),"")</f>
        <v>Y</v>
      </c>
      <c r="AS403" s="105">
        <v>797</v>
      </c>
      <c r="AT403" s="3" t="str">
        <f>IFERROR(MID(VLOOKUP($B403,Seqs!$A:$B,2,0),AU403,1),"")</f>
        <v>K</v>
      </c>
      <c r="AU403" s="3">
        <v>828</v>
      </c>
      <c r="AV403" s="3" t="str">
        <f>IFERROR(MID(VLOOKUP($B403,Seqs!$A:$B,2,0),AW403,1),"")</f>
        <v>P</v>
      </c>
      <c r="AW403" s="3">
        <v>829</v>
      </c>
      <c r="AX403" s="3" t="str">
        <f>IFERROR(MID(VLOOKUP($B403,Seqs!$A:$B,2,0),AY403,1),"")</f>
        <v>N</v>
      </c>
      <c r="AY403" s="3">
        <v>832</v>
      </c>
      <c r="AZ403" s="77" t="str">
        <f>VLOOKUP(B403,Classification!A:D,2,0)</f>
        <v>C</v>
      </c>
      <c r="BA403" s="94" t="str">
        <f>VLOOKUP(B403,Classification!A:D,4,0)</f>
        <v>Metabotropicglutamate</v>
      </c>
      <c r="BB403" s="27" t="b">
        <f t="shared" si="2905"/>
        <v>1</v>
      </c>
      <c r="BC403" s="23">
        <f t="shared" si="2878"/>
        <v>213</v>
      </c>
      <c r="BD403" s="106" t="s">
        <v>1376</v>
      </c>
      <c r="BE403" s="3" t="s">
        <v>1374</v>
      </c>
      <c r="BF403" s="118">
        <v>2.6</v>
      </c>
      <c r="BG403" s="49" t="s">
        <v>1377</v>
      </c>
      <c r="BH403" s="49" t="s">
        <v>1377</v>
      </c>
      <c r="BJ403" s="70" t="s">
        <v>1287</v>
      </c>
      <c r="BK403" s="57" t="s">
        <v>1287</v>
      </c>
      <c r="BL403" s="57" t="s">
        <v>1287</v>
      </c>
      <c r="BM403" s="57" t="s">
        <v>1287</v>
      </c>
      <c r="BN403" s="57" t="s">
        <v>1287</v>
      </c>
      <c r="BO403" s="57" t="s">
        <v>1287</v>
      </c>
      <c r="BP403" s="57" t="s">
        <v>1287</v>
      </c>
      <c r="BQ403" s="57" t="s">
        <v>1287</v>
      </c>
      <c r="BR403" s="57" t="s">
        <v>1287</v>
      </c>
      <c r="BS403" s="57" t="s">
        <v>1287</v>
      </c>
      <c r="BT403" s="57" t="s">
        <v>1287</v>
      </c>
      <c r="BU403" s="57" t="s">
        <v>1287</v>
      </c>
      <c r="BV403" s="70">
        <f t="shared" si="2879"/>
        <v>578</v>
      </c>
      <c r="BW403" s="71">
        <f t="shared" si="2880"/>
        <v>607</v>
      </c>
      <c r="BX403" s="72">
        <f t="shared" si="2881"/>
        <v>614</v>
      </c>
      <c r="BY403" s="71" t="str">
        <f t="shared" si="2882"/>
        <v>-</v>
      </c>
      <c r="BZ403" s="72">
        <f t="shared" si="2883"/>
        <v>641</v>
      </c>
      <c r="CA403" s="71" t="str">
        <f t="shared" si="2884"/>
        <v>-</v>
      </c>
      <c r="CB403" s="72">
        <f t="shared" si="2885"/>
        <v>689</v>
      </c>
      <c r="CC403" s="71">
        <f t="shared" si="2886"/>
        <v>733</v>
      </c>
      <c r="CD403" s="72">
        <f t="shared" si="2887"/>
        <v>737</v>
      </c>
      <c r="CE403" s="71">
        <f t="shared" si="2888"/>
        <v>770</v>
      </c>
      <c r="CF403" s="72">
        <f t="shared" si="2889"/>
        <v>797</v>
      </c>
      <c r="CG403" s="71">
        <f t="shared" si="2890"/>
        <v>829</v>
      </c>
      <c r="CH403" s="70">
        <f t="shared" si="2891"/>
        <v>604</v>
      </c>
      <c r="CI403" s="71">
        <f t="shared" si="2892"/>
        <v>613</v>
      </c>
      <c r="CJ403" s="72">
        <f t="shared" si="2893"/>
        <v>636</v>
      </c>
      <c r="CK403" s="72" t="str">
        <f t="shared" si="2894"/>
        <v>-</v>
      </c>
      <c r="CL403" s="72">
        <f t="shared" si="2895"/>
        <v>678</v>
      </c>
      <c r="CM403" s="72" t="str">
        <f t="shared" si="2896"/>
        <v>-</v>
      </c>
      <c r="CN403" s="72">
        <f t="shared" si="2897"/>
        <v>715</v>
      </c>
      <c r="CO403" s="72">
        <f t="shared" si="2898"/>
        <v>735</v>
      </c>
      <c r="CP403" s="72">
        <f t="shared" si="2899"/>
        <v>761</v>
      </c>
      <c r="CQ403" s="72">
        <f t="shared" si="2900"/>
        <v>794</v>
      </c>
      <c r="CR403" s="72">
        <f t="shared" si="2901"/>
        <v>828</v>
      </c>
      <c r="CS403" s="72">
        <f t="shared" si="2902"/>
        <v>832</v>
      </c>
      <c r="CT403" s="23">
        <f t="shared" si="2903"/>
        <v>1</v>
      </c>
    </row>
    <row r="404" spans="1:1030" x14ac:dyDescent="0.2">
      <c r="A404" s="3" t="str">
        <f t="shared" si="2904"/>
        <v>grm5_human_5CGC</v>
      </c>
      <c r="B404" s="3" t="s">
        <v>41</v>
      </c>
      <c r="C404" s="3" t="s">
        <v>58</v>
      </c>
      <c r="D404" s="3" t="str">
        <f>IFERROR(MID(VLOOKUP($B404,Seqs!$A:$B,2,0),E404,1),"")</f>
        <v>P</v>
      </c>
      <c r="E404" s="3">
        <v>578</v>
      </c>
      <c r="F404" s="3" t="str">
        <f>IFERROR(MID(VLOOKUP($B404,Seqs!$A:$B,2,0),G404,1),"")</f>
        <v>Y</v>
      </c>
      <c r="G404" s="3">
        <v>604</v>
      </c>
      <c r="H404" s="3" t="str">
        <f>IFERROR(MID(VLOOKUP($B404,Seqs!$A:$B,2,0),I404,1),"")</f>
        <v>T</v>
      </c>
      <c r="I404" s="23">
        <v>607</v>
      </c>
      <c r="J404" s="3" t="str">
        <f>IFERROR(MID(VLOOKUP($B404,Seqs!$A:$B,2,0),K404,1),"")</f>
        <v>S</v>
      </c>
      <c r="K404" s="23">
        <v>613</v>
      </c>
      <c r="L404" s="3" t="str">
        <f>IFERROR(MID(VLOOKUP($B404,Seqs!$A:$B,2,0),M404,1),"")</f>
        <v>S</v>
      </c>
      <c r="M404" s="3">
        <v>614</v>
      </c>
      <c r="N404" s="3" t="str">
        <f>IFERROR(MID(VLOOKUP($B404,Seqs!$A:$B,2,0),O404,1),"")</f>
        <v>I</v>
      </c>
      <c r="O404" s="3">
        <v>636</v>
      </c>
      <c r="P404" s="3" t="str">
        <f>IFERROR(MID(VLOOKUP($B404,Seqs!$A:$B,2,0),Q404,1),"")</f>
        <v/>
      </c>
      <c r="Q404" s="3" t="s">
        <v>23</v>
      </c>
      <c r="R404" s="3" t="str">
        <f>IFERROR(MID(VLOOKUP($B404,Seqs!$A:$B,2,0),S404,1),"")</f>
        <v/>
      </c>
      <c r="S404" s="3" t="s">
        <v>23</v>
      </c>
      <c r="T404" s="3" t="str">
        <f>IFERROR(MID(VLOOKUP($B404,Seqs!$A:$B,2,0),U404,1),"")</f>
        <v>K</v>
      </c>
      <c r="U404" s="105">
        <v>640</v>
      </c>
      <c r="V404" s="3" t="str">
        <f>IFERROR(MID(VLOOKUP($B404,Seqs!$A:$B,2,0),W404,1),"")</f>
        <v>K</v>
      </c>
      <c r="W404" s="3">
        <v>678</v>
      </c>
      <c r="X404" s="3" t="str">
        <f>IFERROR(MID(VLOOKUP($B404,Seqs!$A:$B,2,0),Y404,1),"")</f>
        <v/>
      </c>
      <c r="Y404" s="3" t="s">
        <v>23</v>
      </c>
      <c r="Z404" s="3" t="str">
        <f>IFERROR(MID(VLOOKUP($B404,Seqs!$A:$B,2,0),AA404,1),"")</f>
        <v/>
      </c>
      <c r="AA404" s="3" t="s">
        <v>23</v>
      </c>
      <c r="AB404" s="3" t="str">
        <f>IFERROR(MID(VLOOKUP($B404,Seqs!$A:$B,2,0),AC404,1),"")</f>
        <v>S</v>
      </c>
      <c r="AC404" s="9">
        <v>689</v>
      </c>
      <c r="AD404" s="3" t="str">
        <f>IFERROR(MID(VLOOKUP($B404,Seqs!$A:$B,2,0),AE404,1),"")</f>
        <v>E</v>
      </c>
      <c r="AE404" s="3">
        <v>715</v>
      </c>
      <c r="AF404" s="3" t="str">
        <f>IFERROR(MID(VLOOKUP($B404,Seqs!$A:$B,2,0),AG404,1),"")</f>
        <v>C</v>
      </c>
      <c r="AG404" s="3">
        <v>733</v>
      </c>
      <c r="AH404" s="3" t="str">
        <f>IFERROR(MID(VLOOKUP($B404,Seqs!$A:$B,2,0),AI404,1),"")</f>
        <v>T</v>
      </c>
      <c r="AI404" s="3">
        <v>735</v>
      </c>
      <c r="AJ404" s="3" t="str">
        <f>IFERROR(MID(VLOOKUP($B404,Seqs!$A:$B,2,0),AK404,1),"")</f>
        <v>N</v>
      </c>
      <c r="AK404" s="3">
        <v>737</v>
      </c>
      <c r="AL404" s="3" t="str">
        <f>IFERROR(MID(VLOOKUP($B404,Seqs!$A:$B,2,0),AM404,1),"")</f>
        <v>T</v>
      </c>
      <c r="AM404" s="3">
        <v>761</v>
      </c>
      <c r="AN404" s="3" t="str">
        <f>IFERROR(MID(VLOOKUP($B404,Seqs!$A:$B,2,0),AO404,1),"")</f>
        <v>E</v>
      </c>
      <c r="AO404" s="3">
        <v>770</v>
      </c>
      <c r="AP404" s="3" t="str">
        <f>IFERROR(MID(VLOOKUP($B404,Seqs!$A:$B,2,0),AQ404,1),"")</f>
        <v>G</v>
      </c>
      <c r="AQ404" s="3">
        <v>794</v>
      </c>
      <c r="AR404" s="3" t="str">
        <f>IFERROR(MID(VLOOKUP($B404,Seqs!$A:$B,2,0),AS404,1),"")</f>
        <v>Y</v>
      </c>
      <c r="AS404" s="105">
        <v>797</v>
      </c>
      <c r="AT404" s="3" t="str">
        <f>IFERROR(MID(VLOOKUP($B404,Seqs!$A:$B,2,0),AU404,1),"")</f>
        <v>K</v>
      </c>
      <c r="AU404" s="3">
        <v>828</v>
      </c>
      <c r="AV404" s="3" t="str">
        <f>IFERROR(MID(VLOOKUP($B404,Seqs!$A:$B,2,0),AW404,1),"")</f>
        <v>P</v>
      </c>
      <c r="AW404" s="3">
        <v>829</v>
      </c>
      <c r="AX404" s="3" t="str">
        <f>IFERROR(MID(VLOOKUP($B404,Seqs!$A:$B,2,0),AY404,1),"")</f>
        <v>N</v>
      </c>
      <c r="AY404" s="3">
        <v>832</v>
      </c>
      <c r="AZ404" s="77" t="str">
        <f>VLOOKUP(B404,Classification!A:D,2,0)</f>
        <v>C</v>
      </c>
      <c r="BA404" s="94" t="str">
        <f>VLOOKUP(B404,Classification!A:D,4,0)</f>
        <v>Metabotropicglutamate</v>
      </c>
      <c r="BB404" s="27" t="b">
        <f t="shared" si="2905"/>
        <v>1</v>
      </c>
      <c r="BC404" s="23">
        <f t="shared" si="2878"/>
        <v>214</v>
      </c>
      <c r="BD404" s="4" t="s">
        <v>23</v>
      </c>
      <c r="BE404" s="3" t="s">
        <v>1374</v>
      </c>
      <c r="BF404" s="118">
        <v>3.1</v>
      </c>
      <c r="BG404" s="49" t="s">
        <v>1377</v>
      </c>
      <c r="BH404" s="49" t="s">
        <v>1377</v>
      </c>
      <c r="BJ404" s="70" t="s">
        <v>1287</v>
      </c>
      <c r="BK404" s="57" t="s">
        <v>1287</v>
      </c>
      <c r="BL404" s="57" t="s">
        <v>1287</v>
      </c>
      <c r="BM404" s="57" t="s">
        <v>1287</v>
      </c>
      <c r="BN404" s="57" t="s">
        <v>1287</v>
      </c>
      <c r="BO404" s="57" t="s">
        <v>1287</v>
      </c>
      <c r="BP404" s="57" t="s">
        <v>1287</v>
      </c>
      <c r="BQ404" s="57" t="s">
        <v>1287</v>
      </c>
      <c r="BR404" s="57" t="s">
        <v>1287</v>
      </c>
      <c r="BS404" s="57" t="s">
        <v>1287</v>
      </c>
      <c r="BT404" s="57" t="s">
        <v>1287</v>
      </c>
      <c r="BU404" s="57" t="s">
        <v>1287</v>
      </c>
      <c r="BV404" s="70">
        <f t="shared" si="2879"/>
        <v>578</v>
      </c>
      <c r="BW404" s="71">
        <f t="shared" si="2880"/>
        <v>607</v>
      </c>
      <c r="BX404" s="72">
        <f t="shared" si="2881"/>
        <v>614</v>
      </c>
      <c r="BY404" s="71" t="str">
        <f t="shared" si="2882"/>
        <v>-</v>
      </c>
      <c r="BZ404" s="72">
        <f t="shared" si="2883"/>
        <v>640</v>
      </c>
      <c r="CA404" s="71" t="str">
        <f t="shared" si="2884"/>
        <v>-</v>
      </c>
      <c r="CB404" s="72">
        <f t="shared" si="2885"/>
        <v>689</v>
      </c>
      <c r="CC404" s="71">
        <f t="shared" si="2886"/>
        <v>733</v>
      </c>
      <c r="CD404" s="72">
        <f t="shared" si="2887"/>
        <v>737</v>
      </c>
      <c r="CE404" s="71">
        <f t="shared" si="2888"/>
        <v>770</v>
      </c>
      <c r="CF404" s="72">
        <f t="shared" si="2889"/>
        <v>797</v>
      </c>
      <c r="CG404" s="71">
        <f t="shared" si="2890"/>
        <v>829</v>
      </c>
      <c r="CH404" s="70">
        <f t="shared" si="2891"/>
        <v>604</v>
      </c>
      <c r="CI404" s="71">
        <f t="shared" si="2892"/>
        <v>613</v>
      </c>
      <c r="CJ404" s="72">
        <f t="shared" si="2893"/>
        <v>636</v>
      </c>
      <c r="CK404" s="72" t="str">
        <f t="shared" si="2894"/>
        <v>-</v>
      </c>
      <c r="CL404" s="72">
        <f t="shared" si="2895"/>
        <v>678</v>
      </c>
      <c r="CM404" s="72" t="str">
        <f t="shared" si="2896"/>
        <v>-</v>
      </c>
      <c r="CN404" s="72">
        <f t="shared" si="2897"/>
        <v>715</v>
      </c>
      <c r="CO404" s="72">
        <f t="shared" si="2898"/>
        <v>735</v>
      </c>
      <c r="CP404" s="72">
        <f t="shared" si="2899"/>
        <v>761</v>
      </c>
      <c r="CQ404" s="72">
        <f t="shared" si="2900"/>
        <v>794</v>
      </c>
      <c r="CR404" s="72">
        <f t="shared" si="2901"/>
        <v>828</v>
      </c>
      <c r="CS404" s="72">
        <f t="shared" si="2902"/>
        <v>832</v>
      </c>
      <c r="CT404" s="23">
        <f t="shared" si="2903"/>
        <v>1</v>
      </c>
    </row>
    <row r="405" spans="1:1030" x14ac:dyDescent="0.2">
      <c r="A405" s="3" t="str">
        <f t="shared" si="2904"/>
        <v>grm5_human_5CGD</v>
      </c>
      <c r="B405" s="3" t="s">
        <v>41</v>
      </c>
      <c r="C405" s="3" t="s">
        <v>59</v>
      </c>
      <c r="D405" s="3" t="str">
        <f>IFERROR(MID(VLOOKUP($B405,Seqs!$A:$B,2,0),E405,1),"")</f>
        <v>P</v>
      </c>
      <c r="E405" s="3">
        <v>578</v>
      </c>
      <c r="F405" s="3" t="str">
        <f>IFERROR(MID(VLOOKUP($B405,Seqs!$A:$B,2,0),G405,1),"")</f>
        <v>Y</v>
      </c>
      <c r="G405" s="3">
        <v>604</v>
      </c>
      <c r="H405" s="3" t="str">
        <f>IFERROR(MID(VLOOKUP($B405,Seqs!$A:$B,2,0),I405,1),"")</f>
        <v>T</v>
      </c>
      <c r="I405" s="23">
        <v>607</v>
      </c>
      <c r="J405" s="3" t="str">
        <f>IFERROR(MID(VLOOKUP($B405,Seqs!$A:$B,2,0),K405,1),"")</f>
        <v>S</v>
      </c>
      <c r="K405" s="23">
        <v>613</v>
      </c>
      <c r="L405" s="3" t="str">
        <f>IFERROR(MID(VLOOKUP($B405,Seqs!$A:$B,2,0),M405,1),"")</f>
        <v>S</v>
      </c>
      <c r="M405" s="3">
        <v>614</v>
      </c>
      <c r="N405" s="3" t="str">
        <f>IFERROR(MID(VLOOKUP($B405,Seqs!$A:$B,2,0),O405,1),"")</f>
        <v>I</v>
      </c>
      <c r="O405" s="3">
        <v>636</v>
      </c>
      <c r="P405" s="3" t="str">
        <f>IFERROR(MID(VLOOKUP($B405,Seqs!$A:$B,2,0),Q405,1),"")</f>
        <v/>
      </c>
      <c r="Q405" s="3" t="s">
        <v>23</v>
      </c>
      <c r="R405" s="3" t="str">
        <f>IFERROR(MID(VLOOKUP($B405,Seqs!$A:$B,2,0),S405,1),"")</f>
        <v/>
      </c>
      <c r="S405" s="3" t="s">
        <v>23</v>
      </c>
      <c r="T405" s="3" t="str">
        <f>IFERROR(MID(VLOOKUP($B405,Seqs!$A:$B,2,0),U405,1),"")</f>
        <v>Q</v>
      </c>
      <c r="U405" s="3">
        <v>641</v>
      </c>
      <c r="V405" s="3" t="str">
        <f>IFERROR(MID(VLOOKUP($B405,Seqs!$A:$B,2,0),W405,1),"")</f>
        <v>K</v>
      </c>
      <c r="W405" s="3">
        <v>678</v>
      </c>
      <c r="X405" s="3" t="str">
        <f>IFERROR(MID(VLOOKUP($B405,Seqs!$A:$B,2,0),Y405,1),"")</f>
        <v/>
      </c>
      <c r="Y405" s="3" t="s">
        <v>23</v>
      </c>
      <c r="Z405" s="3" t="str">
        <f>IFERROR(MID(VLOOKUP($B405,Seqs!$A:$B,2,0),AA405,1),"")</f>
        <v/>
      </c>
      <c r="AA405" s="3" t="s">
        <v>23</v>
      </c>
      <c r="AB405" s="3" t="str">
        <f>IFERROR(MID(VLOOKUP($B405,Seqs!$A:$B,2,0),AC405,1),"")</f>
        <v>S</v>
      </c>
      <c r="AC405" s="9">
        <v>689</v>
      </c>
      <c r="AD405" s="3" t="str">
        <f>IFERROR(MID(VLOOKUP($B405,Seqs!$A:$B,2,0),AE405,1),"")</f>
        <v>E</v>
      </c>
      <c r="AE405" s="3">
        <v>715</v>
      </c>
      <c r="AF405" s="3" t="str">
        <f>IFERROR(MID(VLOOKUP($B405,Seqs!$A:$B,2,0),AG405,1),"")</f>
        <v>C</v>
      </c>
      <c r="AG405" s="3">
        <v>733</v>
      </c>
      <c r="AH405" s="3" t="str">
        <f>IFERROR(MID(VLOOKUP($B405,Seqs!$A:$B,2,0),AI405,1),"")</f>
        <v>T</v>
      </c>
      <c r="AI405" s="3">
        <v>735</v>
      </c>
      <c r="AJ405" s="3" t="str">
        <f>IFERROR(MID(VLOOKUP($B405,Seqs!$A:$B,2,0),AK405,1),"")</f>
        <v>N</v>
      </c>
      <c r="AK405" s="3">
        <v>737</v>
      </c>
      <c r="AL405" s="3" t="str">
        <f>IFERROR(MID(VLOOKUP($B405,Seqs!$A:$B,2,0),AM405,1),"")</f>
        <v>T</v>
      </c>
      <c r="AM405" s="3">
        <v>761</v>
      </c>
      <c r="AN405" s="3" t="str">
        <f>IFERROR(MID(VLOOKUP($B405,Seqs!$A:$B,2,0),AO405,1),"")</f>
        <v>E</v>
      </c>
      <c r="AO405" s="3">
        <v>770</v>
      </c>
      <c r="AP405" s="3" t="str">
        <f>IFERROR(MID(VLOOKUP($B405,Seqs!$A:$B,2,0),AQ405,1),"")</f>
        <v>G</v>
      </c>
      <c r="AQ405" s="3">
        <v>794</v>
      </c>
      <c r="AR405" s="3" t="str">
        <f>IFERROR(MID(VLOOKUP($B405,Seqs!$A:$B,2,0),AS405,1),"")</f>
        <v>Y</v>
      </c>
      <c r="AS405" s="105">
        <v>797</v>
      </c>
      <c r="AT405" s="3" t="str">
        <f>IFERROR(MID(VLOOKUP($B405,Seqs!$A:$B,2,0),AU405,1),"")</f>
        <v>K</v>
      </c>
      <c r="AU405" s="3">
        <v>828</v>
      </c>
      <c r="AV405" s="3" t="str">
        <f>IFERROR(MID(VLOOKUP($B405,Seqs!$A:$B,2,0),AW405,1),"")</f>
        <v>P</v>
      </c>
      <c r="AW405" s="3">
        <v>829</v>
      </c>
      <c r="AX405" s="3" t="str">
        <f>IFERROR(MID(VLOOKUP($B405,Seqs!$A:$B,2,0),AY405,1),"")</f>
        <v>R</v>
      </c>
      <c r="AY405" s="3">
        <v>831</v>
      </c>
      <c r="AZ405" s="77" t="str">
        <f>VLOOKUP(B405,Classification!A:D,2,0)</f>
        <v>C</v>
      </c>
      <c r="BA405" s="94" t="str">
        <f>VLOOKUP(B405,Classification!A:D,4,0)</f>
        <v>Metabotropicglutamate</v>
      </c>
      <c r="BB405" s="27" t="b">
        <f t="shared" si="2905"/>
        <v>1</v>
      </c>
      <c r="BC405" s="23">
        <f t="shared" si="2878"/>
        <v>212</v>
      </c>
      <c r="BD405" s="4" t="s">
        <v>23</v>
      </c>
      <c r="BE405" s="3" t="s">
        <v>1374</v>
      </c>
      <c r="BF405" s="118">
        <v>2.6</v>
      </c>
      <c r="BG405" s="49" t="s">
        <v>1377</v>
      </c>
      <c r="BH405" s="49" t="s">
        <v>1377</v>
      </c>
      <c r="BJ405" s="70" t="s">
        <v>1287</v>
      </c>
      <c r="BK405" s="57" t="s">
        <v>1287</v>
      </c>
      <c r="BL405" s="57" t="s">
        <v>1287</v>
      </c>
      <c r="BM405" s="57" t="s">
        <v>1287</v>
      </c>
      <c r="BN405" s="57" t="s">
        <v>1287</v>
      </c>
      <c r="BO405" s="57" t="s">
        <v>1287</v>
      </c>
      <c r="BP405" s="57" t="s">
        <v>1287</v>
      </c>
      <c r="BQ405" s="57" t="s">
        <v>1287</v>
      </c>
      <c r="BR405" s="57" t="s">
        <v>1287</v>
      </c>
      <c r="BS405" s="57" t="s">
        <v>1287</v>
      </c>
      <c r="BT405" s="57" t="s">
        <v>1287</v>
      </c>
      <c r="BU405" s="57" t="s">
        <v>1287</v>
      </c>
      <c r="BV405" s="70">
        <f t="shared" si="2879"/>
        <v>578</v>
      </c>
      <c r="BW405" s="71">
        <f t="shared" si="2880"/>
        <v>607</v>
      </c>
      <c r="BX405" s="72">
        <f t="shared" si="2881"/>
        <v>614</v>
      </c>
      <c r="BY405" s="71" t="str">
        <f t="shared" si="2882"/>
        <v>-</v>
      </c>
      <c r="BZ405" s="72">
        <f t="shared" si="2883"/>
        <v>641</v>
      </c>
      <c r="CA405" s="71" t="str">
        <f t="shared" si="2884"/>
        <v>-</v>
      </c>
      <c r="CB405" s="72">
        <f t="shared" si="2885"/>
        <v>689</v>
      </c>
      <c r="CC405" s="71">
        <f t="shared" si="2886"/>
        <v>733</v>
      </c>
      <c r="CD405" s="72">
        <f t="shared" si="2887"/>
        <v>737</v>
      </c>
      <c r="CE405" s="71">
        <f t="shared" si="2888"/>
        <v>770</v>
      </c>
      <c r="CF405" s="72">
        <f t="shared" si="2889"/>
        <v>797</v>
      </c>
      <c r="CG405" s="71">
        <f t="shared" si="2890"/>
        <v>829</v>
      </c>
      <c r="CH405" s="70">
        <f t="shared" si="2891"/>
        <v>604</v>
      </c>
      <c r="CI405" s="71">
        <f t="shared" si="2892"/>
        <v>613</v>
      </c>
      <c r="CJ405" s="72">
        <f t="shared" si="2893"/>
        <v>636</v>
      </c>
      <c r="CK405" s="72" t="str">
        <f t="shared" si="2894"/>
        <v>-</v>
      </c>
      <c r="CL405" s="72">
        <f t="shared" si="2895"/>
        <v>678</v>
      </c>
      <c r="CM405" s="72" t="str">
        <f t="shared" si="2896"/>
        <v>-</v>
      </c>
      <c r="CN405" s="72">
        <f t="shared" si="2897"/>
        <v>715</v>
      </c>
      <c r="CO405" s="72">
        <f t="shared" si="2898"/>
        <v>735</v>
      </c>
      <c r="CP405" s="72">
        <f t="shared" si="2899"/>
        <v>761</v>
      </c>
      <c r="CQ405" s="72">
        <f t="shared" si="2900"/>
        <v>794</v>
      </c>
      <c r="CR405" s="72">
        <f t="shared" si="2901"/>
        <v>828</v>
      </c>
      <c r="CS405" s="72">
        <f t="shared" si="2902"/>
        <v>831</v>
      </c>
      <c r="CT405" s="23">
        <f t="shared" si="2903"/>
        <v>1</v>
      </c>
      <c r="AMP405" s="3"/>
    </row>
    <row r="406" spans="1:1030" x14ac:dyDescent="0.2">
      <c r="A406" s="3" t="str">
        <f>CONCATENATE(B406,"_",C406)</f>
        <v>grm5_human_6FFH</v>
      </c>
      <c r="B406" s="3" t="s">
        <v>41</v>
      </c>
      <c r="C406" s="3" t="s">
        <v>1474</v>
      </c>
      <c r="D406" s="3" t="str">
        <f>IFERROR(MID(VLOOKUP($B406,Seqs!$A:$B,2,0),E406,1),"")</f>
        <v>P</v>
      </c>
      <c r="E406" s="3">
        <v>578</v>
      </c>
      <c r="F406" s="3" t="str">
        <f>IFERROR(MID(VLOOKUP($B406,Seqs!$A:$B,2,0),G406,1),"")</f>
        <v>Y</v>
      </c>
      <c r="G406" s="3">
        <v>604</v>
      </c>
      <c r="H406" s="3" t="str">
        <f>IFERROR(MID(VLOOKUP($B406,Seqs!$A:$B,2,0),I406,1),"")</f>
        <v>T</v>
      </c>
      <c r="I406" s="23">
        <v>607</v>
      </c>
      <c r="J406" s="3" t="str">
        <f>IFERROR(MID(VLOOKUP($B406,Seqs!$A:$B,2,0),K406,1),"")</f>
        <v>S</v>
      </c>
      <c r="K406" s="23">
        <v>613</v>
      </c>
      <c r="L406" s="3" t="str">
        <f>IFERROR(MID(VLOOKUP($B406,Seqs!$A:$B,2,0),M406,1),"")</f>
        <v>S</v>
      </c>
      <c r="M406" s="3">
        <v>614</v>
      </c>
      <c r="N406" s="3" t="str">
        <f>IFERROR(MID(VLOOKUP($B406,Seqs!$A:$B,2,0),O406,1),"")</f>
        <v>I</v>
      </c>
      <c r="O406" s="3">
        <v>636</v>
      </c>
      <c r="P406" s="3" t="str">
        <f>IFERROR(MID(VLOOKUP($B406,Seqs!$A:$B,2,0),Q406,1),"")</f>
        <v/>
      </c>
      <c r="Q406" s="3" t="s">
        <v>23</v>
      </c>
      <c r="R406" s="3" t="str">
        <f>IFERROR(MID(VLOOKUP($B406,Seqs!$A:$B,2,0),S406,1),"")</f>
        <v/>
      </c>
      <c r="S406" s="3" t="s">
        <v>23</v>
      </c>
      <c r="T406" s="3" t="str">
        <f>IFERROR(MID(VLOOKUP($B406,Seqs!$A:$B,2,0),U406,1),"")</f>
        <v>K</v>
      </c>
      <c r="U406" s="3">
        <v>640</v>
      </c>
      <c r="V406" s="3" t="str">
        <f>IFERROR(MID(VLOOKUP($B406,Seqs!$A:$B,2,0),W406,1),"")</f>
        <v>K</v>
      </c>
      <c r="W406" s="3">
        <v>678</v>
      </c>
      <c r="X406" s="3" t="str">
        <f>IFERROR(MID(VLOOKUP($B406,Seqs!$A:$B,2,0),Y406,1),"")</f>
        <v/>
      </c>
      <c r="Y406" s="3" t="s">
        <v>23</v>
      </c>
      <c r="Z406" s="3" t="str">
        <f>IFERROR(MID(VLOOKUP($B406,Seqs!$A:$B,2,0),AA406,1),"")</f>
        <v/>
      </c>
      <c r="AA406" s="3" t="s">
        <v>23</v>
      </c>
      <c r="AB406" s="3" t="str">
        <f>IFERROR(MID(VLOOKUP($B406,Seqs!$A:$B,2,0),AC406,1),"")</f>
        <v/>
      </c>
      <c r="AC406" s="3">
        <v>1689</v>
      </c>
      <c r="AD406" s="3" t="str">
        <f>IFERROR(MID(VLOOKUP($B406,Seqs!$A:$B,2,0),AE406,1),"")</f>
        <v/>
      </c>
      <c r="AE406" s="3">
        <v>1715</v>
      </c>
      <c r="AF406" s="3" t="str">
        <f>IFERROR(MID(VLOOKUP($B406,Seqs!$A:$B,2,0),AG406,1),"")</f>
        <v/>
      </c>
      <c r="AG406" s="3">
        <v>1733</v>
      </c>
      <c r="AH406" s="3" t="str">
        <f>IFERROR(MID(VLOOKUP($B406,Seqs!$A:$B,2,0),AI406,1),"")</f>
        <v/>
      </c>
      <c r="AI406" s="3">
        <v>1735</v>
      </c>
      <c r="AJ406" s="3" t="str">
        <f>IFERROR(MID(VLOOKUP($B406,Seqs!$A:$B,2,0),AK406,1),"")</f>
        <v/>
      </c>
      <c r="AK406" s="3">
        <v>1736</v>
      </c>
      <c r="AL406" s="3" t="str">
        <f>IFERROR(MID(VLOOKUP($B406,Seqs!$A:$B,2,0),AM406,1),"")</f>
        <v/>
      </c>
      <c r="AM406" s="3">
        <v>1761</v>
      </c>
      <c r="AN406" s="3" t="str">
        <f>IFERROR(MID(VLOOKUP($B406,Seqs!$A:$B,2,0),AO406,1),"")</f>
        <v/>
      </c>
      <c r="AO406" s="3">
        <v>1770</v>
      </c>
      <c r="AP406" s="3" t="str">
        <f>IFERROR(MID(VLOOKUP($B406,Seqs!$A:$B,2,0),AQ406,1),"")</f>
        <v/>
      </c>
      <c r="AQ406" s="3">
        <v>1794</v>
      </c>
      <c r="AR406" s="3" t="str">
        <f>IFERROR(MID(VLOOKUP($B406,Seqs!$A:$B,2,0),AS406,1),"")</f>
        <v/>
      </c>
      <c r="AS406" s="3">
        <v>1797</v>
      </c>
      <c r="AT406" s="3" t="str">
        <f>IFERROR(MID(VLOOKUP($B406,Seqs!$A:$B,2,0),AU406,1),"")</f>
        <v/>
      </c>
      <c r="AU406" s="3">
        <v>1828</v>
      </c>
      <c r="AV406" s="3" t="str">
        <f>IFERROR(MID(VLOOKUP($B406,Seqs!$A:$B,2,0),AW406,1),"")</f>
        <v/>
      </c>
      <c r="AW406" s="3">
        <v>1829</v>
      </c>
      <c r="AX406" s="3" t="str">
        <f>IFERROR(MID(VLOOKUP($B406,Seqs!$A:$B,2,0),AY406,1),"")</f>
        <v/>
      </c>
      <c r="AY406" s="3">
        <v>1832</v>
      </c>
      <c r="AZ406" s="77" t="str">
        <f>VLOOKUP(B406,Classification!A:D,2,0)</f>
        <v>C</v>
      </c>
      <c r="BA406" s="94" t="str">
        <f>VLOOKUP(B406,Classification!A:D,4,0)</f>
        <v>Metabotropicglutamate</v>
      </c>
      <c r="BB406" s="27" t="b">
        <f>AND(E406&lt;G406,OR(G406&lt;I406,I406="-"),OR(I406&lt;K406,I406="-"),OR(K406&lt;M406,K406="-"),M406&lt;O406,OR(O406&lt;Q406,Q406="-"),OR(Q406&lt;S406,Q406="-"),OR(S406&lt;U406,S406="-"),U406&lt;W406,OR(W406&lt;Y406,Y406="-"),OR(Y406&lt;AA406,Y406="-"),OR(AA406&lt;AC406,AA406="-"),AC406&lt;AE406,OR(AE406&lt;AG406,AG406="-"),OR(AG406&lt;AI406,AG406="-"),OR(AI406&lt;AK406,AI406="-"),AK406&lt;AM406,AM406&lt;AO406,AO406&lt;AQ406,AQ406&lt;AS406,AS406&lt;AU406,OR(AU406&lt;AW406,AW406="-"),OR(AW406&lt;AY406,AW406="-"))</f>
        <v>1</v>
      </c>
      <c r="BC406" s="23">
        <f>_xlfn.AGGREGATE(9,6,CH406:CS406)-_xlfn.AGGREGATE(9,6,BV406:CG406)+12</f>
        <v>215</v>
      </c>
      <c r="BD406" s="4" t="s">
        <v>23</v>
      </c>
      <c r="BE406" s="3" t="s">
        <v>1374</v>
      </c>
      <c r="BF406" s="118">
        <v>2.65</v>
      </c>
      <c r="BG406" s="49" t="s">
        <v>1</v>
      </c>
      <c r="BH406" s="49" t="s">
        <v>1</v>
      </c>
      <c r="BJ406" s="70" t="s">
        <v>1287</v>
      </c>
      <c r="BK406" s="57" t="s">
        <v>1287</v>
      </c>
      <c r="BL406" s="57" t="s">
        <v>1287</v>
      </c>
      <c r="BM406" s="57" t="s">
        <v>1287</v>
      </c>
      <c r="BN406" s="57" t="s">
        <v>1287</v>
      </c>
      <c r="BO406" s="57" t="s">
        <v>1287</v>
      </c>
      <c r="BP406" s="57" t="s">
        <v>1287</v>
      </c>
      <c r="BQ406" s="57" t="s">
        <v>1287</v>
      </c>
      <c r="BR406" s="57" t="s">
        <v>1287</v>
      </c>
      <c r="BS406" s="57" t="s">
        <v>1287</v>
      </c>
      <c r="BT406" s="57" t="s">
        <v>1287</v>
      </c>
      <c r="BU406" s="57" t="s">
        <v>1287</v>
      </c>
      <c r="BV406" s="70">
        <f>E406</f>
        <v>578</v>
      </c>
      <c r="BW406" s="71">
        <f>I406</f>
        <v>607</v>
      </c>
      <c r="BX406" s="72">
        <f>M406</f>
        <v>614</v>
      </c>
      <c r="BY406" s="71" t="str">
        <f>Q406</f>
        <v>-</v>
      </c>
      <c r="BZ406" s="72">
        <f>U406</f>
        <v>640</v>
      </c>
      <c r="CA406" s="71" t="str">
        <f>Y406</f>
        <v>-</v>
      </c>
      <c r="CB406" s="72">
        <f>AC406</f>
        <v>1689</v>
      </c>
      <c r="CC406" s="71">
        <f>AG406</f>
        <v>1733</v>
      </c>
      <c r="CD406" s="72">
        <f>AK406</f>
        <v>1736</v>
      </c>
      <c r="CE406" s="71">
        <f>AO406</f>
        <v>1770</v>
      </c>
      <c r="CF406" s="72">
        <f>AS406</f>
        <v>1797</v>
      </c>
      <c r="CG406" s="71">
        <f>AW406</f>
        <v>1829</v>
      </c>
      <c r="CH406" s="70">
        <f>G406</f>
        <v>604</v>
      </c>
      <c r="CI406" s="71">
        <f>K406</f>
        <v>613</v>
      </c>
      <c r="CJ406" s="72">
        <f>O406</f>
        <v>636</v>
      </c>
      <c r="CK406" s="72" t="str">
        <f>S406</f>
        <v>-</v>
      </c>
      <c r="CL406" s="72">
        <f>W406</f>
        <v>678</v>
      </c>
      <c r="CM406" s="72" t="str">
        <f>AA406</f>
        <v>-</v>
      </c>
      <c r="CN406" s="72">
        <f>AE406</f>
        <v>1715</v>
      </c>
      <c r="CO406" s="72">
        <f>AI406</f>
        <v>1735</v>
      </c>
      <c r="CP406" s="72">
        <f>AM406</f>
        <v>1761</v>
      </c>
      <c r="CQ406" s="72">
        <f>AQ406</f>
        <v>1794</v>
      </c>
      <c r="CR406" s="72">
        <f>AU406</f>
        <v>1828</v>
      </c>
      <c r="CS406" s="72">
        <f>AY406</f>
        <v>1832</v>
      </c>
      <c r="CT406" s="23">
        <f>M406-K406</f>
        <v>1</v>
      </c>
      <c r="AMP406" s="3"/>
    </row>
    <row r="407" spans="1:1030" x14ac:dyDescent="0.2">
      <c r="A407" s="3" t="str">
        <f>CONCATENATE(B407,"_",C407)</f>
        <v>grm5_human_6FFI</v>
      </c>
      <c r="B407" s="3" t="s">
        <v>41</v>
      </c>
      <c r="C407" s="3" t="s">
        <v>1475</v>
      </c>
      <c r="D407" s="3" t="str">
        <f>IFERROR(MID(VLOOKUP($B407,Seqs!$A:$B,2,0),E407,1),"")</f>
        <v>P</v>
      </c>
      <c r="E407" s="3">
        <v>578</v>
      </c>
      <c r="F407" s="3" t="str">
        <f>IFERROR(MID(VLOOKUP($B407,Seqs!$A:$B,2,0),G407,1),"")</f>
        <v>Y</v>
      </c>
      <c r="G407" s="3">
        <v>604</v>
      </c>
      <c r="H407" s="3" t="str">
        <f>IFERROR(MID(VLOOKUP($B407,Seqs!$A:$B,2,0),I407,1),"")</f>
        <v>T</v>
      </c>
      <c r="I407" s="23">
        <v>607</v>
      </c>
      <c r="J407" s="3" t="str">
        <f>IFERROR(MID(VLOOKUP($B407,Seqs!$A:$B,2,0),K407,1),"")</f>
        <v>S</v>
      </c>
      <c r="K407" s="23">
        <v>613</v>
      </c>
      <c r="L407" s="3" t="str">
        <f>IFERROR(MID(VLOOKUP($B407,Seqs!$A:$B,2,0),M407,1),"")</f>
        <v>S</v>
      </c>
      <c r="M407" s="3">
        <v>614</v>
      </c>
      <c r="N407" s="3" t="str">
        <f>IFERROR(MID(VLOOKUP($B407,Seqs!$A:$B,2,0),O407,1),"")</f>
        <v>I</v>
      </c>
      <c r="O407" s="3">
        <v>636</v>
      </c>
      <c r="P407" s="3" t="str">
        <f>IFERROR(MID(VLOOKUP($B407,Seqs!$A:$B,2,0),Q407,1),"")</f>
        <v/>
      </c>
      <c r="Q407" s="3" t="s">
        <v>23</v>
      </c>
      <c r="R407" s="3" t="str">
        <f>IFERROR(MID(VLOOKUP($B407,Seqs!$A:$B,2,0),S407,1),"")</f>
        <v/>
      </c>
      <c r="S407" s="3" t="s">
        <v>23</v>
      </c>
      <c r="T407" s="3" t="str">
        <f>IFERROR(MID(VLOOKUP($B407,Seqs!$A:$B,2,0),U407,1),"")</f>
        <v>K</v>
      </c>
      <c r="U407" s="3">
        <v>640</v>
      </c>
      <c r="V407" s="3" t="str">
        <f>IFERROR(MID(VLOOKUP($B407,Seqs!$A:$B,2,0),W407,1),"")</f>
        <v>K</v>
      </c>
      <c r="W407" s="3">
        <v>678</v>
      </c>
      <c r="X407" s="3" t="str">
        <f>IFERROR(MID(VLOOKUP($B407,Seqs!$A:$B,2,0),Y407,1),"")</f>
        <v/>
      </c>
      <c r="Y407" s="3" t="s">
        <v>23</v>
      </c>
      <c r="Z407" s="3" t="str">
        <f>IFERROR(MID(VLOOKUP($B407,Seqs!$A:$B,2,0),AA407,1),"")</f>
        <v/>
      </c>
      <c r="AA407" s="3" t="s">
        <v>23</v>
      </c>
      <c r="AB407" s="3" t="str">
        <f>IFERROR(MID(VLOOKUP($B407,Seqs!$A:$B,2,0),AC407,1),"")</f>
        <v>D</v>
      </c>
      <c r="AC407" s="3">
        <v>849</v>
      </c>
      <c r="AD407" s="3" t="str">
        <f>IFERROR(MID(VLOOKUP($B407,Seqs!$A:$B,2,0),AE407,1),"")</f>
        <v>T</v>
      </c>
      <c r="AE407" s="3">
        <v>875</v>
      </c>
      <c r="AF407" s="3" t="str">
        <f>IFERROR(MID(VLOOKUP($B407,Seqs!$A:$B,2,0),AG407,1),"")</f>
        <v>F</v>
      </c>
      <c r="AG407" s="3">
        <v>893</v>
      </c>
      <c r="AH407" s="3" t="str">
        <f>IFERROR(MID(VLOOKUP($B407,Seqs!$A:$B,2,0),AI407,1),"")</f>
        <v>P</v>
      </c>
      <c r="AI407" s="3">
        <v>895</v>
      </c>
      <c r="AJ407" s="3" t="str">
        <f>IFERROR(MID(VLOOKUP($B407,Seqs!$A:$B,2,0),AK407,1),"")</f>
        <v>K</v>
      </c>
      <c r="AK407" s="3">
        <v>896</v>
      </c>
      <c r="AL407" s="3" t="str">
        <f>IFERROR(MID(VLOOKUP($B407,Seqs!$A:$B,2,0),AM407,1),"")</f>
        <v>E</v>
      </c>
      <c r="AM407" s="3">
        <v>921</v>
      </c>
      <c r="AN407" s="3" t="str">
        <f>IFERROR(MID(VLOOKUP($B407,Seqs!$A:$B,2,0),AO407,1),"")</f>
        <v>L</v>
      </c>
      <c r="AO407" s="3">
        <v>929</v>
      </c>
      <c r="AP407" s="3" t="str">
        <f>IFERROR(MID(VLOOKUP($B407,Seqs!$A:$B,2,0),AQ407,1),"")</f>
        <v>S</v>
      </c>
      <c r="AQ407" s="3">
        <v>955</v>
      </c>
      <c r="AR407" s="3" t="str">
        <f>IFERROR(MID(VLOOKUP($B407,Seqs!$A:$B,2,0),AS407,1),"")</f>
        <v>E</v>
      </c>
      <c r="AS407" s="3">
        <v>957</v>
      </c>
      <c r="AT407" s="3" t="str">
        <f>IFERROR(MID(VLOOKUP($B407,Seqs!$A:$B,2,0),AU407,1),"")</f>
        <v>G</v>
      </c>
      <c r="AU407" s="3">
        <v>988</v>
      </c>
      <c r="AV407" s="3" t="str">
        <f>IFERROR(MID(VLOOKUP($B407,Seqs!$A:$B,2,0),AW407,1),"")</f>
        <v>G</v>
      </c>
      <c r="AW407" s="3">
        <v>989</v>
      </c>
      <c r="AX407" s="3" t="str">
        <f>IFERROR(MID(VLOOKUP($B407,Seqs!$A:$B,2,0),AY407,1),"")</f>
        <v>S</v>
      </c>
      <c r="AY407" s="3">
        <v>992</v>
      </c>
      <c r="AZ407" s="77" t="str">
        <f>VLOOKUP(B407,Classification!A:D,2,0)</f>
        <v>C</v>
      </c>
      <c r="BA407" s="94" t="str">
        <f>VLOOKUP(B407,Classification!A:D,4,0)</f>
        <v>Metabotropicglutamate</v>
      </c>
      <c r="BB407" s="27" t="b">
        <f>AND(E407&lt;G407,OR(G407&lt;I407,I407="-"),OR(I407&lt;K407,I407="-"),OR(K407&lt;M407,K407="-"),M407&lt;O407,OR(O407&lt;Q407,Q407="-"),OR(Q407&lt;S407,Q407="-"),OR(S407&lt;U407,S407="-"),U407&lt;W407,OR(W407&lt;Y407,Y407="-"),OR(Y407&lt;AA407,Y407="-"),OR(AA407&lt;AC407,AA407="-"),AC407&lt;AE407,OR(AE407&lt;AG407,AG407="-"),OR(AG407&lt;AI407,AG407="-"),OR(AI407&lt;AK407,AI407="-"),AK407&lt;AM407,AM407&lt;AO407,AO407&lt;AQ407,AQ407&lt;AS407,AS407&lt;AU407,OR(AU407&lt;AW407,AW407="-"),OR(AW407&lt;AY407,AW407="-"))</f>
        <v>1</v>
      </c>
      <c r="BC407" s="23">
        <f>_xlfn.AGGREGATE(9,6,CH407:CS407)-_xlfn.AGGREGATE(9,6,BV407:CG407)+12</f>
        <v>217</v>
      </c>
      <c r="BD407" s="4" t="s">
        <v>23</v>
      </c>
      <c r="BE407" s="3" t="s">
        <v>1374</v>
      </c>
      <c r="BF407" s="118">
        <v>2.2000000000000002</v>
      </c>
      <c r="BG407" s="49" t="s">
        <v>1</v>
      </c>
      <c r="BH407" s="49" t="s">
        <v>1</v>
      </c>
      <c r="BJ407" s="70" t="s">
        <v>1287</v>
      </c>
      <c r="BK407" s="57" t="s">
        <v>1287</v>
      </c>
      <c r="BL407" s="57" t="s">
        <v>1287</v>
      </c>
      <c r="BM407" s="57" t="s">
        <v>1287</v>
      </c>
      <c r="BN407" s="57" t="s">
        <v>1287</v>
      </c>
      <c r="BO407" s="57" t="s">
        <v>1287</v>
      </c>
      <c r="BP407" s="57" t="s">
        <v>1287</v>
      </c>
      <c r="BQ407" s="57" t="s">
        <v>1287</v>
      </c>
      <c r="BR407" s="57" t="s">
        <v>1287</v>
      </c>
      <c r="BS407" s="57" t="s">
        <v>1287</v>
      </c>
      <c r="BT407" s="57" t="s">
        <v>1287</v>
      </c>
      <c r="BU407" s="57" t="s">
        <v>1287</v>
      </c>
      <c r="BV407" s="70">
        <f>E407</f>
        <v>578</v>
      </c>
      <c r="BW407" s="71">
        <f>I407</f>
        <v>607</v>
      </c>
      <c r="BX407" s="72">
        <f>M407</f>
        <v>614</v>
      </c>
      <c r="BY407" s="71" t="str">
        <f>Q407</f>
        <v>-</v>
      </c>
      <c r="BZ407" s="72">
        <f>U407</f>
        <v>640</v>
      </c>
      <c r="CA407" s="71" t="str">
        <f>Y407</f>
        <v>-</v>
      </c>
      <c r="CB407" s="72">
        <f>AC407</f>
        <v>849</v>
      </c>
      <c r="CC407" s="71">
        <f>AG407</f>
        <v>893</v>
      </c>
      <c r="CD407" s="72">
        <f>AK407</f>
        <v>896</v>
      </c>
      <c r="CE407" s="71">
        <f>AO407</f>
        <v>929</v>
      </c>
      <c r="CF407" s="72">
        <f>AS407</f>
        <v>957</v>
      </c>
      <c r="CG407" s="71">
        <f>AW407</f>
        <v>989</v>
      </c>
      <c r="CH407" s="70">
        <f>G407</f>
        <v>604</v>
      </c>
      <c r="CI407" s="71">
        <f>K407</f>
        <v>613</v>
      </c>
      <c r="CJ407" s="72">
        <f>O407</f>
        <v>636</v>
      </c>
      <c r="CK407" s="72" t="str">
        <f>S407</f>
        <v>-</v>
      </c>
      <c r="CL407" s="72">
        <f>W407</f>
        <v>678</v>
      </c>
      <c r="CM407" s="72" t="str">
        <f>AA407</f>
        <v>-</v>
      </c>
      <c r="CN407" s="72">
        <f>AE407</f>
        <v>875</v>
      </c>
      <c r="CO407" s="72">
        <f>AI407</f>
        <v>895</v>
      </c>
      <c r="CP407" s="72">
        <f>AM407</f>
        <v>921</v>
      </c>
      <c r="CQ407" s="72">
        <f>AQ407</f>
        <v>955</v>
      </c>
      <c r="CR407" s="72">
        <f>AU407</f>
        <v>988</v>
      </c>
      <c r="CS407" s="72">
        <f>AY407</f>
        <v>992</v>
      </c>
      <c r="CT407" s="23">
        <f>M407-K407</f>
        <v>1</v>
      </c>
      <c r="AMP407" s="3"/>
    </row>
    <row r="408" spans="1:1030" s="12" customFormat="1" x14ac:dyDescent="0.2">
      <c r="A408" s="9" t="str">
        <f>CONCATENATE(B408,"_",C408)</f>
        <v>grm5_human_6N51</v>
      </c>
      <c r="B408" s="9" t="s">
        <v>41</v>
      </c>
      <c r="C408" s="9" t="s">
        <v>1552</v>
      </c>
      <c r="D408" s="9" t="str">
        <f>IFERROR(MID(VLOOKUP($B408,Seqs!$A:$B,2,0),E408,1),"")</f>
        <v>D</v>
      </c>
      <c r="E408" s="9">
        <v>577</v>
      </c>
      <c r="F408" s="9" t="str">
        <f>IFERROR(MID(VLOOKUP($B408,Seqs!$A:$B,2,0),G408,1),"")</f>
        <v>I</v>
      </c>
      <c r="G408" s="9">
        <v>602</v>
      </c>
      <c r="H408" s="9" t="str">
        <f>IFERROR(MID(VLOOKUP($B408,Seqs!$A:$B,2,0),I408,1),"")</f>
        <v>T</v>
      </c>
      <c r="I408" s="109">
        <v>607</v>
      </c>
      <c r="J408" s="9" t="str">
        <f>IFERROR(MID(VLOOKUP($B408,Seqs!$A:$B,2,0),K408,1),"")</f>
        <v>S</v>
      </c>
      <c r="K408" s="109">
        <v>613</v>
      </c>
      <c r="L408" s="9" t="str">
        <f>IFERROR(MID(VLOOKUP($B408,Seqs!$A:$B,2,0),M408,1),"")</f>
        <v>S</v>
      </c>
      <c r="M408" s="9">
        <v>614</v>
      </c>
      <c r="N408" s="9" t="str">
        <f>IFERROR(MID(VLOOKUP($B408,Seqs!$A:$B,2,0),O408,1),"")</f>
        <v>C</v>
      </c>
      <c r="O408" s="9">
        <v>634</v>
      </c>
      <c r="P408" s="9" t="str">
        <f>IFERROR(MID(VLOOKUP($B408,Seqs!$A:$B,2,0),Q408,1),"")</f>
        <v/>
      </c>
      <c r="Q408" s="9" t="s">
        <v>23</v>
      </c>
      <c r="R408" s="9" t="str">
        <f>IFERROR(MID(VLOOKUP($B408,Seqs!$A:$B,2,0),S408,1),"")</f>
        <v/>
      </c>
      <c r="S408" s="9" t="s">
        <v>23</v>
      </c>
      <c r="T408" s="9" t="str">
        <f>IFERROR(MID(VLOOKUP($B408,Seqs!$A:$B,2,0),U408,1),"")</f>
        <v>K</v>
      </c>
      <c r="U408" s="9">
        <v>640</v>
      </c>
      <c r="V408" s="9" t="str">
        <f>IFERROR(MID(VLOOKUP($B408,Seqs!$A:$B,2,0),W408,1),"")</f>
        <v>A</v>
      </c>
      <c r="W408" s="9">
        <v>674</v>
      </c>
      <c r="X408" s="9" t="str">
        <f>IFERROR(MID(VLOOKUP($B408,Seqs!$A:$B,2,0),Y408,1),"")</f>
        <v/>
      </c>
      <c r="Y408" s="9" t="s">
        <v>23</v>
      </c>
      <c r="Z408" s="9" t="str">
        <f>IFERROR(MID(VLOOKUP($B408,Seqs!$A:$B,2,0),AA408,1),"")</f>
        <v/>
      </c>
      <c r="AA408" s="9" t="s">
        <v>23</v>
      </c>
      <c r="AB408" s="9" t="str">
        <f>IFERROR(MID(VLOOKUP($B408,Seqs!$A:$B,2,0),AC408,1),"")</f>
        <v>S</v>
      </c>
      <c r="AC408" s="9">
        <v>689</v>
      </c>
      <c r="AD408" s="9" t="str">
        <f>IFERROR(MID(VLOOKUP($B408,Seqs!$A:$B,2,0),AE408,1),"")</f>
        <v>E</v>
      </c>
      <c r="AE408" s="9">
        <v>715</v>
      </c>
      <c r="AF408" s="9" t="str">
        <f>IFERROR(MID(VLOOKUP($B408,Seqs!$A:$B,2,0),AG408,1),"")</f>
        <v>C</v>
      </c>
      <c r="AG408" s="9">
        <v>733</v>
      </c>
      <c r="AH408" s="9" t="str">
        <f>IFERROR(MID(VLOOKUP($B408,Seqs!$A:$B,2,0),AI408,1),"")</f>
        <v>T</v>
      </c>
      <c r="AI408" s="9">
        <v>735</v>
      </c>
      <c r="AJ408" s="9" t="str">
        <f>IFERROR(MID(VLOOKUP($B408,Seqs!$A:$B,2,0),AK408,1),"")</f>
        <v>N</v>
      </c>
      <c r="AK408" s="9">
        <v>737</v>
      </c>
      <c r="AL408" s="9" t="str">
        <f>IFERROR(MID(VLOOKUP($B408,Seqs!$A:$B,2,0),AM408,1),"")</f>
        <v>A</v>
      </c>
      <c r="AM408" s="9">
        <v>758</v>
      </c>
      <c r="AN408" s="9" t="str">
        <f>IFERROR(MID(VLOOKUP($B408,Seqs!$A:$B,2,0),AO408,1),"")</f>
        <v>N</v>
      </c>
      <c r="AO408" s="9">
        <v>769</v>
      </c>
      <c r="AP408" s="9" t="str">
        <f>IFERROR(MID(VLOOKUP($B408,Seqs!$A:$B,2,0),AQ408,1),"")</f>
        <v>G</v>
      </c>
      <c r="AQ408" s="9">
        <v>794</v>
      </c>
      <c r="AR408" s="9" t="str">
        <f>IFERROR(MID(VLOOKUP($B408,Seqs!$A:$B,2,0),AS408,1),"")</f>
        <v>I</v>
      </c>
      <c r="AS408" s="9">
        <v>799</v>
      </c>
      <c r="AT408" s="9" t="str">
        <f>IFERROR(MID(VLOOKUP($B408,Seqs!$A:$B,2,0),AU408,1),"")</f>
        <v>L</v>
      </c>
      <c r="AU408" s="9">
        <v>826</v>
      </c>
      <c r="AV408" s="9" t="str">
        <f>IFERROR(MID(VLOOKUP($B408,Seqs!$A:$B,2,0),AW408,1),"")</f>
        <v/>
      </c>
      <c r="AW408" s="9" t="s">
        <v>23</v>
      </c>
      <c r="AX408" s="9" t="str">
        <f>IFERROR(MID(VLOOKUP($B408,Seqs!$A:$B,2,0),AY408,1),"")</f>
        <v/>
      </c>
      <c r="AY408" s="9" t="s">
        <v>23</v>
      </c>
      <c r="AZ408" s="110" t="str">
        <f>VLOOKUP(B408,Classification!A:D,2,0)</f>
        <v>C</v>
      </c>
      <c r="BA408" s="98" t="str">
        <f>VLOOKUP(B408,Classification!A:D,4,0)</f>
        <v>Metabotropicglutamate</v>
      </c>
      <c r="BB408" s="36" t="b">
        <f>AND(E408&lt;G408,OR(G408&lt;I408,I408="-"),OR(I408&lt;K408,I408="-"),OR(K408&lt;M408,K408="-"),M408&lt;O408,OR(O408&lt;Q408,Q408="-"),OR(Q408&lt;S408,Q408="-"),OR(S408&lt;U408,S408="-"),U408&lt;W408,OR(W408&lt;Y408,Y408="-"),OR(Y408&lt;AA408,Y408="-"),OR(AA408&lt;AC408,AA408="-"),AC408&lt;AE408,OR(AE408&lt;AG408,AG408="-"),OR(AG408&lt;AI408,AG408="-"),OR(AI408&lt;AK408,AI408="-"),AK408&lt;AM408,AM408&lt;AO408,AO408&lt;AQ408,AQ408&lt;AS408,AS408&lt;AU408,OR(AU408&lt;AW408,AW408="-"),OR(AW408&lt;AY408,AW408="-"))</f>
        <v>1</v>
      </c>
      <c r="BC408" s="109">
        <f>_xlfn.AGGREGATE(9,6,CH408:CS408)-_xlfn.AGGREGATE(9,6,BV408:CG408)+12</f>
        <v>198</v>
      </c>
      <c r="BD408" s="11" t="s">
        <v>23</v>
      </c>
      <c r="BE408" s="9" t="s">
        <v>1374</v>
      </c>
      <c r="BF408" s="119">
        <v>4</v>
      </c>
      <c r="BG408" s="51" t="s">
        <v>1281</v>
      </c>
      <c r="BH408" s="51" t="s">
        <v>1281</v>
      </c>
      <c r="BI408" s="9"/>
      <c r="BJ408" s="111" t="s">
        <v>1287</v>
      </c>
      <c r="BK408" s="112" t="s">
        <v>1287</v>
      </c>
      <c r="BL408" s="112" t="s">
        <v>1287</v>
      </c>
      <c r="BM408" s="112" t="s">
        <v>1287</v>
      </c>
      <c r="BN408" s="112" t="s">
        <v>1287</v>
      </c>
      <c r="BO408" s="112" t="s">
        <v>1287</v>
      </c>
      <c r="BP408" s="112" t="s">
        <v>1287</v>
      </c>
      <c r="BQ408" s="112" t="s">
        <v>1287</v>
      </c>
      <c r="BR408" s="112" t="s">
        <v>1287</v>
      </c>
      <c r="BS408" s="112" t="s">
        <v>1287</v>
      </c>
      <c r="BT408" s="112" t="s">
        <v>1287</v>
      </c>
      <c r="BU408" s="112" t="s">
        <v>1287</v>
      </c>
      <c r="BV408" s="111">
        <f>E408</f>
        <v>577</v>
      </c>
      <c r="BW408" s="113">
        <f>I408</f>
        <v>607</v>
      </c>
      <c r="BX408" s="114">
        <f>M408</f>
        <v>614</v>
      </c>
      <c r="BY408" s="113" t="str">
        <f>Q408</f>
        <v>-</v>
      </c>
      <c r="BZ408" s="114">
        <f>U408</f>
        <v>640</v>
      </c>
      <c r="CA408" s="113" t="str">
        <f>Y408</f>
        <v>-</v>
      </c>
      <c r="CB408" s="114">
        <f>AC408</f>
        <v>689</v>
      </c>
      <c r="CC408" s="113">
        <f>AG408</f>
        <v>733</v>
      </c>
      <c r="CD408" s="114">
        <f>AK408</f>
        <v>737</v>
      </c>
      <c r="CE408" s="113">
        <f>AO408</f>
        <v>769</v>
      </c>
      <c r="CF408" s="114">
        <f>AS408</f>
        <v>799</v>
      </c>
      <c r="CG408" s="113" t="str">
        <f>AW408</f>
        <v>-</v>
      </c>
      <c r="CH408" s="111">
        <f>G408</f>
        <v>602</v>
      </c>
      <c r="CI408" s="113">
        <f>K408</f>
        <v>613</v>
      </c>
      <c r="CJ408" s="114">
        <f>O408</f>
        <v>634</v>
      </c>
      <c r="CK408" s="114" t="str">
        <f>S408</f>
        <v>-</v>
      </c>
      <c r="CL408" s="114">
        <f>W408</f>
        <v>674</v>
      </c>
      <c r="CM408" s="114" t="str">
        <f>AA408</f>
        <v>-</v>
      </c>
      <c r="CN408" s="114">
        <f>AE408</f>
        <v>715</v>
      </c>
      <c r="CO408" s="114">
        <f>AI408</f>
        <v>735</v>
      </c>
      <c r="CP408" s="114">
        <f>AM408</f>
        <v>758</v>
      </c>
      <c r="CQ408" s="114">
        <f>AQ408</f>
        <v>794</v>
      </c>
      <c r="CR408" s="114">
        <f>AU408</f>
        <v>826</v>
      </c>
      <c r="CS408" s="114" t="str">
        <f>AY408</f>
        <v>-</v>
      </c>
      <c r="CT408" s="109">
        <f>M408-K408</f>
        <v>1</v>
      </c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  <c r="ZX408" s="9"/>
      <c r="ZY408" s="9"/>
      <c r="ZZ408" s="9"/>
      <c r="AAA408" s="9"/>
      <c r="AAB408" s="9"/>
      <c r="AAC408" s="9"/>
      <c r="AAD408" s="9"/>
      <c r="AAE408" s="9"/>
      <c r="AAF408" s="9"/>
      <c r="AAG408" s="9"/>
      <c r="AAH408" s="9"/>
      <c r="AAI408" s="9"/>
      <c r="AAJ408" s="9"/>
      <c r="AAK408" s="9"/>
      <c r="AAL408" s="9"/>
      <c r="AAM408" s="9"/>
      <c r="AAN408" s="9"/>
      <c r="AAO408" s="9"/>
      <c r="AAP408" s="9"/>
      <c r="AAQ408" s="9"/>
      <c r="AAR408" s="9"/>
      <c r="AAS408" s="9"/>
      <c r="AAT408" s="9"/>
      <c r="AAU408" s="9"/>
      <c r="AAV408" s="9"/>
      <c r="AAW408" s="9"/>
      <c r="AAX408" s="9"/>
      <c r="AAY408" s="9"/>
      <c r="AAZ408" s="9"/>
      <c r="ABA408" s="9"/>
      <c r="ABB408" s="9"/>
      <c r="ABC408" s="9"/>
      <c r="ABD408" s="9"/>
      <c r="ABE408" s="9"/>
      <c r="ABF408" s="9"/>
      <c r="ABG408" s="9"/>
      <c r="ABH408" s="9"/>
      <c r="ABI408" s="9"/>
      <c r="ABJ408" s="9"/>
      <c r="ABK408" s="9"/>
      <c r="ABL408" s="9"/>
      <c r="ABM408" s="9"/>
      <c r="ABN408" s="9"/>
      <c r="ABO408" s="9"/>
      <c r="ABP408" s="9"/>
      <c r="ABQ408" s="9"/>
      <c r="ABR408" s="9"/>
      <c r="ABS408" s="9"/>
      <c r="ABT408" s="9"/>
      <c r="ABU408" s="9"/>
      <c r="ABV408" s="9"/>
      <c r="ABW408" s="9"/>
      <c r="ABX408" s="9"/>
      <c r="ABY408" s="9"/>
      <c r="ABZ408" s="9"/>
      <c r="ACA408" s="9"/>
      <c r="ACB408" s="9"/>
      <c r="ACC408" s="9"/>
      <c r="ACD408" s="9"/>
      <c r="ACE408" s="9"/>
      <c r="ACF408" s="9"/>
      <c r="ACG408" s="9"/>
      <c r="ACH408" s="9"/>
      <c r="ACI408" s="9"/>
      <c r="ACJ408" s="9"/>
      <c r="ACK408" s="9"/>
      <c r="ACL408" s="9"/>
      <c r="ACM408" s="9"/>
      <c r="ACN408" s="9"/>
      <c r="ACO408" s="9"/>
      <c r="ACP408" s="9"/>
      <c r="ACQ408" s="9"/>
      <c r="ACR408" s="9"/>
      <c r="ACS408" s="9"/>
      <c r="ACT408" s="9"/>
      <c r="ACU408" s="9"/>
      <c r="ACV408" s="9"/>
      <c r="ACW408" s="9"/>
      <c r="ACX408" s="9"/>
      <c r="ACY408" s="9"/>
      <c r="ACZ408" s="9"/>
      <c r="ADA408" s="9"/>
      <c r="ADB408" s="9"/>
      <c r="ADC408" s="9"/>
      <c r="ADD408" s="9"/>
      <c r="ADE408" s="9"/>
      <c r="ADF408" s="9"/>
      <c r="ADG408" s="9"/>
      <c r="ADH408" s="9"/>
      <c r="ADI408" s="9"/>
      <c r="ADJ408" s="9"/>
      <c r="ADK408" s="9"/>
      <c r="ADL408" s="9"/>
      <c r="ADM408" s="9"/>
      <c r="ADN408" s="9"/>
      <c r="ADO408" s="9"/>
      <c r="ADP408" s="9"/>
      <c r="ADQ408" s="9"/>
      <c r="ADR408" s="9"/>
      <c r="ADS408" s="9"/>
      <c r="ADT408" s="9"/>
      <c r="ADU408" s="9"/>
      <c r="ADV408" s="9"/>
      <c r="ADW408" s="9"/>
      <c r="ADX408" s="9"/>
      <c r="ADY408" s="9"/>
      <c r="ADZ408" s="9"/>
      <c r="AEA408" s="9"/>
      <c r="AEB408" s="9"/>
      <c r="AEC408" s="9"/>
      <c r="AED408" s="9"/>
      <c r="AEE408" s="9"/>
      <c r="AEF408" s="9"/>
      <c r="AEG408" s="9"/>
      <c r="AEH408" s="9"/>
      <c r="AEI408" s="9"/>
      <c r="AEJ408" s="9"/>
      <c r="AEK408" s="9"/>
      <c r="AEL408" s="9"/>
      <c r="AEM408" s="9"/>
      <c r="AEN408" s="9"/>
      <c r="AEO408" s="9"/>
      <c r="AEP408" s="9"/>
      <c r="AEQ408" s="9"/>
      <c r="AER408" s="9"/>
      <c r="AES408" s="9"/>
      <c r="AET408" s="9"/>
      <c r="AEU408" s="9"/>
      <c r="AEV408" s="9"/>
      <c r="AEW408" s="9"/>
      <c r="AEX408" s="9"/>
      <c r="AEY408" s="9"/>
      <c r="AEZ408" s="9"/>
      <c r="AFA408" s="9"/>
      <c r="AFB408" s="9"/>
      <c r="AFC408" s="9"/>
      <c r="AFD408" s="9"/>
      <c r="AFE408" s="9"/>
      <c r="AFF408" s="9"/>
      <c r="AFG408" s="9"/>
      <c r="AFH408" s="9"/>
      <c r="AFI408" s="9"/>
      <c r="AFJ408" s="9"/>
      <c r="AFK408" s="9"/>
      <c r="AFL408" s="9"/>
      <c r="AFM408" s="9"/>
      <c r="AFN408" s="9"/>
      <c r="AFO408" s="9"/>
      <c r="AFP408" s="9"/>
      <c r="AFQ408" s="9"/>
      <c r="AFR408" s="9"/>
      <c r="AFS408" s="9"/>
      <c r="AFT408" s="9"/>
      <c r="AFU408" s="9"/>
      <c r="AFV408" s="9"/>
      <c r="AFW408" s="9"/>
      <c r="AFX408" s="9"/>
      <c r="AFY408" s="9"/>
      <c r="AFZ408" s="9"/>
      <c r="AGA408" s="9"/>
      <c r="AGB408" s="9"/>
      <c r="AGC408" s="9"/>
      <c r="AGD408" s="9"/>
      <c r="AGE408" s="9"/>
      <c r="AGF408" s="9"/>
      <c r="AGG408" s="9"/>
      <c r="AGH408" s="9"/>
      <c r="AGI408" s="9"/>
      <c r="AGJ408" s="9"/>
      <c r="AGK408" s="9"/>
      <c r="AGL408" s="9"/>
      <c r="AGM408" s="9"/>
      <c r="AGN408" s="9"/>
      <c r="AGO408" s="9"/>
      <c r="AGP408" s="9"/>
      <c r="AGQ408" s="9"/>
      <c r="AGR408" s="9"/>
      <c r="AGS408" s="9"/>
      <c r="AGT408" s="9"/>
      <c r="AGU408" s="9"/>
      <c r="AGV408" s="9"/>
      <c r="AGW408" s="9"/>
      <c r="AGX408" s="9"/>
      <c r="AGY408" s="9"/>
      <c r="AGZ408" s="9"/>
      <c r="AHA408" s="9"/>
      <c r="AHB408" s="9"/>
      <c r="AHC408" s="9"/>
      <c r="AHD408" s="9"/>
      <c r="AHE408" s="9"/>
      <c r="AHF408" s="9"/>
      <c r="AHG408" s="9"/>
      <c r="AHH408" s="9"/>
      <c r="AHI408" s="9"/>
      <c r="AHJ408" s="9"/>
      <c r="AHK408" s="9"/>
      <c r="AHL408" s="9"/>
      <c r="AHM408" s="9"/>
      <c r="AHN408" s="9"/>
      <c r="AHO408" s="9"/>
      <c r="AHP408" s="9"/>
      <c r="AHQ408" s="9"/>
      <c r="AHR408" s="9"/>
      <c r="AHS408" s="9"/>
      <c r="AHT408" s="9"/>
      <c r="AHU408" s="9"/>
      <c r="AHV408" s="9"/>
      <c r="AHW408" s="9"/>
      <c r="AHX408" s="9"/>
      <c r="AHY408" s="9"/>
      <c r="AHZ408" s="9"/>
      <c r="AIA408" s="9"/>
      <c r="AIB408" s="9"/>
      <c r="AIC408" s="9"/>
      <c r="AID408" s="9"/>
      <c r="AIE408" s="9"/>
      <c r="AIF408" s="9"/>
      <c r="AIG408" s="9"/>
      <c r="AIH408" s="9"/>
      <c r="AII408" s="9"/>
      <c r="AIJ408" s="9"/>
      <c r="AIK408" s="9"/>
      <c r="AIL408" s="9"/>
      <c r="AIM408" s="9"/>
      <c r="AIN408" s="9"/>
      <c r="AIO408" s="9"/>
      <c r="AIP408" s="9"/>
      <c r="AIQ408" s="9"/>
      <c r="AIR408" s="9"/>
      <c r="AIS408" s="9"/>
      <c r="AIT408" s="9"/>
      <c r="AIU408" s="9"/>
      <c r="AIV408" s="9"/>
      <c r="AIW408" s="9"/>
      <c r="AIX408" s="9"/>
      <c r="AIY408" s="9"/>
      <c r="AIZ408" s="9"/>
      <c r="AJA408" s="9"/>
      <c r="AJB408" s="9"/>
      <c r="AJC408" s="9"/>
      <c r="AJD408" s="9"/>
      <c r="AJE408" s="9"/>
      <c r="AJF408" s="9"/>
      <c r="AJG408" s="9"/>
      <c r="AJH408" s="9"/>
      <c r="AJI408" s="9"/>
      <c r="AJJ408" s="9"/>
      <c r="AJK408" s="9"/>
      <c r="AJL408" s="9"/>
      <c r="AJM408" s="9"/>
      <c r="AJN408" s="9"/>
      <c r="AJO408" s="9"/>
      <c r="AJP408" s="9"/>
      <c r="AJQ408" s="9"/>
      <c r="AJR408" s="9"/>
      <c r="AJS408" s="9"/>
      <c r="AJT408" s="9"/>
      <c r="AJU408" s="9"/>
      <c r="AJV408" s="9"/>
      <c r="AJW408" s="9"/>
      <c r="AJX408" s="9"/>
      <c r="AJY408" s="9"/>
      <c r="AJZ408" s="9"/>
      <c r="AKA408" s="9"/>
      <c r="AKB408" s="9"/>
      <c r="AKC408" s="9"/>
      <c r="AKD408" s="9"/>
      <c r="AKE408" s="9"/>
      <c r="AKF408" s="9"/>
      <c r="AKG408" s="9"/>
      <c r="AKH408" s="9"/>
      <c r="AKI408" s="9"/>
      <c r="AKJ408" s="9"/>
      <c r="AKK408" s="9"/>
      <c r="AKL408" s="9"/>
      <c r="AKM408" s="9"/>
      <c r="AKN408" s="9"/>
      <c r="AKO408" s="9"/>
      <c r="AKP408" s="9"/>
      <c r="AKQ408" s="9"/>
      <c r="AKR408" s="9"/>
      <c r="AKS408" s="9"/>
      <c r="AKT408" s="9"/>
      <c r="AKU408" s="9"/>
      <c r="AKV408" s="9"/>
      <c r="AKW408" s="9"/>
      <c r="AKX408" s="9"/>
      <c r="AKY408" s="9"/>
      <c r="AKZ408" s="9"/>
      <c r="ALA408" s="9"/>
      <c r="ALB408" s="9"/>
      <c r="ALC408" s="9"/>
      <c r="ALD408" s="9"/>
      <c r="ALE408" s="9"/>
      <c r="ALF408" s="9"/>
      <c r="ALG408" s="9"/>
      <c r="ALH408" s="9"/>
      <c r="ALI408" s="9"/>
      <c r="ALJ408" s="9"/>
      <c r="ALK408" s="9"/>
      <c r="ALL408" s="9"/>
      <c r="ALM408" s="9"/>
      <c r="ALN408" s="9"/>
      <c r="ALO408" s="9"/>
      <c r="ALP408" s="9"/>
      <c r="ALQ408" s="9"/>
      <c r="ALR408" s="9"/>
      <c r="ALS408" s="9"/>
      <c r="ALT408" s="9"/>
      <c r="ALU408" s="9"/>
      <c r="ALV408" s="9"/>
      <c r="ALW408" s="9"/>
      <c r="ALX408" s="9"/>
      <c r="ALY408" s="9"/>
      <c r="ALZ408" s="9"/>
      <c r="AMA408" s="9"/>
      <c r="AMB408" s="9"/>
      <c r="AMC408" s="9"/>
      <c r="AMD408" s="9"/>
      <c r="AME408" s="9"/>
      <c r="AMF408" s="9"/>
      <c r="AMG408" s="9"/>
      <c r="AMH408" s="9"/>
      <c r="AMI408" s="9"/>
      <c r="AMJ408" s="9"/>
      <c r="AMK408" s="9"/>
      <c r="AML408" s="9"/>
      <c r="AMM408" s="9"/>
      <c r="AMN408" s="9"/>
      <c r="AMO408" s="9"/>
      <c r="AMP408" s="9"/>
    </row>
    <row r="409" spans="1:1030" s="12" customFormat="1" x14ac:dyDescent="0.2">
      <c r="A409" s="9" t="str">
        <f>CONCATENATE(B409,"_",C409)</f>
        <v>grm5_human_6N52</v>
      </c>
      <c r="B409" s="9" t="s">
        <v>41</v>
      </c>
      <c r="C409" s="9" t="s">
        <v>1553</v>
      </c>
      <c r="D409" s="9" t="str">
        <f>IFERROR(MID(VLOOKUP($B409,Seqs!$A:$B,2,0),E409,1),"")</f>
        <v>P</v>
      </c>
      <c r="E409" s="9">
        <v>580</v>
      </c>
      <c r="F409" s="9" t="str">
        <f>IFERROR(MID(VLOOKUP($B409,Seqs!$A:$B,2,0),G409,1),"")</f>
        <v>T</v>
      </c>
      <c r="G409" s="9">
        <v>598</v>
      </c>
      <c r="H409" s="9" t="str">
        <f>IFERROR(MID(VLOOKUP($B409,Seqs!$A:$B,2,0),I409,1),"")</f>
        <v>T</v>
      </c>
      <c r="I409" s="109">
        <v>607</v>
      </c>
      <c r="J409" s="9" t="str">
        <f>IFERROR(MID(VLOOKUP($B409,Seqs!$A:$B,2,0),K409,1),"")</f>
        <v>S</v>
      </c>
      <c r="K409" s="109">
        <v>613</v>
      </c>
      <c r="L409" s="9" t="str">
        <f>IFERROR(MID(VLOOKUP($B409,Seqs!$A:$B,2,0),M409,1),"")</f>
        <v>S</v>
      </c>
      <c r="M409" s="9">
        <v>614</v>
      </c>
      <c r="N409" s="9" t="str">
        <f>IFERROR(MID(VLOOKUP($B409,Seqs!$A:$B,2,0),O409,1),"")</f>
        <v>I</v>
      </c>
      <c r="O409" s="9">
        <v>636</v>
      </c>
      <c r="P409" s="9" t="str">
        <f>IFERROR(MID(VLOOKUP($B409,Seqs!$A:$B,2,0),Q409,1),"")</f>
        <v/>
      </c>
      <c r="Q409" s="9" t="s">
        <v>23</v>
      </c>
      <c r="R409" s="9" t="str">
        <f>IFERROR(MID(VLOOKUP($B409,Seqs!$A:$B,2,0),S409,1),"")</f>
        <v/>
      </c>
      <c r="S409" s="9" t="s">
        <v>23</v>
      </c>
      <c r="T409" s="9" t="str">
        <f>IFERROR(MID(VLOOKUP($B409,Seqs!$A:$B,2,0),U409,1),"")</f>
        <v>K</v>
      </c>
      <c r="U409" s="9">
        <v>640</v>
      </c>
      <c r="V409" s="9" t="str">
        <f>IFERROR(MID(VLOOKUP($B409,Seqs!$A:$B,2,0),W409,1),"")</f>
        <v>I</v>
      </c>
      <c r="W409" s="9">
        <v>669</v>
      </c>
      <c r="X409" s="9" t="str">
        <f>IFERROR(MID(VLOOKUP($B409,Seqs!$A:$B,2,0),Y409,1),"")</f>
        <v/>
      </c>
      <c r="Y409" s="9" t="s">
        <v>23</v>
      </c>
      <c r="Z409" s="9" t="str">
        <f>IFERROR(MID(VLOOKUP($B409,Seqs!$A:$B,2,0),AA409,1),"")</f>
        <v/>
      </c>
      <c r="AA409" s="9" t="s">
        <v>23</v>
      </c>
      <c r="AB409" s="9" t="str">
        <f>IFERROR(MID(VLOOKUP($B409,Seqs!$A:$B,2,0),AC409,1),"")</f>
        <v>A</v>
      </c>
      <c r="AC409" s="9">
        <v>692</v>
      </c>
      <c r="AD409" s="9" t="str">
        <f>IFERROR(MID(VLOOKUP($B409,Seqs!$A:$B,2,0),AE409,1),"")</f>
        <v>E</v>
      </c>
      <c r="AE409" s="9">
        <v>715</v>
      </c>
      <c r="AF409" s="9" t="str">
        <f>IFERROR(MID(VLOOKUP($B409,Seqs!$A:$B,2,0),AG409,1),"")</f>
        <v>C</v>
      </c>
      <c r="AG409" s="9">
        <v>733</v>
      </c>
      <c r="AH409" s="9" t="str">
        <f>IFERROR(MID(VLOOKUP($B409,Seqs!$A:$B,2,0),AI409,1),"")</f>
        <v>T</v>
      </c>
      <c r="AI409" s="9">
        <v>735</v>
      </c>
      <c r="AJ409" s="9" t="str">
        <f>IFERROR(MID(VLOOKUP($B409,Seqs!$A:$B,2,0),AK409,1),"")</f>
        <v>T</v>
      </c>
      <c r="AK409" s="9">
        <v>736</v>
      </c>
      <c r="AL409" s="9" t="str">
        <f>IFERROR(MID(VLOOKUP($B409,Seqs!$A:$B,2,0),AM409,1),"")</f>
        <v>T</v>
      </c>
      <c r="AM409" s="9">
        <v>761</v>
      </c>
      <c r="AN409" s="9" t="str">
        <f>IFERROR(MID(VLOOKUP($B409,Seqs!$A:$B,2,0),AO409,1),"")</f>
        <v>E</v>
      </c>
      <c r="AO409" s="9">
        <v>770</v>
      </c>
      <c r="AP409" s="9" t="str">
        <f>IFERROR(MID(VLOOKUP($B409,Seqs!$A:$B,2,0),AQ409,1),"")</f>
        <v>F</v>
      </c>
      <c r="AQ409" s="9">
        <v>793</v>
      </c>
      <c r="AR409" s="9" t="str">
        <f>IFERROR(MID(VLOOKUP($B409,Seqs!$A:$B,2,0),AS409,1),"")</f>
        <v>I</v>
      </c>
      <c r="AS409" s="9">
        <v>799</v>
      </c>
      <c r="AT409" s="9" t="str">
        <f>IFERROR(MID(VLOOKUP($B409,Seqs!$A:$B,2,0),AU409,1),"")</f>
        <v>K</v>
      </c>
      <c r="AU409" s="9">
        <v>828</v>
      </c>
      <c r="AV409" s="9" t="str">
        <f>IFERROR(MID(VLOOKUP($B409,Seqs!$A:$B,2,0),AW409,1),"")</f>
        <v>P</v>
      </c>
      <c r="AW409" s="9">
        <v>829</v>
      </c>
      <c r="AX409" s="9" t="str">
        <f>IFERROR(MID(VLOOKUP($B409,Seqs!$A:$B,2,0),AY409,1),"")</f>
        <v>N</v>
      </c>
      <c r="AY409" s="9">
        <v>832</v>
      </c>
      <c r="AZ409" s="110" t="str">
        <f>VLOOKUP(B409,Classification!A:D,2,0)</f>
        <v>C</v>
      </c>
      <c r="BA409" s="98" t="str">
        <f>VLOOKUP(B409,Classification!A:D,4,0)</f>
        <v>Metabotropicglutamate</v>
      </c>
      <c r="BB409" s="36" t="b">
        <f>AND(E409&lt;G409,OR(G409&lt;I409,I409="-"),OR(I409&lt;K409,I409="-"),OR(K409&lt;M409,K409="-"),M409&lt;O409,OR(O409&lt;Q409,Q409="-"),OR(Q409&lt;S409,Q409="-"),OR(S409&lt;U409,S409="-"),U409&lt;W409,OR(W409&lt;Y409,Y409="-"),OR(Y409&lt;AA409,Y409="-"),OR(AA409&lt;AC409,AA409="-"),AC409&lt;AE409,OR(AE409&lt;AG409,AG409="-"),OR(AG409&lt;AI409,AG409="-"),OR(AI409&lt;AK409,AI409="-"),AK409&lt;AM409,AM409&lt;AO409,AO409&lt;AQ409,AQ409&lt;AS409,AS409&lt;AU409,OR(AU409&lt;AW409,AW409="-"),OR(AW409&lt;AY409,AW409="-"))</f>
        <v>1</v>
      </c>
      <c r="BC409" s="109">
        <f>_xlfn.AGGREGATE(9,6,CH409:CS409)-_xlfn.AGGREGATE(9,6,BV409:CG409)+12</f>
        <v>192</v>
      </c>
      <c r="BD409" s="11" t="s">
        <v>23</v>
      </c>
      <c r="BE409" s="9" t="s">
        <v>1374</v>
      </c>
      <c r="BF409" s="119">
        <v>4</v>
      </c>
      <c r="BG409" s="51" t="s">
        <v>1</v>
      </c>
      <c r="BH409" s="51" t="s">
        <v>1</v>
      </c>
      <c r="BI409" s="9"/>
      <c r="BJ409" s="111" t="s">
        <v>1287</v>
      </c>
      <c r="BK409" s="112" t="s">
        <v>1287</v>
      </c>
      <c r="BL409" s="112" t="s">
        <v>1287</v>
      </c>
      <c r="BM409" s="112" t="s">
        <v>1287</v>
      </c>
      <c r="BN409" s="112" t="s">
        <v>1287</v>
      </c>
      <c r="BO409" s="112" t="s">
        <v>1287</v>
      </c>
      <c r="BP409" s="112" t="s">
        <v>1287</v>
      </c>
      <c r="BQ409" s="112" t="s">
        <v>1287</v>
      </c>
      <c r="BR409" s="112" t="s">
        <v>1287</v>
      </c>
      <c r="BS409" s="112" t="s">
        <v>1287</v>
      </c>
      <c r="BT409" s="112" t="s">
        <v>1287</v>
      </c>
      <c r="BU409" s="112" t="s">
        <v>1287</v>
      </c>
      <c r="BV409" s="111">
        <f>E409</f>
        <v>580</v>
      </c>
      <c r="BW409" s="113">
        <f>I409</f>
        <v>607</v>
      </c>
      <c r="BX409" s="114">
        <f>M409</f>
        <v>614</v>
      </c>
      <c r="BY409" s="113" t="str">
        <f>Q409</f>
        <v>-</v>
      </c>
      <c r="BZ409" s="114">
        <f>U409</f>
        <v>640</v>
      </c>
      <c r="CA409" s="113" t="str">
        <f>Y409</f>
        <v>-</v>
      </c>
      <c r="CB409" s="114">
        <f>AC409</f>
        <v>692</v>
      </c>
      <c r="CC409" s="113">
        <f>AG409</f>
        <v>733</v>
      </c>
      <c r="CD409" s="114">
        <f>AK409</f>
        <v>736</v>
      </c>
      <c r="CE409" s="113">
        <f>AO409</f>
        <v>770</v>
      </c>
      <c r="CF409" s="114">
        <f>AS409</f>
        <v>799</v>
      </c>
      <c r="CG409" s="113">
        <f>AW409</f>
        <v>829</v>
      </c>
      <c r="CH409" s="111">
        <f>G409</f>
        <v>598</v>
      </c>
      <c r="CI409" s="113">
        <f>K409</f>
        <v>613</v>
      </c>
      <c r="CJ409" s="114">
        <f>O409</f>
        <v>636</v>
      </c>
      <c r="CK409" s="114" t="str">
        <f>S409</f>
        <v>-</v>
      </c>
      <c r="CL409" s="114">
        <f>W409</f>
        <v>669</v>
      </c>
      <c r="CM409" s="114" t="str">
        <f>AA409</f>
        <v>-</v>
      </c>
      <c r="CN409" s="114">
        <f>AE409</f>
        <v>715</v>
      </c>
      <c r="CO409" s="114">
        <f>AI409</f>
        <v>735</v>
      </c>
      <c r="CP409" s="114">
        <f>AM409</f>
        <v>761</v>
      </c>
      <c r="CQ409" s="114">
        <f>AQ409</f>
        <v>793</v>
      </c>
      <c r="CR409" s="114">
        <f>AU409</f>
        <v>828</v>
      </c>
      <c r="CS409" s="114">
        <f>AY409</f>
        <v>832</v>
      </c>
      <c r="CT409" s="109">
        <f>M409-K409</f>
        <v>1</v>
      </c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  <c r="AMO409" s="9"/>
      <c r="AMP409" s="9"/>
    </row>
    <row r="410" spans="1:1030" s="12" customFormat="1" x14ac:dyDescent="0.2">
      <c r="A410" s="9" t="str">
        <f>CONCATENATE(B410,"_",C410)</f>
        <v>fzd4_human__wt</v>
      </c>
      <c r="B410" s="9" t="s">
        <v>450</v>
      </c>
      <c r="C410" s="9" t="s">
        <v>100</v>
      </c>
      <c r="D410" s="9" t="str">
        <f>IFERROR(MID(VLOOKUP($B410,Seqs!$A:$B,2,0),E410,1),"")</f>
        <v>S</v>
      </c>
      <c r="E410" s="9">
        <v>212</v>
      </c>
      <c r="F410" s="9" t="str">
        <f>IFERROR(MID(VLOOKUP($B410,Seqs!$A:$B,2,0),G410,1),"")</f>
        <v>D</v>
      </c>
      <c r="G410" s="9">
        <v>244</v>
      </c>
      <c r="H410" s="9" t="str">
        <f>IFERROR(MID(VLOOKUP($B410,Seqs!$A:$B,2,0),I410,1),"")</f>
        <v>S</v>
      </c>
      <c r="I410" s="109">
        <v>245</v>
      </c>
      <c r="J410" s="9" t="str">
        <f>IFERROR(MID(VLOOKUP($B410,Seqs!$A:$B,2,0),K410,1),"")</f>
        <v>S</v>
      </c>
      <c r="K410" s="109">
        <v>249</v>
      </c>
      <c r="L410" s="9" t="str">
        <f>IFERROR(MID(VLOOKUP($B410,Seqs!$A:$B,2,0),M410,1),"")</f>
        <v>Y</v>
      </c>
      <c r="M410" s="9">
        <v>250</v>
      </c>
      <c r="N410" s="9" t="str">
        <f>IFERROR(MID(VLOOKUP($B410,Seqs!$A:$B,2,0),O410,1),"")</f>
        <v>G</v>
      </c>
      <c r="O410" s="9">
        <v>276</v>
      </c>
      <c r="P410" s="9" t="str">
        <f>IFERROR(MID(VLOOKUP($B410,Seqs!$A:$B,2,0),Q410,1),"")</f>
        <v/>
      </c>
      <c r="Q410" s="9" t="s">
        <v>23</v>
      </c>
      <c r="R410" s="9" t="str">
        <f>IFERROR(MID(VLOOKUP($B410,Seqs!$A:$B,2,0),S410,1),"")</f>
        <v/>
      </c>
      <c r="S410" s="9" t="s">
        <v>23</v>
      </c>
      <c r="T410" s="9" t="str">
        <f>IFERROR(MID(VLOOKUP($B410,Seqs!$A:$B,2,0),U410,1),"")</f>
        <v>N</v>
      </c>
      <c r="U410" s="9">
        <v>299</v>
      </c>
      <c r="V410" s="9" t="str">
        <f>IFERROR(MID(VLOOKUP($B410,Seqs!$A:$B,2,0),W410,1),"")</f>
        <v>G</v>
      </c>
      <c r="W410" s="9">
        <v>332</v>
      </c>
      <c r="X410" s="9" t="str">
        <f>IFERROR(MID(VLOOKUP($B410,Seqs!$A:$B,2,0),Y410,1),"")</f>
        <v/>
      </c>
      <c r="Y410" s="9" t="s">
        <v>23</v>
      </c>
      <c r="Z410" s="9" t="str">
        <f>IFERROR(MID(VLOOKUP($B410,Seqs!$A:$B,2,0),AA410,1),"")</f>
        <v/>
      </c>
      <c r="AA410" s="9" t="s">
        <v>23</v>
      </c>
      <c r="AB410" s="9" t="str">
        <f>IFERROR(MID(VLOOKUP($B410,Seqs!$A:$B,2,0),AC410,1),"")</f>
        <v>H</v>
      </c>
      <c r="AC410" s="9">
        <v>343</v>
      </c>
      <c r="AD410" s="9" t="str">
        <f>IFERROR(MID(VLOOKUP($B410,Seqs!$A:$B,2,0),AE410,1),"")</f>
        <v>R</v>
      </c>
      <c r="AE410" s="9">
        <v>366</v>
      </c>
      <c r="AF410" s="9" t="str">
        <f>IFERROR(MID(VLOOKUP($B410,Seqs!$A:$B,2,0),AG410,1),"")</f>
        <v>C</v>
      </c>
      <c r="AG410" s="9">
        <v>377</v>
      </c>
      <c r="AH410" s="9" t="str">
        <f>IFERROR(MID(VLOOKUP($B410,Seqs!$A:$B,2,0),AI410,1),"")</f>
        <v>V</v>
      </c>
      <c r="AI410" s="9">
        <v>379</v>
      </c>
      <c r="AJ410" s="9" t="str">
        <f>IFERROR(MID(VLOOKUP($B410,Seqs!$A:$B,2,0),AK410,1),"")</f>
        <v>N</v>
      </c>
      <c r="AK410" s="9">
        <v>383</v>
      </c>
      <c r="AL410" s="9" t="str">
        <f>IFERROR(MID(VLOOKUP($B410,Seqs!$A:$B,2,0),AM410,1),"")</f>
        <v>L</v>
      </c>
      <c r="AM410" s="9">
        <v>420</v>
      </c>
      <c r="AN410" s="9" t="str">
        <f>IFERROR(MID(VLOOKUP($B410,Seqs!$A:$B,2,0),AO410,1),"")</f>
        <v>E</v>
      </c>
      <c r="AO410" s="9">
        <v>431</v>
      </c>
      <c r="AP410" s="9" t="str">
        <f>IFERROR(MID(VLOOKUP($B410,Seqs!$A:$B,2,0),AQ410,1),"")</f>
        <v>N</v>
      </c>
      <c r="AQ410" s="9">
        <v>461</v>
      </c>
      <c r="AR410" s="9" t="str">
        <f>IFERROR(MID(VLOOKUP($B410,Seqs!$A:$B,2,0),AS410,1),"")</f>
        <v>N</v>
      </c>
      <c r="AS410" s="9">
        <v>473</v>
      </c>
      <c r="AT410" s="9" t="str">
        <f>IFERROR(MID(VLOOKUP($B410,Seqs!$A:$B,2,0),AU410,1),"")</f>
        <v>W</v>
      </c>
      <c r="AU410" s="9">
        <v>496</v>
      </c>
      <c r="AV410" s="9" t="str">
        <f>IFERROR(MID(VLOOKUP($B410,Seqs!$A:$B,2,0),AW410,1),"")</f>
        <v>S</v>
      </c>
      <c r="AW410" s="9">
        <v>497</v>
      </c>
      <c r="AX410" s="9" t="str">
        <f>IFERROR(MID(VLOOKUP($B410,Seqs!$A:$B,2,0),AY410,1),"")</f>
        <v>V</v>
      </c>
      <c r="AY410" s="9">
        <v>512</v>
      </c>
      <c r="AZ410" s="110" t="str">
        <f>VLOOKUP(B410,Classification!A:D,2,0)</f>
        <v>F</v>
      </c>
      <c r="BA410" s="98" t="str">
        <f>VLOOKUP(B410,Classification!A:D,4,0)</f>
        <v>Frizzled</v>
      </c>
      <c r="BB410" s="36" t="b">
        <f t="shared" ref="BB410:BB411" si="3158">AND(E410&lt;G410,OR(G410&lt;I410,I410="-"),OR(I410&lt;K410,I410="-"),OR(K410&lt;M410,K410="-"),M410&lt;O410,OR(O410&lt;Q410,Q410="-"),OR(Q410&lt;S410,Q410="-"),OR(S410&lt;U410,S410="-"),U410&lt;W410,OR(W410&lt;Y410,Y410="-"),OR(Y410&lt;AA410,Y410="-"),OR(AA410&lt;AC410,AA410="-"),AC410&lt;AE410,OR(AE410&lt;AG410,AG410="-"),OR(AG410&lt;AI410,AG410="-"),OR(AI410&lt;AK410,AI410="-"),AK410&lt;AM410,AM410&lt;AO410,AO410&lt;AQ410,AQ410&lt;AS410,AS410&lt;AU410,OR(AU410&lt;AW410,AW410="-"),OR(AW410&lt;AY410,AW410="-"))</f>
        <v>1</v>
      </c>
      <c r="BC410" s="109">
        <f t="shared" ref="BC410:BC411" si="3159">_xlfn.AGGREGATE(9,6,CH410:CS410)-_xlfn.AGGREGATE(9,6,BV410:CG410)+12</f>
        <v>237</v>
      </c>
      <c r="BD410" s="11" t="s">
        <v>23</v>
      </c>
      <c r="BE410" s="9" t="s">
        <v>23</v>
      </c>
      <c r="BF410" s="119" t="s">
        <v>23</v>
      </c>
      <c r="BG410" s="51" t="s">
        <v>23</v>
      </c>
      <c r="BH410" s="51" t="s">
        <v>23</v>
      </c>
      <c r="BI410" s="9"/>
      <c r="BJ410" s="111" t="s">
        <v>1287</v>
      </c>
      <c r="BK410" s="112" t="s">
        <v>1287</v>
      </c>
      <c r="BL410" s="112" t="s">
        <v>1287</v>
      </c>
      <c r="BM410" s="112" t="s">
        <v>1287</v>
      </c>
      <c r="BN410" s="112" t="s">
        <v>1287</v>
      </c>
      <c r="BO410" s="112" t="s">
        <v>1287</v>
      </c>
      <c r="BP410" s="112" t="s">
        <v>1287</v>
      </c>
      <c r="BQ410" s="112" t="s">
        <v>1287</v>
      </c>
      <c r="BR410" s="112" t="s">
        <v>1287</v>
      </c>
      <c r="BS410" s="112" t="s">
        <v>1287</v>
      </c>
      <c r="BT410" s="112" t="s">
        <v>1287</v>
      </c>
      <c r="BU410" s="112" t="s">
        <v>1287</v>
      </c>
      <c r="BV410" s="111">
        <f t="shared" ref="BV410:BV411" si="3160">E410</f>
        <v>212</v>
      </c>
      <c r="BW410" s="113">
        <f t="shared" ref="BW410:BW411" si="3161">I410</f>
        <v>245</v>
      </c>
      <c r="BX410" s="114">
        <f t="shared" ref="BX410:BX411" si="3162">M410</f>
        <v>250</v>
      </c>
      <c r="BY410" s="113" t="str">
        <f t="shared" ref="BY410:BY411" si="3163">Q410</f>
        <v>-</v>
      </c>
      <c r="BZ410" s="114">
        <f t="shared" ref="BZ410:BZ411" si="3164">U410</f>
        <v>299</v>
      </c>
      <c r="CA410" s="113" t="str">
        <f t="shared" ref="CA410:CA411" si="3165">Y410</f>
        <v>-</v>
      </c>
      <c r="CB410" s="114">
        <f t="shared" ref="CB410:CB411" si="3166">AC410</f>
        <v>343</v>
      </c>
      <c r="CC410" s="113">
        <f t="shared" ref="CC410:CC411" si="3167">AG410</f>
        <v>377</v>
      </c>
      <c r="CD410" s="114">
        <f t="shared" ref="CD410:CD411" si="3168">AK410</f>
        <v>383</v>
      </c>
      <c r="CE410" s="113">
        <f t="shared" ref="CE410:CE411" si="3169">AO410</f>
        <v>431</v>
      </c>
      <c r="CF410" s="114">
        <f t="shared" ref="CF410:CF411" si="3170">AS410</f>
        <v>473</v>
      </c>
      <c r="CG410" s="113">
        <f t="shared" ref="CG410:CG411" si="3171">AW410</f>
        <v>497</v>
      </c>
      <c r="CH410" s="111">
        <f t="shared" ref="CH410:CH411" si="3172">G410</f>
        <v>244</v>
      </c>
      <c r="CI410" s="113">
        <f t="shared" ref="CI410:CI411" si="3173">K410</f>
        <v>249</v>
      </c>
      <c r="CJ410" s="114">
        <f t="shared" ref="CJ410:CJ411" si="3174">O410</f>
        <v>276</v>
      </c>
      <c r="CK410" s="114" t="str">
        <f t="shared" ref="CK410:CK411" si="3175">S410</f>
        <v>-</v>
      </c>
      <c r="CL410" s="114">
        <f t="shared" ref="CL410:CL411" si="3176">W410</f>
        <v>332</v>
      </c>
      <c r="CM410" s="114" t="str">
        <f t="shared" ref="CM410:CM411" si="3177">AA410</f>
        <v>-</v>
      </c>
      <c r="CN410" s="114">
        <f t="shared" ref="CN410:CN411" si="3178">AE410</f>
        <v>366</v>
      </c>
      <c r="CO410" s="114">
        <f t="shared" ref="CO410:CO411" si="3179">AI410</f>
        <v>379</v>
      </c>
      <c r="CP410" s="114">
        <f t="shared" ref="CP410:CP411" si="3180">AM410</f>
        <v>420</v>
      </c>
      <c r="CQ410" s="114">
        <f t="shared" ref="CQ410:CQ411" si="3181">AQ410</f>
        <v>461</v>
      </c>
      <c r="CR410" s="114">
        <f t="shared" ref="CR410:CR411" si="3182">AU410</f>
        <v>496</v>
      </c>
      <c r="CS410" s="114">
        <f t="shared" ref="CS410:CS411" si="3183">AY410</f>
        <v>512</v>
      </c>
      <c r="CT410" s="109">
        <f t="shared" ref="CT410:CT411" si="3184">M410-K410</f>
        <v>1</v>
      </c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  <c r="AMO410" s="9"/>
      <c r="AMP410" s="9"/>
    </row>
    <row r="411" spans="1:1030" s="12" customFormat="1" x14ac:dyDescent="0.2">
      <c r="A411" s="9" t="str">
        <f t="shared" ref="A411" si="3185">CONCATENATE(B411,"_",C411)</f>
        <v>fzd4_human_6BD4</v>
      </c>
      <c r="B411" s="9" t="s">
        <v>450</v>
      </c>
      <c r="C411" s="9" t="s">
        <v>1554</v>
      </c>
      <c r="D411" s="9" t="str">
        <f>IFERROR(MID(VLOOKUP($B411,Seqs!$A:$B,2,0),E411,1),"")</f>
        <v>S</v>
      </c>
      <c r="E411" s="9">
        <v>212</v>
      </c>
      <c r="F411" s="9" t="str">
        <f>IFERROR(MID(VLOOKUP($B411,Seqs!$A:$B,2,0),G411,1),"")</f>
        <v>D</v>
      </c>
      <c r="G411" s="9">
        <v>244</v>
      </c>
      <c r="H411" s="9" t="str">
        <f>IFERROR(MID(VLOOKUP($B411,Seqs!$A:$B,2,0),I411,1),"")</f>
        <v>S</v>
      </c>
      <c r="I411" s="109">
        <v>245</v>
      </c>
      <c r="J411" s="9" t="str">
        <f>IFERROR(MID(VLOOKUP($B411,Seqs!$A:$B,2,0),K411,1),"")</f>
        <v>S</v>
      </c>
      <c r="K411" s="109">
        <v>249</v>
      </c>
      <c r="L411" s="9" t="str">
        <f>IFERROR(MID(VLOOKUP($B411,Seqs!$A:$B,2,0),M411,1),"")</f>
        <v>Y</v>
      </c>
      <c r="M411" s="9">
        <v>250</v>
      </c>
      <c r="N411" s="9" t="str">
        <f>IFERROR(MID(VLOOKUP($B411,Seqs!$A:$B,2,0),O411,1),"")</f>
        <v>G</v>
      </c>
      <c r="O411" s="9">
        <v>276</v>
      </c>
      <c r="P411" s="9" t="str">
        <f>IFERROR(MID(VLOOKUP($B411,Seqs!$A:$B,2,0),Q411,1),"")</f>
        <v/>
      </c>
      <c r="Q411" s="9" t="s">
        <v>23</v>
      </c>
      <c r="R411" s="9" t="str">
        <f>IFERROR(MID(VLOOKUP($B411,Seqs!$A:$B,2,0),S411,1),"")</f>
        <v/>
      </c>
      <c r="S411" s="9" t="s">
        <v>23</v>
      </c>
      <c r="T411" s="9" t="str">
        <f>IFERROR(MID(VLOOKUP($B411,Seqs!$A:$B,2,0),U411,1),"")</f>
        <v>N</v>
      </c>
      <c r="U411" s="9">
        <v>299</v>
      </c>
      <c r="V411" s="9" t="str">
        <f>IFERROR(MID(VLOOKUP($B411,Seqs!$A:$B,2,0),W411,1),"")</f>
        <v>G</v>
      </c>
      <c r="W411" s="9">
        <v>332</v>
      </c>
      <c r="X411" s="9" t="str">
        <f>IFERROR(MID(VLOOKUP($B411,Seqs!$A:$B,2,0),Y411,1),"")</f>
        <v/>
      </c>
      <c r="Y411" s="9" t="s">
        <v>23</v>
      </c>
      <c r="Z411" s="9" t="str">
        <f>IFERROR(MID(VLOOKUP($B411,Seqs!$A:$B,2,0),AA411,1),"")</f>
        <v/>
      </c>
      <c r="AA411" s="9" t="s">
        <v>23</v>
      </c>
      <c r="AB411" s="9" t="str">
        <f>IFERROR(MID(VLOOKUP($B411,Seqs!$A:$B,2,0),AC411,1),"")</f>
        <v>H</v>
      </c>
      <c r="AC411" s="9">
        <v>343</v>
      </c>
      <c r="AD411" s="9" t="str">
        <f>IFERROR(MID(VLOOKUP($B411,Seqs!$A:$B,2,0),AE411,1),"")</f>
        <v>R</v>
      </c>
      <c r="AE411" s="9">
        <v>366</v>
      </c>
      <c r="AF411" s="9" t="str">
        <f>IFERROR(MID(VLOOKUP($B411,Seqs!$A:$B,2,0),AG411,1),"")</f>
        <v>C</v>
      </c>
      <c r="AG411" s="9">
        <v>377</v>
      </c>
      <c r="AH411" s="9" t="str">
        <f>IFERROR(MID(VLOOKUP($B411,Seqs!$A:$B,2,0),AI411,1),"")</f>
        <v>V</v>
      </c>
      <c r="AI411" s="9">
        <v>379</v>
      </c>
      <c r="AJ411" s="9" t="str">
        <f>IFERROR(MID(VLOOKUP($B411,Seqs!$A:$B,2,0),AK411,1),"")</f>
        <v>N</v>
      </c>
      <c r="AK411" s="9">
        <v>383</v>
      </c>
      <c r="AL411" s="9" t="str">
        <f>IFERROR(MID(VLOOKUP($B411,Seqs!$A:$B,2,0),AM411,1),"")</f>
        <v>S</v>
      </c>
      <c r="AM411" s="9">
        <v>418</v>
      </c>
      <c r="AN411" s="9" t="str">
        <f>IFERROR(MID(VLOOKUP($B411,Seqs!$A:$B,2,0),AO411,1),"")</f>
        <v>E</v>
      </c>
      <c r="AO411" s="9">
        <v>431</v>
      </c>
      <c r="AP411" s="9" t="str">
        <f>IFERROR(MID(VLOOKUP($B411,Seqs!$A:$B,2,0),AQ411,1),"")</f>
        <v>N</v>
      </c>
      <c r="AQ411" s="9">
        <v>461</v>
      </c>
      <c r="AR411" s="9" t="str">
        <f>IFERROR(MID(VLOOKUP($B411,Seqs!$A:$B,2,0),AS411,1),"")</f>
        <v>N</v>
      </c>
      <c r="AS411" s="9">
        <v>473</v>
      </c>
      <c r="AT411" s="9" t="str">
        <f>IFERROR(MID(VLOOKUP($B411,Seqs!$A:$B,2,0),AU411,1),"")</f>
        <v>W</v>
      </c>
      <c r="AU411" s="9">
        <v>496</v>
      </c>
      <c r="AV411" s="9" t="str">
        <f>IFERROR(MID(VLOOKUP($B411,Seqs!$A:$B,2,0),AW411,1),"")</f>
        <v>S</v>
      </c>
      <c r="AW411" s="9">
        <v>497</v>
      </c>
      <c r="AX411" s="9" t="str">
        <f>IFERROR(MID(VLOOKUP($B411,Seqs!$A:$B,2,0),AY411,1),"")</f>
        <v>V</v>
      </c>
      <c r="AY411" s="9">
        <v>512</v>
      </c>
      <c r="AZ411" s="110" t="str">
        <f>VLOOKUP(B411,Classification!A:D,2,0)</f>
        <v>F</v>
      </c>
      <c r="BA411" s="98" t="str">
        <f>VLOOKUP(B411,Classification!A:D,4,0)</f>
        <v>Frizzled</v>
      </c>
      <c r="BB411" s="36" t="b">
        <f t="shared" si="3158"/>
        <v>1</v>
      </c>
      <c r="BC411" s="109">
        <f t="shared" si="3159"/>
        <v>235</v>
      </c>
      <c r="BD411" s="11" t="s">
        <v>1376</v>
      </c>
      <c r="BE411" s="9" t="s">
        <v>1374</v>
      </c>
      <c r="BF411" s="119">
        <v>2.4</v>
      </c>
      <c r="BG411" s="51" t="s">
        <v>1</v>
      </c>
      <c r="BH411" s="51" t="s">
        <v>1</v>
      </c>
      <c r="BI411" s="9"/>
      <c r="BJ411" s="111" t="s">
        <v>1287</v>
      </c>
      <c r="BK411" s="112" t="s">
        <v>1287</v>
      </c>
      <c r="BL411" s="112" t="s">
        <v>1287</v>
      </c>
      <c r="BM411" s="112" t="s">
        <v>1287</v>
      </c>
      <c r="BN411" s="112" t="s">
        <v>1287</v>
      </c>
      <c r="BO411" s="112" t="s">
        <v>1287</v>
      </c>
      <c r="BP411" s="112" t="s">
        <v>1287</v>
      </c>
      <c r="BQ411" s="112" t="s">
        <v>1287</v>
      </c>
      <c r="BR411" s="112" t="s">
        <v>1287</v>
      </c>
      <c r="BS411" s="112" t="s">
        <v>1287</v>
      </c>
      <c r="BT411" s="112" t="s">
        <v>1287</v>
      </c>
      <c r="BU411" s="112" t="s">
        <v>1287</v>
      </c>
      <c r="BV411" s="111">
        <f t="shared" si="3160"/>
        <v>212</v>
      </c>
      <c r="BW411" s="113">
        <f t="shared" si="3161"/>
        <v>245</v>
      </c>
      <c r="BX411" s="114">
        <f t="shared" si="3162"/>
        <v>250</v>
      </c>
      <c r="BY411" s="113" t="str">
        <f t="shared" si="3163"/>
        <v>-</v>
      </c>
      <c r="BZ411" s="114">
        <f t="shared" si="3164"/>
        <v>299</v>
      </c>
      <c r="CA411" s="113" t="str">
        <f t="shared" si="3165"/>
        <v>-</v>
      </c>
      <c r="CB411" s="114">
        <f t="shared" si="3166"/>
        <v>343</v>
      </c>
      <c r="CC411" s="113">
        <f t="shared" si="3167"/>
        <v>377</v>
      </c>
      <c r="CD411" s="114">
        <f t="shared" si="3168"/>
        <v>383</v>
      </c>
      <c r="CE411" s="113">
        <f t="shared" si="3169"/>
        <v>431</v>
      </c>
      <c r="CF411" s="114">
        <f t="shared" si="3170"/>
        <v>473</v>
      </c>
      <c r="CG411" s="113">
        <f t="shared" si="3171"/>
        <v>497</v>
      </c>
      <c r="CH411" s="111">
        <f t="shared" si="3172"/>
        <v>244</v>
      </c>
      <c r="CI411" s="113">
        <f t="shared" si="3173"/>
        <v>249</v>
      </c>
      <c r="CJ411" s="114">
        <f t="shared" si="3174"/>
        <v>276</v>
      </c>
      <c r="CK411" s="114" t="str">
        <f t="shared" si="3175"/>
        <v>-</v>
      </c>
      <c r="CL411" s="114">
        <f t="shared" si="3176"/>
        <v>332</v>
      </c>
      <c r="CM411" s="114" t="str">
        <f t="shared" si="3177"/>
        <v>-</v>
      </c>
      <c r="CN411" s="114">
        <f t="shared" si="3178"/>
        <v>366</v>
      </c>
      <c r="CO411" s="114">
        <f t="shared" si="3179"/>
        <v>379</v>
      </c>
      <c r="CP411" s="114">
        <f t="shared" si="3180"/>
        <v>418</v>
      </c>
      <c r="CQ411" s="114">
        <f t="shared" si="3181"/>
        <v>461</v>
      </c>
      <c r="CR411" s="114">
        <f t="shared" si="3182"/>
        <v>496</v>
      </c>
      <c r="CS411" s="114">
        <f t="shared" si="3183"/>
        <v>512</v>
      </c>
      <c r="CT411" s="109">
        <f t="shared" si="3184"/>
        <v>1</v>
      </c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  <c r="AMO411" s="9"/>
      <c r="AMP411" s="9"/>
    </row>
    <row r="412" spans="1:1030" x14ac:dyDescent="0.2">
      <c r="A412" s="3" t="str">
        <f t="shared" si="2904"/>
        <v>smo_human__wt</v>
      </c>
      <c r="B412" s="3" t="s">
        <v>33</v>
      </c>
      <c r="C412" s="3" t="s">
        <v>100</v>
      </c>
      <c r="D412" s="3" t="str">
        <f>IFERROR(MID(VLOOKUP($B412,Seqs!$A:$B,2,0),E412,1),"")</f>
        <v>T</v>
      </c>
      <c r="E412" s="105">
        <v>223</v>
      </c>
      <c r="F412" s="3" t="str">
        <f>IFERROR(MID(VLOOKUP($B412,Seqs!$A:$B,2,0),G412,1),"")</f>
        <v>D</v>
      </c>
      <c r="G412" s="3">
        <v>255</v>
      </c>
      <c r="H412" s="3" t="str">
        <f>IFERROR(MID(VLOOKUP($B412,Seqs!$A:$B,2,0),I412,1),"")</f>
        <v>W</v>
      </c>
      <c r="I412" s="23">
        <v>256</v>
      </c>
      <c r="J412" s="3" t="str">
        <f>IFERROR(MID(VLOOKUP($B412,Seqs!$A:$B,2,0),K412,1),"")</f>
        <v>N</v>
      </c>
      <c r="K412" s="23">
        <v>260</v>
      </c>
      <c r="L412" s="3" t="str">
        <f>IFERROR(MID(VLOOKUP($B412,Seqs!$A:$B,2,0),M412,1),"")</f>
        <v>R</v>
      </c>
      <c r="M412" s="3">
        <v>261</v>
      </c>
      <c r="N412" s="3" t="str">
        <f>IFERROR(MID(VLOOKUP($B412,Seqs!$A:$B,2,0),O412,1),"")</f>
        <v>F</v>
      </c>
      <c r="O412" s="3">
        <v>285</v>
      </c>
      <c r="P412" s="3" t="str">
        <f>IFERROR(MID(VLOOKUP($B412,Seqs!$A:$B,2,0),Q412,1),"")</f>
        <v/>
      </c>
      <c r="Q412" s="3" t="s">
        <v>23</v>
      </c>
      <c r="R412" s="3" t="str">
        <f>IFERROR(MID(VLOOKUP($B412,Seqs!$A:$B,2,0),S412,1),"")</f>
        <v/>
      </c>
      <c r="S412" s="3" t="s">
        <v>23</v>
      </c>
      <c r="T412" s="3" t="str">
        <f>IFERROR(MID(VLOOKUP($B412,Seqs!$A:$B,2,0),U412,1),"")</f>
        <v>L</v>
      </c>
      <c r="U412" s="3">
        <v>312</v>
      </c>
      <c r="V412" s="3" t="str">
        <f>IFERROR(MID(VLOOKUP($B412,Seqs!$A:$B,2,0),W412,1),"")</f>
        <v>A</v>
      </c>
      <c r="W412" s="105">
        <v>345</v>
      </c>
      <c r="X412" s="3" t="str">
        <f>IFERROR(MID(VLOOKUP($B412,Seqs!$A:$B,2,0),Y412,1),"")</f>
        <v/>
      </c>
      <c r="Y412" s="3" t="s">
        <v>23</v>
      </c>
      <c r="Z412" s="3" t="str">
        <f>IFERROR(MID(VLOOKUP($B412,Seqs!$A:$B,2,0),AA412,1),"")</f>
        <v/>
      </c>
      <c r="AA412" s="3" t="s">
        <v>23</v>
      </c>
      <c r="AB412" s="3" t="str">
        <f>IFERROR(MID(VLOOKUP($B412,Seqs!$A:$B,2,0),AC412,1),"")</f>
        <v>K</v>
      </c>
      <c r="AC412" s="9">
        <v>356</v>
      </c>
      <c r="AD412" s="3" t="str">
        <f>IFERROR(MID(VLOOKUP($B412,Seqs!$A:$B,2,0),AE412,1),"")</f>
        <v>A</v>
      </c>
      <c r="AE412" s="105">
        <v>379</v>
      </c>
      <c r="AF412" s="3" t="str">
        <f>IFERROR(MID(VLOOKUP($B412,Seqs!$A:$B,2,0),AG412,1),"")</f>
        <v>C</v>
      </c>
      <c r="AG412" s="3">
        <v>390</v>
      </c>
      <c r="AH412" s="3" t="str">
        <f>IFERROR(MID(VLOOKUP($B412,Seqs!$A:$B,2,0),AI412,1),"")</f>
        <v>V</v>
      </c>
      <c r="AI412" s="3">
        <v>392</v>
      </c>
      <c r="AJ412" s="3" t="str">
        <f>IFERROR(MID(VLOOKUP($B412,Seqs!$A:$B,2,0),AK412,1),"")</f>
        <v>N</v>
      </c>
      <c r="AK412" s="105">
        <v>396</v>
      </c>
      <c r="AL412" s="3" t="str">
        <f>IFERROR(MID(VLOOKUP($B412,Seqs!$A:$B,2,0),AM412,1),"")</f>
        <v>H</v>
      </c>
      <c r="AM412" s="3">
        <v>433</v>
      </c>
      <c r="AN412" s="3" t="str">
        <f>IFERROR(MID(VLOOKUP($B412,Seqs!$A:$B,2,0),AO412,1),"")</f>
        <v>S</v>
      </c>
      <c r="AO412" s="105">
        <v>438</v>
      </c>
      <c r="AP412" s="3" t="str">
        <f>IFERROR(MID(VLOOKUP($B412,Seqs!$A:$B,2,0),AQ412,1),"")</f>
        <v>I</v>
      </c>
      <c r="AQ412" s="3">
        <v>496</v>
      </c>
      <c r="AR412" s="3" t="str">
        <f>IFERROR(MID(VLOOKUP($B412,Seqs!$A:$B,2,0),AS412,1),"")</f>
        <v>S</v>
      </c>
      <c r="AS412" s="105">
        <v>514</v>
      </c>
      <c r="AT412" s="3" t="str">
        <f>IFERROR(MID(VLOOKUP($B412,Seqs!$A:$B,2,0),AU412,1),"")</f>
        <v>W</v>
      </c>
      <c r="AU412" s="3">
        <v>537</v>
      </c>
      <c r="AV412" s="3" t="str">
        <f>IFERROR(MID(VLOOKUP($B412,Seqs!$A:$B,2,0),AW412,1),"")</f>
        <v>T</v>
      </c>
      <c r="AW412" s="3">
        <v>538</v>
      </c>
      <c r="AX412" s="3" t="str">
        <f>IFERROR(MID(VLOOKUP($B412,Seqs!$A:$B,2,0),AY412,1),"")</f>
        <v>T</v>
      </c>
      <c r="AY412" s="3">
        <v>553</v>
      </c>
      <c r="AZ412" s="77" t="str">
        <f>VLOOKUP(B412,Classification!A:D,2,0)</f>
        <v>F</v>
      </c>
      <c r="BA412" s="94" t="str">
        <f>VLOOKUP(B412,Classification!A:D,4,0)</f>
        <v>Frizzled</v>
      </c>
      <c r="BB412" s="27" t="b">
        <f t="shared" si="2905"/>
        <v>1</v>
      </c>
      <c r="BC412" s="23">
        <f t="shared" si="2878"/>
        <v>263</v>
      </c>
      <c r="BD412" s="56" t="s">
        <v>23</v>
      </c>
      <c r="BE412" s="3" t="s">
        <v>23</v>
      </c>
      <c r="BF412" s="118" t="s">
        <v>23</v>
      </c>
      <c r="BG412" s="49" t="s">
        <v>1372</v>
      </c>
      <c r="BH412" s="49" t="s">
        <v>1377</v>
      </c>
      <c r="BJ412" s="70" t="s">
        <v>1287</v>
      </c>
      <c r="BK412" s="57" t="s">
        <v>1287</v>
      </c>
      <c r="BL412" s="57" t="s">
        <v>1287</v>
      </c>
      <c r="BM412" s="57" t="s">
        <v>1287</v>
      </c>
      <c r="BN412" s="57" t="s">
        <v>1287</v>
      </c>
      <c r="BO412" s="57" t="s">
        <v>1287</v>
      </c>
      <c r="BP412" s="57" t="s">
        <v>1287</v>
      </c>
      <c r="BQ412" s="57" t="s">
        <v>1287</v>
      </c>
      <c r="BR412" s="57" t="s">
        <v>1287</v>
      </c>
      <c r="BS412" s="57" t="s">
        <v>1287</v>
      </c>
      <c r="BT412" s="57" t="s">
        <v>1287</v>
      </c>
      <c r="BU412" s="57" t="s">
        <v>1287</v>
      </c>
      <c r="BV412" s="70">
        <f t="shared" si="2879"/>
        <v>223</v>
      </c>
      <c r="BW412" s="71">
        <f t="shared" si="2880"/>
        <v>256</v>
      </c>
      <c r="BX412" s="72">
        <f t="shared" si="2881"/>
        <v>261</v>
      </c>
      <c r="BY412" s="71" t="str">
        <f t="shared" si="2882"/>
        <v>-</v>
      </c>
      <c r="BZ412" s="72">
        <f t="shared" si="2883"/>
        <v>312</v>
      </c>
      <c r="CA412" s="71" t="str">
        <f t="shared" si="2884"/>
        <v>-</v>
      </c>
      <c r="CB412" s="72">
        <f t="shared" si="2885"/>
        <v>356</v>
      </c>
      <c r="CC412" s="71">
        <f t="shared" si="2886"/>
        <v>390</v>
      </c>
      <c r="CD412" s="72">
        <f t="shared" si="2887"/>
        <v>396</v>
      </c>
      <c r="CE412" s="71">
        <f t="shared" si="2888"/>
        <v>438</v>
      </c>
      <c r="CF412" s="72">
        <f t="shared" si="2889"/>
        <v>514</v>
      </c>
      <c r="CG412" s="71">
        <f t="shared" si="2890"/>
        <v>538</v>
      </c>
      <c r="CH412" s="70">
        <f t="shared" si="2891"/>
        <v>255</v>
      </c>
      <c r="CI412" s="71">
        <f t="shared" si="2892"/>
        <v>260</v>
      </c>
      <c r="CJ412" s="72">
        <f t="shared" si="2893"/>
        <v>285</v>
      </c>
      <c r="CK412" s="72" t="str">
        <f t="shared" si="2894"/>
        <v>-</v>
      </c>
      <c r="CL412" s="72">
        <f t="shared" si="2895"/>
        <v>345</v>
      </c>
      <c r="CM412" s="72" t="str">
        <f t="shared" si="2896"/>
        <v>-</v>
      </c>
      <c r="CN412" s="72">
        <f t="shared" si="2897"/>
        <v>379</v>
      </c>
      <c r="CO412" s="72">
        <f t="shared" si="2898"/>
        <v>392</v>
      </c>
      <c r="CP412" s="72">
        <f t="shared" si="2899"/>
        <v>433</v>
      </c>
      <c r="CQ412" s="72">
        <f t="shared" si="2900"/>
        <v>496</v>
      </c>
      <c r="CR412" s="72">
        <f t="shared" si="2901"/>
        <v>537</v>
      </c>
      <c r="CS412" s="72">
        <f t="shared" si="2902"/>
        <v>553</v>
      </c>
      <c r="CT412" s="23">
        <f t="shared" si="2903"/>
        <v>1</v>
      </c>
    </row>
    <row r="413" spans="1:1030" x14ac:dyDescent="0.2">
      <c r="A413" s="3" t="str">
        <f t="shared" si="2904"/>
        <v>smo_human_4JKV</v>
      </c>
      <c r="B413" s="3" t="s">
        <v>33</v>
      </c>
      <c r="C413" s="3" t="s">
        <v>86</v>
      </c>
      <c r="D413" s="3" t="str">
        <f>IFERROR(MID(VLOOKUP($B413,Seqs!$A:$B,2,0),E413,1),"")</f>
        <v>T</v>
      </c>
      <c r="E413" s="105">
        <v>223</v>
      </c>
      <c r="F413" s="3" t="str">
        <f>IFERROR(MID(VLOOKUP($B413,Seqs!$A:$B,2,0),G413,1),"")</f>
        <v>D</v>
      </c>
      <c r="G413" s="3">
        <v>255</v>
      </c>
      <c r="H413" s="3" t="str">
        <f>IFERROR(MID(VLOOKUP($B413,Seqs!$A:$B,2,0),I413,1),"")</f>
        <v>W</v>
      </c>
      <c r="I413" s="23">
        <v>256</v>
      </c>
      <c r="J413" s="3" t="str">
        <f>IFERROR(MID(VLOOKUP($B413,Seqs!$A:$B,2,0),K413,1),"")</f>
        <v>N</v>
      </c>
      <c r="K413" s="23">
        <v>260</v>
      </c>
      <c r="L413" s="3" t="str">
        <f>IFERROR(MID(VLOOKUP($B413,Seqs!$A:$B,2,0),M413,1),"")</f>
        <v>R</v>
      </c>
      <c r="M413" s="3">
        <v>261</v>
      </c>
      <c r="N413" s="3" t="str">
        <f>IFERROR(MID(VLOOKUP($B413,Seqs!$A:$B,2,0),O413,1),"")</f>
        <v>F</v>
      </c>
      <c r="O413" s="3">
        <v>285</v>
      </c>
      <c r="P413" s="3" t="str">
        <f>IFERROR(MID(VLOOKUP($B413,Seqs!$A:$B,2,0),Q413,1),"")</f>
        <v/>
      </c>
      <c r="Q413" s="3" t="s">
        <v>23</v>
      </c>
      <c r="R413" s="3" t="str">
        <f>IFERROR(MID(VLOOKUP($B413,Seqs!$A:$B,2,0),S413,1),"")</f>
        <v/>
      </c>
      <c r="S413" s="3" t="s">
        <v>23</v>
      </c>
      <c r="T413" s="3" t="str">
        <f>IFERROR(MID(VLOOKUP($B413,Seqs!$A:$B,2,0),U413,1),"")</f>
        <v>L</v>
      </c>
      <c r="U413" s="3">
        <v>312</v>
      </c>
      <c r="V413" s="3" t="str">
        <f>IFERROR(MID(VLOOKUP($B413,Seqs!$A:$B,2,0),W413,1),"")</f>
        <v>T</v>
      </c>
      <c r="W413" s="3">
        <v>348</v>
      </c>
      <c r="X413" s="3" t="str">
        <f>IFERROR(MID(VLOOKUP($B413,Seqs!$A:$B,2,0),Y413,1),"")</f>
        <v/>
      </c>
      <c r="Y413" s="3" t="s">
        <v>23</v>
      </c>
      <c r="Z413" s="3" t="str">
        <f>IFERROR(MID(VLOOKUP($B413,Seqs!$A:$B,2,0),AA413,1),"")</f>
        <v/>
      </c>
      <c r="AA413" s="3" t="s">
        <v>23</v>
      </c>
      <c r="AB413" s="3" t="str">
        <f>IFERROR(MID(VLOOKUP($B413,Seqs!$A:$B,2,0),AC413,1),"")</f>
        <v>F</v>
      </c>
      <c r="AC413" s="9">
        <v>360</v>
      </c>
      <c r="AD413" s="3" t="str">
        <f>IFERROR(MID(VLOOKUP($B413,Seqs!$A:$B,2,0),AE413,1),"")</f>
        <v>A</v>
      </c>
      <c r="AE413" s="3">
        <v>379</v>
      </c>
      <c r="AF413" s="3" t="str">
        <f>IFERROR(MID(VLOOKUP($B413,Seqs!$A:$B,2,0),AG413,1),"")</f>
        <v>C</v>
      </c>
      <c r="AG413" s="3">
        <v>390</v>
      </c>
      <c r="AH413" s="3" t="str">
        <f>IFERROR(MID(VLOOKUP($B413,Seqs!$A:$B,2,0),AI413,1),"")</f>
        <v>V</v>
      </c>
      <c r="AI413" s="3">
        <v>392</v>
      </c>
      <c r="AJ413" s="3" t="str">
        <f>IFERROR(MID(VLOOKUP($B413,Seqs!$A:$B,2,0),AK413,1),"")</f>
        <v>N</v>
      </c>
      <c r="AK413" s="105">
        <v>396</v>
      </c>
      <c r="AL413" s="3" t="str">
        <f>IFERROR(MID(VLOOKUP($B413,Seqs!$A:$B,2,0),AM413,1),"")</f>
        <v>H</v>
      </c>
      <c r="AM413" s="3">
        <v>433</v>
      </c>
      <c r="AN413" s="3" t="str">
        <f>IFERROR(MID(VLOOKUP($B413,Seqs!$A:$B,2,0),AO413,1),"")</f>
        <v>A</v>
      </c>
      <c r="AO413" s="3">
        <v>442</v>
      </c>
      <c r="AP413" s="3" t="str">
        <f>IFERROR(MID(VLOOKUP($B413,Seqs!$A:$B,2,0),AQ413,1),"")</f>
        <v>N</v>
      </c>
      <c r="AQ413" s="3">
        <v>493</v>
      </c>
      <c r="AR413" s="3" t="str">
        <f>IFERROR(MID(VLOOKUP($B413,Seqs!$A:$B,2,0),AS413,1),"")</f>
        <v>S</v>
      </c>
      <c r="AS413" s="105">
        <v>514</v>
      </c>
      <c r="AT413" s="3" t="str">
        <f>IFERROR(MID(VLOOKUP($B413,Seqs!$A:$B,2,0),AU413,1),"")</f>
        <v>W</v>
      </c>
      <c r="AU413" s="3">
        <v>537</v>
      </c>
      <c r="AV413" s="3" t="str">
        <f>IFERROR(MID(VLOOKUP($B413,Seqs!$A:$B,2,0),AW413,1),"")</f>
        <v>T</v>
      </c>
      <c r="AW413" s="3">
        <v>538</v>
      </c>
      <c r="AX413" s="3" t="str">
        <f>IFERROR(MID(VLOOKUP($B413,Seqs!$A:$B,2,0),AY413,1),"")</f>
        <v>C</v>
      </c>
      <c r="AY413" s="3">
        <v>550</v>
      </c>
      <c r="AZ413" s="77" t="str">
        <f>VLOOKUP(B413,Classification!A:D,2,0)</f>
        <v>F</v>
      </c>
      <c r="BA413" s="94" t="str">
        <f>VLOOKUP(B413,Classification!A:D,4,0)</f>
        <v>Frizzled</v>
      </c>
      <c r="BB413" s="27" t="b">
        <f t="shared" si="2905"/>
        <v>1</v>
      </c>
      <c r="BC413" s="23">
        <f t="shared" si="2878"/>
        <v>252</v>
      </c>
      <c r="BD413" s="4" t="s">
        <v>23</v>
      </c>
      <c r="BE413" s="3" t="s">
        <v>1374</v>
      </c>
      <c r="BF413" s="118">
        <v>2.4500000000000002</v>
      </c>
      <c r="BG413" s="49" t="s">
        <v>1377</v>
      </c>
      <c r="BH413" s="49" t="s">
        <v>1377</v>
      </c>
      <c r="BJ413" s="70" t="s">
        <v>1287</v>
      </c>
      <c r="BK413" s="57" t="s">
        <v>1287</v>
      </c>
      <c r="BL413" s="57" t="s">
        <v>1287</v>
      </c>
      <c r="BM413" s="57" t="s">
        <v>1287</v>
      </c>
      <c r="BN413" s="57" t="s">
        <v>1287</v>
      </c>
      <c r="BO413" s="57" t="s">
        <v>1287</v>
      </c>
      <c r="BP413" s="57" t="s">
        <v>1287</v>
      </c>
      <c r="BQ413" s="57" t="s">
        <v>1287</v>
      </c>
      <c r="BR413" s="57" t="s">
        <v>1287</v>
      </c>
      <c r="BS413" s="57" t="s">
        <v>1287</v>
      </c>
      <c r="BT413" s="57" t="s">
        <v>1287</v>
      </c>
      <c r="BU413" s="57" t="s">
        <v>1287</v>
      </c>
      <c r="BV413" s="70">
        <f t="shared" si="2879"/>
        <v>223</v>
      </c>
      <c r="BW413" s="71">
        <f t="shared" si="2880"/>
        <v>256</v>
      </c>
      <c r="BX413" s="72">
        <f t="shared" si="2881"/>
        <v>261</v>
      </c>
      <c r="BY413" s="71" t="str">
        <f t="shared" si="2882"/>
        <v>-</v>
      </c>
      <c r="BZ413" s="72">
        <f t="shared" si="2883"/>
        <v>312</v>
      </c>
      <c r="CA413" s="71" t="str">
        <f t="shared" si="2884"/>
        <v>-</v>
      </c>
      <c r="CB413" s="72">
        <f t="shared" si="2885"/>
        <v>360</v>
      </c>
      <c r="CC413" s="71">
        <f t="shared" si="2886"/>
        <v>390</v>
      </c>
      <c r="CD413" s="72">
        <f t="shared" si="2887"/>
        <v>396</v>
      </c>
      <c r="CE413" s="71">
        <f t="shared" si="2888"/>
        <v>442</v>
      </c>
      <c r="CF413" s="72">
        <f t="shared" si="2889"/>
        <v>514</v>
      </c>
      <c r="CG413" s="71">
        <f t="shared" si="2890"/>
        <v>538</v>
      </c>
      <c r="CH413" s="70">
        <f t="shared" si="2891"/>
        <v>255</v>
      </c>
      <c r="CI413" s="71">
        <f t="shared" si="2892"/>
        <v>260</v>
      </c>
      <c r="CJ413" s="72">
        <f t="shared" si="2893"/>
        <v>285</v>
      </c>
      <c r="CK413" s="72" t="str">
        <f t="shared" si="2894"/>
        <v>-</v>
      </c>
      <c r="CL413" s="72">
        <f t="shared" si="2895"/>
        <v>348</v>
      </c>
      <c r="CM413" s="72" t="str">
        <f t="shared" si="2896"/>
        <v>-</v>
      </c>
      <c r="CN413" s="72">
        <f t="shared" si="2897"/>
        <v>379</v>
      </c>
      <c r="CO413" s="72">
        <f t="shared" si="2898"/>
        <v>392</v>
      </c>
      <c r="CP413" s="72">
        <f t="shared" si="2899"/>
        <v>433</v>
      </c>
      <c r="CQ413" s="72">
        <f t="shared" si="2900"/>
        <v>493</v>
      </c>
      <c r="CR413" s="72">
        <f t="shared" si="2901"/>
        <v>537</v>
      </c>
      <c r="CS413" s="72">
        <f t="shared" si="2902"/>
        <v>550</v>
      </c>
      <c r="CT413" s="23">
        <f t="shared" si="2903"/>
        <v>1</v>
      </c>
    </row>
    <row r="414" spans="1:1030" x14ac:dyDescent="0.2">
      <c r="A414" s="3" t="str">
        <f t="shared" si="2904"/>
        <v>smo_human_4N4W</v>
      </c>
      <c r="B414" s="3" t="s">
        <v>33</v>
      </c>
      <c r="C414" s="3" t="s">
        <v>1047</v>
      </c>
      <c r="D414" s="3" t="str">
        <f>IFERROR(MID(VLOOKUP($B414,Seqs!$A:$B,2,0),E414,1),"")</f>
        <v>T</v>
      </c>
      <c r="E414" s="105">
        <v>223</v>
      </c>
      <c r="F414" s="3" t="str">
        <f>IFERROR(MID(VLOOKUP($B414,Seqs!$A:$B,2,0),G414,1),"")</f>
        <v>D</v>
      </c>
      <c r="G414" s="3">
        <v>255</v>
      </c>
      <c r="H414" s="3" t="str">
        <f>IFERROR(MID(VLOOKUP($B414,Seqs!$A:$B,2,0),I414,1),"")</f>
        <v>W</v>
      </c>
      <c r="I414" s="23">
        <v>256</v>
      </c>
      <c r="J414" s="3" t="str">
        <f>IFERROR(MID(VLOOKUP($B414,Seqs!$A:$B,2,0),K414,1),"")</f>
        <v>N</v>
      </c>
      <c r="K414" s="23">
        <v>260</v>
      </c>
      <c r="L414" s="3" t="str">
        <f>IFERROR(MID(VLOOKUP($B414,Seqs!$A:$B,2,0),M414,1),"")</f>
        <v>R</v>
      </c>
      <c r="M414" s="3">
        <v>261</v>
      </c>
      <c r="N414" s="3" t="str">
        <f>IFERROR(MID(VLOOKUP($B414,Seqs!$A:$B,2,0),O414,1),"")</f>
        <v>F</v>
      </c>
      <c r="O414" s="3">
        <v>285</v>
      </c>
      <c r="P414" s="3" t="str">
        <f>IFERROR(MID(VLOOKUP($B414,Seqs!$A:$B,2,0),Q414,1),"")</f>
        <v/>
      </c>
      <c r="Q414" s="3" t="s">
        <v>23</v>
      </c>
      <c r="R414" s="3" t="str">
        <f>IFERROR(MID(VLOOKUP($B414,Seqs!$A:$B,2,0),S414,1),"")</f>
        <v/>
      </c>
      <c r="S414" s="3" t="s">
        <v>23</v>
      </c>
      <c r="T414" s="3" t="str">
        <f>IFERROR(MID(VLOOKUP($B414,Seqs!$A:$B,2,0),U414,1),"")</f>
        <v>L</v>
      </c>
      <c r="U414" s="3">
        <v>312</v>
      </c>
      <c r="V414" s="3" t="str">
        <f>IFERROR(MID(VLOOKUP($B414,Seqs!$A:$B,2,0),W414,1),"")</f>
        <v>A</v>
      </c>
      <c r="W414" s="3">
        <v>345</v>
      </c>
      <c r="X414" s="3" t="str">
        <f>IFERROR(MID(VLOOKUP($B414,Seqs!$A:$B,2,0),Y414,1),"")</f>
        <v/>
      </c>
      <c r="Y414" s="3" t="s">
        <v>23</v>
      </c>
      <c r="Z414" s="3" t="str">
        <f>IFERROR(MID(VLOOKUP($B414,Seqs!$A:$B,2,0),AA414,1),"")</f>
        <v/>
      </c>
      <c r="AA414" s="3" t="s">
        <v>23</v>
      </c>
      <c r="AB414" s="3" t="str">
        <f>IFERROR(MID(VLOOKUP($B414,Seqs!$A:$B,2,0),AC414,1),"")</f>
        <v>K</v>
      </c>
      <c r="AC414" s="9">
        <v>356</v>
      </c>
      <c r="AD414" s="3" t="str">
        <f>IFERROR(MID(VLOOKUP($B414,Seqs!$A:$B,2,0),AE414,1),"")</f>
        <v>V</v>
      </c>
      <c r="AE414" s="3">
        <v>378</v>
      </c>
      <c r="AF414" s="3" t="str">
        <f>IFERROR(MID(VLOOKUP($B414,Seqs!$A:$B,2,0),AG414,1),"")</f>
        <v>C</v>
      </c>
      <c r="AG414" s="3">
        <v>390</v>
      </c>
      <c r="AH414" s="3" t="str">
        <f>IFERROR(MID(VLOOKUP($B414,Seqs!$A:$B,2,0),AI414,1),"")</f>
        <v>V</v>
      </c>
      <c r="AI414" s="3">
        <v>392</v>
      </c>
      <c r="AJ414" s="3" t="str">
        <f>IFERROR(MID(VLOOKUP($B414,Seqs!$A:$B,2,0),AK414,1),"")</f>
        <v>N</v>
      </c>
      <c r="AK414" s="105">
        <v>396</v>
      </c>
      <c r="AL414" s="3" t="str">
        <f>IFERROR(MID(VLOOKUP($B414,Seqs!$A:$B,2,0),AM414,1),"")</f>
        <v>H</v>
      </c>
      <c r="AM414" s="3">
        <v>433</v>
      </c>
      <c r="AN414" s="3" t="str">
        <f>IFERROR(MID(VLOOKUP($B414,Seqs!$A:$B,2,0),AO414,1),"")</f>
        <v>S</v>
      </c>
      <c r="AO414" s="3">
        <v>443</v>
      </c>
      <c r="AP414" s="3" t="str">
        <f>IFERROR(MID(VLOOKUP($B414,Seqs!$A:$B,2,0),AQ414,1),"")</f>
        <v>Q</v>
      </c>
      <c r="AQ414" s="3">
        <v>491</v>
      </c>
      <c r="AR414" s="3" t="str">
        <f>IFERROR(MID(VLOOKUP($B414,Seqs!$A:$B,2,0),AS414,1),"")</f>
        <v>S</v>
      </c>
      <c r="AS414" s="105">
        <v>514</v>
      </c>
      <c r="AT414" s="3" t="str">
        <f>IFERROR(MID(VLOOKUP($B414,Seqs!$A:$B,2,0),AU414,1),"")</f>
        <v>W</v>
      </c>
      <c r="AU414" s="3">
        <v>537</v>
      </c>
      <c r="AV414" s="3" t="str">
        <f>IFERROR(MID(VLOOKUP($B414,Seqs!$A:$B,2,0),AW414,1),"")</f>
        <v>T</v>
      </c>
      <c r="AW414" s="3">
        <v>538</v>
      </c>
      <c r="AX414" s="3" t="str">
        <f>IFERROR(MID(VLOOKUP($B414,Seqs!$A:$B,2,0),AY414,1),"")</f>
        <v>L</v>
      </c>
      <c r="AY414" s="3">
        <v>552</v>
      </c>
      <c r="AZ414" s="77" t="str">
        <f>VLOOKUP(B414,Classification!A:D,2,0)</f>
        <v>F</v>
      </c>
      <c r="BA414" s="94" t="str">
        <f>VLOOKUP(B414,Classification!A:D,4,0)</f>
        <v>Frizzled</v>
      </c>
      <c r="BB414" s="27" t="b">
        <f t="shared" si="2905"/>
        <v>1</v>
      </c>
      <c r="BC414" s="23">
        <f t="shared" si="2878"/>
        <v>251</v>
      </c>
      <c r="BD414" s="2" t="s">
        <v>23</v>
      </c>
      <c r="BE414" s="3" t="s">
        <v>1374</v>
      </c>
      <c r="BF414" s="118">
        <v>2.8</v>
      </c>
      <c r="BG414" s="49" t="s">
        <v>1377</v>
      </c>
      <c r="BH414" s="49" t="s">
        <v>1377</v>
      </c>
      <c r="BJ414" s="70" t="s">
        <v>1287</v>
      </c>
      <c r="BK414" s="57" t="s">
        <v>1287</v>
      </c>
      <c r="BL414" s="57" t="s">
        <v>1287</v>
      </c>
      <c r="BM414" s="57" t="s">
        <v>1287</v>
      </c>
      <c r="BN414" s="57" t="s">
        <v>1287</v>
      </c>
      <c r="BO414" s="57" t="s">
        <v>1287</v>
      </c>
      <c r="BP414" s="57" t="s">
        <v>1287</v>
      </c>
      <c r="BQ414" s="57" t="s">
        <v>1287</v>
      </c>
      <c r="BR414" s="57" t="s">
        <v>1287</v>
      </c>
      <c r="BS414" s="57" t="s">
        <v>1287</v>
      </c>
      <c r="BT414" s="57" t="s">
        <v>1287</v>
      </c>
      <c r="BU414" s="57" t="s">
        <v>1287</v>
      </c>
      <c r="BV414" s="70">
        <f t="shared" si="2879"/>
        <v>223</v>
      </c>
      <c r="BW414" s="71">
        <f t="shared" si="2880"/>
        <v>256</v>
      </c>
      <c r="BX414" s="72">
        <f t="shared" si="2881"/>
        <v>261</v>
      </c>
      <c r="BY414" s="71" t="str">
        <f t="shared" si="2882"/>
        <v>-</v>
      </c>
      <c r="BZ414" s="72">
        <f t="shared" si="2883"/>
        <v>312</v>
      </c>
      <c r="CA414" s="71" t="str">
        <f t="shared" si="2884"/>
        <v>-</v>
      </c>
      <c r="CB414" s="72">
        <f t="shared" si="2885"/>
        <v>356</v>
      </c>
      <c r="CC414" s="71">
        <f t="shared" si="2886"/>
        <v>390</v>
      </c>
      <c r="CD414" s="72">
        <f t="shared" si="2887"/>
        <v>396</v>
      </c>
      <c r="CE414" s="71">
        <f t="shared" si="2888"/>
        <v>443</v>
      </c>
      <c r="CF414" s="72">
        <f t="shared" si="2889"/>
        <v>514</v>
      </c>
      <c r="CG414" s="71">
        <f t="shared" si="2890"/>
        <v>538</v>
      </c>
      <c r="CH414" s="70">
        <f t="shared" si="2891"/>
        <v>255</v>
      </c>
      <c r="CI414" s="71">
        <f t="shared" si="2892"/>
        <v>260</v>
      </c>
      <c r="CJ414" s="72">
        <f t="shared" si="2893"/>
        <v>285</v>
      </c>
      <c r="CK414" s="72" t="str">
        <f t="shared" si="2894"/>
        <v>-</v>
      </c>
      <c r="CL414" s="72">
        <f t="shared" si="2895"/>
        <v>345</v>
      </c>
      <c r="CM414" s="72" t="str">
        <f t="shared" si="2896"/>
        <v>-</v>
      </c>
      <c r="CN414" s="72">
        <f t="shared" si="2897"/>
        <v>378</v>
      </c>
      <c r="CO414" s="72">
        <f t="shared" si="2898"/>
        <v>392</v>
      </c>
      <c r="CP414" s="72">
        <f t="shared" si="2899"/>
        <v>433</v>
      </c>
      <c r="CQ414" s="72">
        <f t="shared" si="2900"/>
        <v>491</v>
      </c>
      <c r="CR414" s="72">
        <f t="shared" si="2901"/>
        <v>537</v>
      </c>
      <c r="CS414" s="72">
        <f t="shared" si="2902"/>
        <v>552</v>
      </c>
      <c r="CT414" s="23">
        <f t="shared" si="2903"/>
        <v>1</v>
      </c>
    </row>
    <row r="415" spans="1:1030" x14ac:dyDescent="0.2">
      <c r="A415" s="3" t="str">
        <f t="shared" si="2904"/>
        <v>smo_human_4O9R</v>
      </c>
      <c r="B415" s="3" t="s">
        <v>33</v>
      </c>
      <c r="C415" s="3" t="s">
        <v>1049</v>
      </c>
      <c r="D415" s="3" t="str">
        <f>IFERROR(MID(VLOOKUP($B415,Seqs!$A:$B,2,0),E415,1),"")</f>
        <v>T</v>
      </c>
      <c r="E415" s="105">
        <v>223</v>
      </c>
      <c r="F415" s="3" t="str">
        <f>IFERROR(MID(VLOOKUP($B415,Seqs!$A:$B,2,0),G415,1),"")</f>
        <v>D</v>
      </c>
      <c r="G415" s="3">
        <v>255</v>
      </c>
      <c r="H415" s="3" t="str">
        <f>IFERROR(MID(VLOOKUP($B415,Seqs!$A:$B,2,0),I415,1),"")</f>
        <v>W</v>
      </c>
      <c r="I415" s="23">
        <v>256</v>
      </c>
      <c r="J415" s="3" t="str">
        <f>IFERROR(MID(VLOOKUP($B415,Seqs!$A:$B,2,0),K415,1),"")</f>
        <v>N</v>
      </c>
      <c r="K415" s="23">
        <v>260</v>
      </c>
      <c r="L415" s="3" t="str">
        <f>IFERROR(MID(VLOOKUP($B415,Seqs!$A:$B,2,0),M415,1),"")</f>
        <v>R</v>
      </c>
      <c r="M415" s="3">
        <v>261</v>
      </c>
      <c r="N415" s="3" t="str">
        <f>IFERROR(MID(VLOOKUP($B415,Seqs!$A:$B,2,0),O415,1),"")</f>
        <v>F</v>
      </c>
      <c r="O415" s="3">
        <v>285</v>
      </c>
      <c r="P415" s="3" t="str">
        <f>IFERROR(MID(VLOOKUP($B415,Seqs!$A:$B,2,0),Q415,1),"")</f>
        <v/>
      </c>
      <c r="Q415" s="3" t="s">
        <v>23</v>
      </c>
      <c r="R415" s="3" t="str">
        <f>IFERROR(MID(VLOOKUP($B415,Seqs!$A:$B,2,0),S415,1),"")</f>
        <v/>
      </c>
      <c r="S415" s="3" t="s">
        <v>23</v>
      </c>
      <c r="T415" s="3" t="str">
        <f>IFERROR(MID(VLOOKUP($B415,Seqs!$A:$B,2,0),U415,1),"")</f>
        <v>L</v>
      </c>
      <c r="U415" s="3">
        <v>312</v>
      </c>
      <c r="V415" s="3" t="str">
        <f>IFERROR(MID(VLOOKUP($B415,Seqs!$A:$B,2,0),W415,1),"")</f>
        <v>F</v>
      </c>
      <c r="W415" s="3">
        <v>343</v>
      </c>
      <c r="X415" s="3" t="str">
        <f>IFERROR(MID(VLOOKUP($B415,Seqs!$A:$B,2,0),Y415,1),"")</f>
        <v/>
      </c>
      <c r="Y415" s="3" t="s">
        <v>23</v>
      </c>
      <c r="Z415" s="3" t="str">
        <f>IFERROR(MID(VLOOKUP($B415,Seqs!$A:$B,2,0),AA415,1),"")</f>
        <v/>
      </c>
      <c r="AA415" s="3" t="s">
        <v>23</v>
      </c>
      <c r="AB415" s="3" t="str">
        <f>IFERROR(MID(VLOOKUP($B415,Seqs!$A:$B,2,0),AC415,1),"")</f>
        <v>F</v>
      </c>
      <c r="AC415" s="9">
        <v>360</v>
      </c>
      <c r="AD415" s="3" t="str">
        <f>IFERROR(MID(VLOOKUP($B415,Seqs!$A:$B,2,0),AE415,1),"")</f>
        <v>V</v>
      </c>
      <c r="AE415" s="3">
        <v>378</v>
      </c>
      <c r="AF415" s="3" t="str">
        <f>IFERROR(MID(VLOOKUP($B415,Seqs!$A:$B,2,0),AG415,1),"")</f>
        <v>C</v>
      </c>
      <c r="AG415" s="3">
        <v>390</v>
      </c>
      <c r="AH415" s="3" t="str">
        <f>IFERROR(MID(VLOOKUP($B415,Seqs!$A:$B,2,0),AI415,1),"")</f>
        <v>V</v>
      </c>
      <c r="AI415" s="3">
        <v>392</v>
      </c>
      <c r="AJ415" s="3" t="str">
        <f>IFERROR(MID(VLOOKUP($B415,Seqs!$A:$B,2,0),AK415,1),"")</f>
        <v>N</v>
      </c>
      <c r="AK415" s="105">
        <v>396</v>
      </c>
      <c r="AL415" s="3" t="str">
        <f>IFERROR(MID(VLOOKUP($B415,Seqs!$A:$B,2,0),AM415,1),"")</f>
        <v>H</v>
      </c>
      <c r="AM415" s="3">
        <v>433</v>
      </c>
      <c r="AN415" s="3" t="str">
        <f>IFERROR(MID(VLOOKUP($B415,Seqs!$A:$B,2,0),AO415,1),"")</f>
        <v>E</v>
      </c>
      <c r="AO415" s="3">
        <v>447</v>
      </c>
      <c r="AP415" s="3" t="str">
        <f>IFERROR(MID(VLOOKUP($B415,Seqs!$A:$B,2,0),AQ415,1),"")</f>
        <v>N</v>
      </c>
      <c r="AQ415" s="3">
        <v>493</v>
      </c>
      <c r="AR415" s="3" t="str">
        <f>IFERROR(MID(VLOOKUP($B415,Seqs!$A:$B,2,0),AS415,1),"")</f>
        <v>S</v>
      </c>
      <c r="AS415" s="105">
        <v>514</v>
      </c>
      <c r="AT415" s="3" t="str">
        <f>IFERROR(MID(VLOOKUP($B415,Seqs!$A:$B,2,0),AU415,1),"")</f>
        <v>W</v>
      </c>
      <c r="AU415" s="3">
        <v>537</v>
      </c>
      <c r="AV415" s="3" t="str">
        <f>IFERROR(MID(VLOOKUP($B415,Seqs!$A:$B,2,0),AW415,1),"")</f>
        <v>T</v>
      </c>
      <c r="AW415" s="3">
        <v>538</v>
      </c>
      <c r="AX415" s="3" t="str">
        <f>IFERROR(MID(VLOOKUP($B415,Seqs!$A:$B,2,0),AY415,1),"")</f>
        <v>W</v>
      </c>
      <c r="AY415" s="3">
        <v>549</v>
      </c>
      <c r="AZ415" s="78" t="str">
        <f>VLOOKUP(B415,Classification!A:D,2,0)</f>
        <v>F</v>
      </c>
      <c r="BA415" s="94" t="str">
        <f>VLOOKUP(B415,Classification!A:D,4,0)</f>
        <v>Frizzled</v>
      </c>
      <c r="BB415" s="92" t="b">
        <f t="shared" si="2905"/>
        <v>1</v>
      </c>
      <c r="BC415" s="23">
        <f t="shared" si="2878"/>
        <v>240</v>
      </c>
      <c r="BD415" s="74" t="s">
        <v>23</v>
      </c>
      <c r="BE415" s="3" t="s">
        <v>1374</v>
      </c>
      <c r="BF415" s="118">
        <v>3.2</v>
      </c>
      <c r="BG415" s="49" t="s">
        <v>1377</v>
      </c>
      <c r="BH415" s="49" t="s">
        <v>1377</v>
      </c>
      <c r="BJ415" s="75" t="s">
        <v>1287</v>
      </c>
      <c r="BK415" s="57" t="s">
        <v>1287</v>
      </c>
      <c r="BL415" s="57" t="s">
        <v>1287</v>
      </c>
      <c r="BM415" s="57" t="s">
        <v>1287</v>
      </c>
      <c r="BN415" s="57" t="s">
        <v>1287</v>
      </c>
      <c r="BO415" s="57" t="s">
        <v>1287</v>
      </c>
      <c r="BP415" s="57" t="s">
        <v>1287</v>
      </c>
      <c r="BQ415" s="57" t="s">
        <v>1287</v>
      </c>
      <c r="BR415" s="57" t="s">
        <v>1287</v>
      </c>
      <c r="BS415" s="57" t="s">
        <v>1287</v>
      </c>
      <c r="BT415" s="57" t="s">
        <v>1287</v>
      </c>
      <c r="BU415" s="57" t="s">
        <v>1287</v>
      </c>
      <c r="BV415" s="75">
        <f t="shared" si="2879"/>
        <v>223</v>
      </c>
      <c r="BW415" s="71">
        <f t="shared" si="2880"/>
        <v>256</v>
      </c>
      <c r="BX415" s="72">
        <f t="shared" si="2881"/>
        <v>261</v>
      </c>
      <c r="BY415" s="71" t="str">
        <f t="shared" si="2882"/>
        <v>-</v>
      </c>
      <c r="BZ415" s="72">
        <f t="shared" si="2883"/>
        <v>312</v>
      </c>
      <c r="CA415" s="71" t="str">
        <f t="shared" si="2884"/>
        <v>-</v>
      </c>
      <c r="CB415" s="72">
        <f t="shared" si="2885"/>
        <v>360</v>
      </c>
      <c r="CC415" s="71">
        <f t="shared" si="2886"/>
        <v>390</v>
      </c>
      <c r="CD415" s="72">
        <f t="shared" si="2887"/>
        <v>396</v>
      </c>
      <c r="CE415" s="71">
        <f t="shared" si="2888"/>
        <v>447</v>
      </c>
      <c r="CF415" s="72">
        <f t="shared" si="2889"/>
        <v>514</v>
      </c>
      <c r="CG415" s="71">
        <f t="shared" si="2890"/>
        <v>538</v>
      </c>
      <c r="CH415" s="75">
        <f t="shared" si="2891"/>
        <v>255</v>
      </c>
      <c r="CI415" s="71">
        <f t="shared" si="2892"/>
        <v>260</v>
      </c>
      <c r="CJ415" s="72">
        <f t="shared" si="2893"/>
        <v>285</v>
      </c>
      <c r="CK415" s="72" t="str">
        <f t="shared" si="2894"/>
        <v>-</v>
      </c>
      <c r="CL415" s="72">
        <f t="shared" si="2895"/>
        <v>343</v>
      </c>
      <c r="CM415" s="72" t="str">
        <f t="shared" si="2896"/>
        <v>-</v>
      </c>
      <c r="CN415" s="72">
        <f t="shared" si="2897"/>
        <v>378</v>
      </c>
      <c r="CO415" s="72">
        <f t="shared" si="2898"/>
        <v>392</v>
      </c>
      <c r="CP415" s="72">
        <f t="shared" si="2899"/>
        <v>433</v>
      </c>
      <c r="CQ415" s="72">
        <f t="shared" si="2900"/>
        <v>493</v>
      </c>
      <c r="CR415" s="72">
        <f t="shared" si="2901"/>
        <v>537</v>
      </c>
      <c r="CS415" s="72">
        <f t="shared" si="2902"/>
        <v>549</v>
      </c>
      <c r="CT415" s="23">
        <f t="shared" si="2903"/>
        <v>1</v>
      </c>
    </row>
    <row r="416" spans="1:1030" s="6" customFormat="1" x14ac:dyDescent="0.2">
      <c r="A416" s="3" t="str">
        <f t="shared" si="2904"/>
        <v>smo_human_4QIM</v>
      </c>
      <c r="B416" s="3" t="s">
        <v>33</v>
      </c>
      <c r="C416" s="3" t="s">
        <v>1051</v>
      </c>
      <c r="D416" s="3" t="str">
        <f>IFERROR(MID(VLOOKUP($B416,Seqs!$A:$B,2,0),E416,1),"")</f>
        <v>T</v>
      </c>
      <c r="E416" s="105">
        <v>223</v>
      </c>
      <c r="F416" s="3" t="str">
        <f>IFERROR(MID(VLOOKUP($B416,Seqs!$A:$B,2,0),G416,1),"")</f>
        <v>D</v>
      </c>
      <c r="G416" s="3">
        <v>255</v>
      </c>
      <c r="H416" s="3" t="str">
        <f>IFERROR(MID(VLOOKUP($B416,Seqs!$A:$B,2,0),I416,1),"")</f>
        <v>W</v>
      </c>
      <c r="I416" s="23">
        <v>256</v>
      </c>
      <c r="J416" s="3" t="str">
        <f>IFERROR(MID(VLOOKUP($B416,Seqs!$A:$B,2,0),K416,1),"")</f>
        <v>N</v>
      </c>
      <c r="K416" s="23">
        <v>260</v>
      </c>
      <c r="L416" s="3" t="str">
        <f>IFERROR(MID(VLOOKUP($B416,Seqs!$A:$B,2,0),M416,1),"")</f>
        <v>R</v>
      </c>
      <c r="M416" s="3">
        <v>261</v>
      </c>
      <c r="N416" s="3" t="str">
        <f>IFERROR(MID(VLOOKUP($B416,Seqs!$A:$B,2,0),O416,1),"")</f>
        <v>F</v>
      </c>
      <c r="O416" s="3">
        <v>285</v>
      </c>
      <c r="P416" s="3" t="str">
        <f>IFERROR(MID(VLOOKUP($B416,Seqs!$A:$B,2,0),Q416,1),"")</f>
        <v/>
      </c>
      <c r="Q416" s="3" t="s">
        <v>23</v>
      </c>
      <c r="R416" s="3" t="str">
        <f>IFERROR(MID(VLOOKUP($B416,Seqs!$A:$B,2,0),S416,1),"")</f>
        <v/>
      </c>
      <c r="S416" s="3" t="s">
        <v>23</v>
      </c>
      <c r="T416" s="3" t="str">
        <f>IFERROR(MID(VLOOKUP($B416,Seqs!$A:$B,2,0),U416,1),"")</f>
        <v>L</v>
      </c>
      <c r="U416" s="3">
        <v>312</v>
      </c>
      <c r="V416" s="3" t="str">
        <f>IFERROR(MID(VLOOKUP($B416,Seqs!$A:$B,2,0),W416,1),"")</f>
        <v>A</v>
      </c>
      <c r="W416" s="3">
        <v>345</v>
      </c>
      <c r="X416" s="3" t="str">
        <f>IFERROR(MID(VLOOKUP($B416,Seqs!$A:$B,2,0),Y416,1),"")</f>
        <v/>
      </c>
      <c r="Y416" s="3" t="s">
        <v>23</v>
      </c>
      <c r="Z416" s="3" t="str">
        <f>IFERROR(MID(VLOOKUP($B416,Seqs!$A:$B,2,0),AA416,1),"")</f>
        <v/>
      </c>
      <c r="AA416" s="3" t="s">
        <v>23</v>
      </c>
      <c r="AB416" s="3" t="str">
        <f>IFERROR(MID(VLOOKUP($B416,Seqs!$A:$B,2,0),AC416,1),"")</f>
        <v>K</v>
      </c>
      <c r="AC416" s="9">
        <v>356</v>
      </c>
      <c r="AD416" s="3" t="str">
        <f>IFERROR(MID(VLOOKUP($B416,Seqs!$A:$B,2,0),AE416,1),"")</f>
        <v>V</v>
      </c>
      <c r="AE416" s="3">
        <v>378</v>
      </c>
      <c r="AF416" s="3" t="str">
        <f>IFERROR(MID(VLOOKUP($B416,Seqs!$A:$B,2,0),AG416,1),"")</f>
        <v>C</v>
      </c>
      <c r="AG416" s="3">
        <v>390</v>
      </c>
      <c r="AH416" s="3" t="str">
        <f>IFERROR(MID(VLOOKUP($B416,Seqs!$A:$B,2,0),AI416,1),"")</f>
        <v>V</v>
      </c>
      <c r="AI416" s="3">
        <v>392</v>
      </c>
      <c r="AJ416" s="3" t="str">
        <f>IFERROR(MID(VLOOKUP($B416,Seqs!$A:$B,2,0),AK416,1),"")</f>
        <v>N</v>
      </c>
      <c r="AK416" s="105">
        <v>396</v>
      </c>
      <c r="AL416" s="3" t="str">
        <f>IFERROR(MID(VLOOKUP($B416,Seqs!$A:$B,2,0),AM416,1),"")</f>
        <v>H</v>
      </c>
      <c r="AM416" s="3">
        <v>433</v>
      </c>
      <c r="AN416" s="3" t="str">
        <f>IFERROR(MID(VLOOKUP($B416,Seqs!$A:$B,2,0),AO416,1),"")</f>
        <v>E</v>
      </c>
      <c r="AO416" s="3">
        <v>447</v>
      </c>
      <c r="AP416" s="3" t="str">
        <f>IFERROR(MID(VLOOKUP($B416,Seqs!$A:$B,2,0),AQ416,1),"")</f>
        <v>N</v>
      </c>
      <c r="AQ416" s="3">
        <v>493</v>
      </c>
      <c r="AR416" s="3" t="str">
        <f>IFERROR(MID(VLOOKUP($B416,Seqs!$A:$B,2,0),AS416,1),"")</f>
        <v>S</v>
      </c>
      <c r="AS416" s="105">
        <v>514</v>
      </c>
      <c r="AT416" s="3" t="str">
        <f>IFERROR(MID(VLOOKUP($B416,Seqs!$A:$B,2,0),AU416,1),"")</f>
        <v>W</v>
      </c>
      <c r="AU416" s="3">
        <v>537</v>
      </c>
      <c r="AV416" s="3" t="str">
        <f>IFERROR(MID(VLOOKUP($B416,Seqs!$A:$B,2,0),AW416,1),"")</f>
        <v>T</v>
      </c>
      <c r="AW416" s="3">
        <v>538</v>
      </c>
      <c r="AX416" s="3" t="str">
        <f>IFERROR(MID(VLOOKUP($B416,Seqs!$A:$B,2,0),AY416,1),"")</f>
        <v>T</v>
      </c>
      <c r="AY416" s="3">
        <v>553</v>
      </c>
      <c r="AZ416" s="78" t="str">
        <f>VLOOKUP(B416,Classification!A:D,2,0)</f>
        <v>F</v>
      </c>
      <c r="BA416" s="94" t="str">
        <f>VLOOKUP(B416,Classification!A:D,4,0)</f>
        <v>Frizzled</v>
      </c>
      <c r="BB416" s="92" t="b">
        <f t="shared" si="2905"/>
        <v>1</v>
      </c>
      <c r="BC416" s="23">
        <f t="shared" si="2878"/>
        <v>250</v>
      </c>
      <c r="BD416" s="74" t="s">
        <v>23</v>
      </c>
      <c r="BE416" s="3" t="s">
        <v>1374</v>
      </c>
      <c r="BF416" s="118">
        <v>2.61</v>
      </c>
      <c r="BG416" s="49" t="s">
        <v>1377</v>
      </c>
      <c r="BH416" s="49" t="s">
        <v>1377</v>
      </c>
      <c r="BI416" s="3"/>
      <c r="BJ416" s="75" t="s">
        <v>1287</v>
      </c>
      <c r="BK416" s="57" t="s">
        <v>1287</v>
      </c>
      <c r="BL416" s="57" t="s">
        <v>1287</v>
      </c>
      <c r="BM416" s="57" t="s">
        <v>1287</v>
      </c>
      <c r="BN416" s="57" t="s">
        <v>1287</v>
      </c>
      <c r="BO416" s="57" t="s">
        <v>1287</v>
      </c>
      <c r="BP416" s="57" t="s">
        <v>1287</v>
      </c>
      <c r="BQ416" s="57" t="s">
        <v>1287</v>
      </c>
      <c r="BR416" s="57" t="s">
        <v>1287</v>
      </c>
      <c r="BS416" s="57" t="s">
        <v>1287</v>
      </c>
      <c r="BT416" s="57" t="s">
        <v>1287</v>
      </c>
      <c r="BU416" s="57" t="s">
        <v>1287</v>
      </c>
      <c r="BV416" s="75">
        <f t="shared" si="2879"/>
        <v>223</v>
      </c>
      <c r="BW416" s="71">
        <f t="shared" si="2880"/>
        <v>256</v>
      </c>
      <c r="BX416" s="72">
        <f t="shared" si="2881"/>
        <v>261</v>
      </c>
      <c r="BY416" s="71" t="str">
        <f t="shared" si="2882"/>
        <v>-</v>
      </c>
      <c r="BZ416" s="72">
        <f t="shared" si="2883"/>
        <v>312</v>
      </c>
      <c r="CA416" s="71" t="str">
        <f t="shared" si="2884"/>
        <v>-</v>
      </c>
      <c r="CB416" s="72">
        <f t="shared" si="2885"/>
        <v>356</v>
      </c>
      <c r="CC416" s="71">
        <f t="shared" si="2886"/>
        <v>390</v>
      </c>
      <c r="CD416" s="72">
        <f t="shared" si="2887"/>
        <v>396</v>
      </c>
      <c r="CE416" s="71">
        <f t="shared" si="2888"/>
        <v>447</v>
      </c>
      <c r="CF416" s="72">
        <f t="shared" si="2889"/>
        <v>514</v>
      </c>
      <c r="CG416" s="71">
        <f t="shared" si="2890"/>
        <v>538</v>
      </c>
      <c r="CH416" s="75">
        <f t="shared" si="2891"/>
        <v>255</v>
      </c>
      <c r="CI416" s="71">
        <f t="shared" si="2892"/>
        <v>260</v>
      </c>
      <c r="CJ416" s="72">
        <f t="shared" si="2893"/>
        <v>285</v>
      </c>
      <c r="CK416" s="72" t="str">
        <f t="shared" si="2894"/>
        <v>-</v>
      </c>
      <c r="CL416" s="72">
        <f t="shared" si="2895"/>
        <v>345</v>
      </c>
      <c r="CM416" s="72" t="str">
        <f t="shared" si="2896"/>
        <v>-</v>
      </c>
      <c r="CN416" s="72">
        <f t="shared" si="2897"/>
        <v>378</v>
      </c>
      <c r="CO416" s="72">
        <f t="shared" si="2898"/>
        <v>392</v>
      </c>
      <c r="CP416" s="72">
        <f t="shared" si="2899"/>
        <v>433</v>
      </c>
      <c r="CQ416" s="72">
        <f t="shared" si="2900"/>
        <v>493</v>
      </c>
      <c r="CR416" s="72">
        <f t="shared" si="2901"/>
        <v>537</v>
      </c>
      <c r="CS416" s="72">
        <f t="shared" si="2902"/>
        <v>553</v>
      </c>
      <c r="CT416" s="23">
        <f t="shared" si="2903"/>
        <v>1</v>
      </c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/>
      <c r="PS416" s="3"/>
      <c r="PT416" s="3"/>
      <c r="PU416" s="3"/>
      <c r="PV416" s="3"/>
      <c r="PW416" s="3"/>
      <c r="PX416" s="3"/>
      <c r="PY416" s="3"/>
      <c r="PZ416" s="3"/>
      <c r="QA416" s="3"/>
      <c r="QB416" s="3"/>
      <c r="QC416" s="3"/>
      <c r="QD416" s="3"/>
      <c r="QE416" s="3"/>
      <c r="QF416" s="3"/>
      <c r="QG416" s="3"/>
      <c r="QH416" s="3"/>
      <c r="QI416" s="3"/>
      <c r="QJ416" s="3"/>
      <c r="QK416" s="3"/>
      <c r="QL416" s="3"/>
      <c r="QM416" s="3"/>
      <c r="QN416" s="3"/>
      <c r="QO416" s="3"/>
      <c r="QP416" s="3"/>
      <c r="QQ416" s="3"/>
      <c r="QR416" s="3"/>
      <c r="QS416" s="3"/>
      <c r="QT416" s="3"/>
      <c r="QU416" s="3"/>
      <c r="QV416" s="3"/>
      <c r="QW416" s="3"/>
      <c r="QX416" s="3"/>
      <c r="QY416" s="3"/>
      <c r="QZ416" s="3"/>
      <c r="RA416" s="3"/>
      <c r="RB416" s="3"/>
      <c r="RC416" s="3"/>
      <c r="RD416" s="3"/>
      <c r="RE416" s="3"/>
      <c r="RF416" s="3"/>
      <c r="RG416" s="3"/>
      <c r="RH416" s="3"/>
      <c r="RI416" s="3"/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/>
      <c r="RV416" s="3"/>
      <c r="RW416" s="3"/>
      <c r="RX416" s="3"/>
      <c r="RY416" s="3"/>
      <c r="RZ416" s="3"/>
      <c r="SA416" s="3"/>
      <c r="SB416" s="3"/>
      <c r="SC416" s="3"/>
      <c r="SD416" s="3"/>
      <c r="SE416" s="3"/>
      <c r="SF416" s="3"/>
      <c r="SG416" s="3"/>
      <c r="SH416" s="3"/>
      <c r="SI416" s="3"/>
      <c r="SJ416" s="3"/>
      <c r="SK416" s="3"/>
      <c r="SL416" s="3"/>
      <c r="SM416" s="3"/>
      <c r="SN416" s="3"/>
      <c r="SO416" s="3"/>
      <c r="SP416" s="3"/>
      <c r="SQ416" s="3"/>
      <c r="SR416" s="3"/>
      <c r="SS416" s="3"/>
      <c r="ST416" s="3"/>
      <c r="SU416" s="3"/>
      <c r="SV416" s="3"/>
      <c r="SW416" s="3"/>
      <c r="SX416" s="3"/>
      <c r="SY416" s="3"/>
      <c r="SZ416" s="3"/>
      <c r="TA416" s="3"/>
      <c r="TB416" s="3"/>
      <c r="TC416" s="3"/>
      <c r="TD416" s="3"/>
      <c r="TE416" s="3"/>
      <c r="TF416" s="3"/>
      <c r="TG416" s="3"/>
      <c r="TH416" s="3"/>
      <c r="TI416" s="3"/>
      <c r="TJ416" s="3"/>
      <c r="TK416" s="3"/>
      <c r="TL416" s="3"/>
      <c r="TM416" s="3"/>
      <c r="TN416" s="3"/>
      <c r="TO416" s="3"/>
      <c r="TP416" s="3"/>
      <c r="TQ416" s="3"/>
      <c r="TR416" s="3"/>
      <c r="TS416" s="3"/>
      <c r="TT416" s="3"/>
      <c r="TU416" s="3"/>
      <c r="TV416" s="3"/>
      <c r="TW416" s="3"/>
      <c r="TX416" s="3"/>
      <c r="TY416" s="3"/>
      <c r="TZ416" s="3"/>
      <c r="UA416" s="3"/>
      <c r="UB416" s="3"/>
      <c r="UC416" s="3"/>
      <c r="UD416" s="3"/>
      <c r="UE416" s="3"/>
      <c r="UF416" s="3"/>
      <c r="UG416" s="3"/>
      <c r="UH416" s="3"/>
      <c r="UI416" s="3"/>
      <c r="UJ416" s="3"/>
      <c r="UK416" s="3"/>
      <c r="UL416" s="3"/>
      <c r="UM416" s="3"/>
      <c r="UN416" s="3"/>
      <c r="UO416" s="3"/>
      <c r="UP416" s="3"/>
      <c r="UQ416" s="3"/>
      <c r="UR416" s="3"/>
      <c r="US416" s="3"/>
      <c r="UT416" s="3"/>
      <c r="UU416" s="3"/>
      <c r="UV416" s="3"/>
      <c r="UW416" s="3"/>
      <c r="UX416" s="3"/>
      <c r="UY416" s="3"/>
      <c r="UZ416" s="3"/>
      <c r="VA416" s="3"/>
      <c r="VB416" s="3"/>
      <c r="VC416" s="3"/>
      <c r="VD416" s="3"/>
      <c r="VE416" s="3"/>
      <c r="VF416" s="3"/>
      <c r="VG416" s="3"/>
      <c r="VH416" s="3"/>
      <c r="VI416" s="3"/>
      <c r="VJ416" s="3"/>
      <c r="VK416" s="3"/>
      <c r="VL416" s="3"/>
      <c r="VM416" s="3"/>
      <c r="VN416" s="3"/>
      <c r="VO416" s="3"/>
      <c r="VP416" s="3"/>
      <c r="VQ416" s="3"/>
      <c r="VR416" s="3"/>
      <c r="VS416" s="3"/>
      <c r="VT416" s="3"/>
      <c r="VU416" s="3"/>
      <c r="VV416" s="3"/>
      <c r="VW416" s="3"/>
      <c r="VX416" s="3"/>
      <c r="VY416" s="3"/>
      <c r="VZ416" s="3"/>
      <c r="WA416" s="3"/>
      <c r="WB416" s="3"/>
      <c r="WC416" s="3"/>
      <c r="WD416" s="3"/>
      <c r="WE416" s="3"/>
      <c r="WF416" s="3"/>
      <c r="WG416" s="3"/>
      <c r="WH416" s="3"/>
      <c r="WI416" s="3"/>
      <c r="WJ416" s="3"/>
      <c r="WK416" s="3"/>
      <c r="WL416" s="3"/>
      <c r="WM416" s="3"/>
      <c r="WN416" s="3"/>
      <c r="WO416" s="3"/>
      <c r="WP416" s="3"/>
      <c r="WQ416" s="3"/>
      <c r="WR416" s="3"/>
      <c r="WS416" s="3"/>
      <c r="WT416" s="3"/>
      <c r="WU416" s="3"/>
      <c r="WV416" s="3"/>
      <c r="WW416" s="3"/>
      <c r="WX416" s="3"/>
      <c r="WY416" s="3"/>
      <c r="WZ416" s="3"/>
      <c r="XA416" s="3"/>
      <c r="XB416" s="3"/>
      <c r="XC416" s="3"/>
      <c r="XD416" s="3"/>
      <c r="XE416" s="3"/>
      <c r="XF416" s="3"/>
      <c r="XG416" s="3"/>
      <c r="XH416" s="3"/>
      <c r="XI416" s="3"/>
      <c r="XJ416" s="3"/>
      <c r="XK416" s="3"/>
      <c r="XL416" s="3"/>
      <c r="XM416" s="3"/>
      <c r="XN416" s="3"/>
      <c r="XO416" s="3"/>
      <c r="XP416" s="3"/>
      <c r="XQ416" s="3"/>
      <c r="XR416" s="3"/>
      <c r="XS416" s="3"/>
      <c r="XT416" s="3"/>
      <c r="XU416" s="3"/>
      <c r="XV416" s="3"/>
      <c r="XW416" s="3"/>
      <c r="XX416" s="3"/>
      <c r="XY416" s="3"/>
      <c r="XZ416" s="3"/>
      <c r="YA416" s="3"/>
      <c r="YB416" s="3"/>
      <c r="YC416" s="3"/>
      <c r="YD416" s="3"/>
      <c r="YE416" s="3"/>
      <c r="YF416" s="3"/>
      <c r="YG416" s="3"/>
      <c r="YH416" s="3"/>
      <c r="YI416" s="3"/>
      <c r="YJ416" s="3"/>
      <c r="YK416" s="3"/>
      <c r="YL416" s="3"/>
      <c r="YM416" s="3"/>
      <c r="YN416" s="3"/>
      <c r="YO416" s="3"/>
      <c r="YP416" s="3"/>
      <c r="YQ416" s="3"/>
      <c r="YR416" s="3"/>
      <c r="YS416" s="3"/>
      <c r="YT416" s="3"/>
      <c r="YU416" s="3"/>
      <c r="YV416" s="3"/>
      <c r="YW416" s="3"/>
      <c r="YX416" s="3"/>
      <c r="YY416" s="3"/>
      <c r="YZ416" s="3"/>
      <c r="ZA416" s="3"/>
      <c r="ZB416" s="3"/>
      <c r="ZC416" s="3"/>
      <c r="ZD416" s="3"/>
      <c r="ZE416" s="3"/>
      <c r="ZF416" s="3"/>
      <c r="ZG416" s="3"/>
      <c r="ZH416" s="3"/>
      <c r="ZI416" s="3"/>
      <c r="ZJ416" s="3"/>
      <c r="ZK416" s="3"/>
      <c r="ZL416" s="3"/>
      <c r="ZM416" s="3"/>
      <c r="ZN416" s="3"/>
      <c r="ZO416" s="3"/>
      <c r="ZP416" s="3"/>
      <c r="ZQ416" s="3"/>
      <c r="ZR416" s="3"/>
      <c r="ZS416" s="3"/>
      <c r="ZT416" s="3"/>
      <c r="ZU416" s="3"/>
      <c r="ZV416" s="3"/>
      <c r="ZW416" s="3"/>
      <c r="ZX416" s="3"/>
      <c r="ZY416" s="3"/>
      <c r="ZZ416" s="3"/>
      <c r="AAA416" s="3"/>
      <c r="AAB416" s="3"/>
      <c r="AAC416" s="3"/>
      <c r="AAD416" s="3"/>
      <c r="AAE416" s="3"/>
      <c r="AAF416" s="3"/>
      <c r="AAG416" s="3"/>
      <c r="AAH416" s="3"/>
      <c r="AAI416" s="3"/>
      <c r="AAJ416" s="3"/>
      <c r="AAK416" s="3"/>
      <c r="AAL416" s="3"/>
      <c r="AAM416" s="3"/>
      <c r="AAN416" s="3"/>
      <c r="AAO416" s="3"/>
      <c r="AAP416" s="3"/>
      <c r="AAQ416" s="3"/>
      <c r="AAR416" s="3"/>
      <c r="AAS416" s="3"/>
      <c r="AAT416" s="3"/>
      <c r="AAU416" s="3"/>
      <c r="AAV416" s="3"/>
      <c r="AAW416" s="3"/>
      <c r="AAX416" s="3"/>
      <c r="AAY416" s="3"/>
      <c r="AAZ416" s="3"/>
      <c r="ABA416" s="3"/>
      <c r="ABB416" s="3"/>
      <c r="ABC416" s="3"/>
      <c r="ABD416" s="3"/>
      <c r="ABE416" s="3"/>
      <c r="ABF416" s="3"/>
      <c r="ABG416" s="3"/>
      <c r="ABH416" s="3"/>
      <c r="ABI416" s="3"/>
      <c r="ABJ416" s="3"/>
      <c r="ABK416" s="3"/>
      <c r="ABL416" s="3"/>
      <c r="ABM416" s="3"/>
      <c r="ABN416" s="3"/>
      <c r="ABO416" s="3"/>
      <c r="ABP416" s="3"/>
      <c r="ABQ416" s="3"/>
      <c r="ABR416" s="3"/>
      <c r="ABS416" s="3"/>
      <c r="ABT416" s="3"/>
      <c r="ABU416" s="3"/>
      <c r="ABV416" s="3"/>
      <c r="ABW416" s="3"/>
      <c r="ABX416" s="3"/>
      <c r="ABY416" s="3"/>
      <c r="ABZ416" s="3"/>
      <c r="ACA416" s="3"/>
      <c r="ACB416" s="3"/>
      <c r="ACC416" s="3"/>
      <c r="ACD416" s="3"/>
      <c r="ACE416" s="3"/>
      <c r="ACF416" s="3"/>
      <c r="ACG416" s="3"/>
      <c r="ACH416" s="3"/>
      <c r="ACI416" s="3"/>
      <c r="ACJ416" s="3"/>
      <c r="ACK416" s="3"/>
      <c r="ACL416" s="3"/>
      <c r="ACM416" s="3"/>
      <c r="ACN416" s="3"/>
      <c r="ACO416" s="3"/>
      <c r="ACP416" s="3"/>
      <c r="ACQ416" s="3"/>
      <c r="ACR416" s="3"/>
      <c r="ACS416" s="3"/>
      <c r="ACT416" s="3"/>
      <c r="ACU416" s="3"/>
      <c r="ACV416" s="3"/>
      <c r="ACW416" s="3"/>
      <c r="ACX416" s="3"/>
      <c r="ACY416" s="3"/>
      <c r="ACZ416" s="3"/>
      <c r="ADA416" s="3"/>
      <c r="ADB416" s="3"/>
      <c r="ADC416" s="3"/>
      <c r="ADD416" s="3"/>
      <c r="ADE416" s="3"/>
      <c r="ADF416" s="3"/>
      <c r="ADG416" s="3"/>
      <c r="ADH416" s="3"/>
      <c r="ADI416" s="3"/>
      <c r="ADJ416" s="3"/>
      <c r="ADK416" s="3"/>
      <c r="ADL416" s="3"/>
      <c r="ADM416" s="3"/>
      <c r="ADN416" s="3"/>
      <c r="ADO416" s="3"/>
      <c r="ADP416" s="3"/>
      <c r="ADQ416" s="3"/>
      <c r="ADR416" s="3"/>
      <c r="ADS416" s="3"/>
      <c r="ADT416" s="3"/>
      <c r="ADU416" s="3"/>
      <c r="ADV416" s="3"/>
      <c r="ADW416" s="3"/>
      <c r="ADX416" s="3"/>
      <c r="ADY416" s="3"/>
      <c r="ADZ416" s="3"/>
      <c r="AEA416" s="3"/>
      <c r="AEB416" s="3"/>
      <c r="AEC416" s="3"/>
      <c r="AED416" s="3"/>
      <c r="AEE416" s="3"/>
      <c r="AEF416" s="3"/>
      <c r="AEG416" s="3"/>
      <c r="AEH416" s="3"/>
      <c r="AEI416" s="3"/>
      <c r="AEJ416" s="3"/>
      <c r="AEK416" s="3"/>
      <c r="AEL416" s="3"/>
      <c r="AEM416" s="3"/>
      <c r="AEN416" s="3"/>
      <c r="AEO416" s="3"/>
      <c r="AEP416" s="3"/>
      <c r="AEQ416" s="3"/>
      <c r="AER416" s="3"/>
      <c r="AES416" s="3"/>
      <c r="AET416" s="3"/>
      <c r="AEU416" s="3"/>
      <c r="AEV416" s="3"/>
      <c r="AEW416" s="3"/>
      <c r="AEX416" s="3"/>
      <c r="AEY416" s="3"/>
      <c r="AEZ416" s="3"/>
      <c r="AFA416" s="3"/>
      <c r="AFB416" s="3"/>
      <c r="AFC416" s="3"/>
      <c r="AFD416" s="3"/>
      <c r="AFE416" s="3"/>
      <c r="AFF416" s="3"/>
      <c r="AFG416" s="3"/>
      <c r="AFH416" s="3"/>
      <c r="AFI416" s="3"/>
      <c r="AFJ416" s="3"/>
      <c r="AFK416" s="3"/>
      <c r="AFL416" s="3"/>
      <c r="AFM416" s="3"/>
      <c r="AFN416" s="3"/>
      <c r="AFO416" s="3"/>
      <c r="AFP416" s="3"/>
      <c r="AFQ416" s="3"/>
      <c r="AFR416" s="3"/>
      <c r="AFS416" s="3"/>
      <c r="AFT416" s="3"/>
      <c r="AFU416" s="3"/>
      <c r="AFV416" s="3"/>
      <c r="AFW416" s="3"/>
      <c r="AFX416" s="3"/>
      <c r="AFY416" s="3"/>
      <c r="AFZ416" s="3"/>
      <c r="AGA416" s="3"/>
      <c r="AGB416" s="3"/>
      <c r="AGC416" s="3"/>
      <c r="AGD416" s="3"/>
      <c r="AGE416" s="3"/>
      <c r="AGF416" s="3"/>
      <c r="AGG416" s="3"/>
      <c r="AGH416" s="3"/>
      <c r="AGI416" s="3"/>
      <c r="AGJ416" s="3"/>
      <c r="AGK416" s="3"/>
      <c r="AGL416" s="3"/>
      <c r="AGM416" s="3"/>
      <c r="AGN416" s="3"/>
      <c r="AGO416" s="3"/>
      <c r="AGP416" s="3"/>
      <c r="AGQ416" s="3"/>
      <c r="AGR416" s="3"/>
      <c r="AGS416" s="3"/>
      <c r="AGT416" s="3"/>
      <c r="AGU416" s="3"/>
      <c r="AGV416" s="3"/>
      <c r="AGW416" s="3"/>
      <c r="AGX416" s="3"/>
      <c r="AGY416" s="3"/>
      <c r="AGZ416" s="3"/>
      <c r="AHA416" s="3"/>
      <c r="AHB416" s="3"/>
      <c r="AHC416" s="3"/>
      <c r="AHD416" s="3"/>
      <c r="AHE416" s="3"/>
      <c r="AHF416" s="3"/>
      <c r="AHG416" s="3"/>
      <c r="AHH416" s="3"/>
      <c r="AHI416" s="3"/>
      <c r="AHJ416" s="3"/>
      <c r="AHK416" s="3"/>
      <c r="AHL416" s="3"/>
      <c r="AHM416" s="3"/>
      <c r="AHN416" s="3"/>
      <c r="AHO416" s="3"/>
      <c r="AHP416" s="3"/>
      <c r="AHQ416" s="3"/>
      <c r="AHR416" s="3"/>
      <c r="AHS416" s="3"/>
      <c r="AHT416" s="3"/>
      <c r="AHU416" s="3"/>
      <c r="AHV416" s="3"/>
      <c r="AHW416" s="3"/>
      <c r="AHX416" s="3"/>
      <c r="AHY416" s="3"/>
      <c r="AHZ416" s="3"/>
      <c r="AIA416" s="3"/>
      <c r="AIB416" s="3"/>
      <c r="AIC416" s="3"/>
      <c r="AID416" s="3"/>
      <c r="AIE416" s="3"/>
      <c r="AIF416" s="3"/>
      <c r="AIG416" s="3"/>
      <c r="AIH416" s="3"/>
      <c r="AII416" s="3"/>
      <c r="AIJ416" s="3"/>
      <c r="AIK416" s="3"/>
      <c r="AIL416" s="3"/>
      <c r="AIM416" s="3"/>
      <c r="AIN416" s="3"/>
      <c r="AIO416" s="3"/>
      <c r="AIP416" s="3"/>
      <c r="AIQ416" s="3"/>
      <c r="AIR416" s="3"/>
      <c r="AIS416" s="3"/>
      <c r="AIT416" s="3"/>
      <c r="AIU416" s="3"/>
      <c r="AIV416" s="3"/>
      <c r="AIW416" s="3"/>
      <c r="AIX416" s="3"/>
      <c r="AIY416" s="3"/>
      <c r="AIZ416" s="3"/>
      <c r="AJA416" s="3"/>
      <c r="AJB416" s="3"/>
      <c r="AJC416" s="3"/>
      <c r="AJD416" s="3"/>
      <c r="AJE416" s="3"/>
      <c r="AJF416" s="3"/>
      <c r="AJG416" s="3"/>
      <c r="AJH416" s="3"/>
      <c r="AJI416" s="3"/>
      <c r="AJJ416" s="3"/>
      <c r="AJK416" s="3"/>
      <c r="AJL416" s="3"/>
      <c r="AJM416" s="3"/>
      <c r="AJN416" s="3"/>
      <c r="AJO416" s="3"/>
      <c r="AJP416" s="3"/>
      <c r="AJQ416" s="3"/>
      <c r="AJR416" s="3"/>
      <c r="AJS416" s="3"/>
      <c r="AJT416" s="3"/>
      <c r="AJU416" s="3"/>
      <c r="AJV416" s="3"/>
      <c r="AJW416" s="3"/>
      <c r="AJX416" s="3"/>
      <c r="AJY416" s="3"/>
      <c r="AJZ416" s="3"/>
      <c r="AKA416" s="3"/>
      <c r="AKB416" s="3"/>
      <c r="AKC416" s="3"/>
      <c r="AKD416" s="3"/>
      <c r="AKE416" s="3"/>
      <c r="AKF416" s="3"/>
      <c r="AKG416" s="3"/>
      <c r="AKH416" s="3"/>
      <c r="AKI416" s="3"/>
      <c r="AKJ416" s="3"/>
      <c r="AKK416" s="3"/>
      <c r="AKL416" s="3"/>
      <c r="AKM416" s="3"/>
      <c r="AKN416" s="3"/>
      <c r="AKO416" s="3"/>
      <c r="AKP416" s="3"/>
      <c r="AKQ416" s="3"/>
      <c r="AKR416" s="3"/>
      <c r="AKS416" s="3"/>
      <c r="AKT416" s="3"/>
      <c r="AKU416" s="3"/>
      <c r="AKV416" s="3"/>
      <c r="AKW416" s="3"/>
      <c r="AKX416" s="3"/>
      <c r="AKY416" s="3"/>
      <c r="AKZ416" s="3"/>
      <c r="ALA416" s="3"/>
      <c r="ALB416" s="3"/>
      <c r="ALC416" s="3"/>
      <c r="ALD416" s="3"/>
      <c r="ALE416" s="3"/>
      <c r="ALF416" s="3"/>
      <c r="ALG416" s="3"/>
      <c r="ALH416" s="3"/>
      <c r="ALI416" s="3"/>
      <c r="ALJ416" s="3"/>
      <c r="ALK416" s="3"/>
      <c r="ALL416" s="3"/>
      <c r="ALM416" s="3"/>
      <c r="ALN416" s="3"/>
      <c r="ALO416" s="3"/>
      <c r="ALP416" s="3"/>
      <c r="ALQ416" s="3"/>
      <c r="ALR416" s="3"/>
      <c r="ALS416" s="3"/>
      <c r="ALT416" s="3"/>
      <c r="ALU416" s="3"/>
      <c r="ALV416" s="3"/>
      <c r="ALW416" s="3"/>
      <c r="ALX416" s="3"/>
      <c r="ALY416" s="3"/>
      <c r="ALZ416" s="3"/>
      <c r="AMA416" s="3"/>
      <c r="AMB416" s="3"/>
      <c r="AMC416" s="3"/>
      <c r="AMD416" s="3"/>
      <c r="AME416" s="3"/>
      <c r="AMF416" s="3"/>
      <c r="AMG416" s="3"/>
      <c r="AMH416" s="3"/>
      <c r="AMI416" s="3"/>
      <c r="AMJ416" s="3"/>
      <c r="AMK416" s="3"/>
      <c r="AML416" s="3"/>
      <c r="AMM416" s="3"/>
      <c r="AMN416" s="3"/>
      <c r="AMO416" s="3"/>
      <c r="AMP416" s="1"/>
    </row>
    <row r="417" spans="1:1030" s="6" customFormat="1" x14ac:dyDescent="0.2">
      <c r="A417" s="3" t="str">
        <f t="shared" si="2904"/>
        <v>smo_human_4QIN</v>
      </c>
      <c r="B417" s="3" t="s">
        <v>33</v>
      </c>
      <c r="C417" s="3" t="s">
        <v>56</v>
      </c>
      <c r="D417" s="3" t="str">
        <f>IFERROR(MID(VLOOKUP($B417,Seqs!$A:$B,2,0),E417,1),"")</f>
        <v>T</v>
      </c>
      <c r="E417" s="105">
        <v>223</v>
      </c>
      <c r="F417" s="3" t="str">
        <f>IFERROR(MID(VLOOKUP($B417,Seqs!$A:$B,2,0),G417,1),"")</f>
        <v>D</v>
      </c>
      <c r="G417" s="3">
        <v>255</v>
      </c>
      <c r="H417" s="3" t="str">
        <f>IFERROR(MID(VLOOKUP($B417,Seqs!$A:$B,2,0),I417,1),"")</f>
        <v>W</v>
      </c>
      <c r="I417" s="23">
        <v>256</v>
      </c>
      <c r="J417" s="3" t="str">
        <f>IFERROR(MID(VLOOKUP($B417,Seqs!$A:$B,2,0),K417,1),"")</f>
        <v>N</v>
      </c>
      <c r="K417" s="23">
        <v>260</v>
      </c>
      <c r="L417" s="3" t="str">
        <f>IFERROR(MID(VLOOKUP($B417,Seqs!$A:$B,2,0),M417,1),"")</f>
        <v>R</v>
      </c>
      <c r="M417" s="3">
        <v>261</v>
      </c>
      <c r="N417" s="3" t="str">
        <f>IFERROR(MID(VLOOKUP($B417,Seqs!$A:$B,2,0),O417,1),"")</f>
        <v>F</v>
      </c>
      <c r="O417" s="3">
        <v>285</v>
      </c>
      <c r="P417" s="3" t="str">
        <f>IFERROR(MID(VLOOKUP($B417,Seqs!$A:$B,2,0),Q417,1),"")</f>
        <v/>
      </c>
      <c r="Q417" s="3" t="s">
        <v>23</v>
      </c>
      <c r="R417" s="3" t="str">
        <f>IFERROR(MID(VLOOKUP($B417,Seqs!$A:$B,2,0),S417,1),"")</f>
        <v/>
      </c>
      <c r="S417" s="3" t="s">
        <v>23</v>
      </c>
      <c r="T417" s="3" t="str">
        <f>IFERROR(MID(VLOOKUP($B417,Seqs!$A:$B,2,0),U417,1),"")</f>
        <v>L</v>
      </c>
      <c r="U417" s="3">
        <v>312</v>
      </c>
      <c r="V417" s="3" t="str">
        <f>IFERROR(MID(VLOOKUP($B417,Seqs!$A:$B,2,0),W417,1),"")</f>
        <v>A</v>
      </c>
      <c r="W417" s="3">
        <v>345</v>
      </c>
      <c r="X417" s="3" t="str">
        <f>IFERROR(MID(VLOOKUP($B417,Seqs!$A:$B,2,0),Y417,1),"")</f>
        <v/>
      </c>
      <c r="Y417" s="3" t="s">
        <v>23</v>
      </c>
      <c r="Z417" s="3" t="str">
        <f>IFERROR(MID(VLOOKUP($B417,Seqs!$A:$B,2,0),AA417,1),"")</f>
        <v/>
      </c>
      <c r="AA417" s="3" t="s">
        <v>23</v>
      </c>
      <c r="AB417" s="3" t="str">
        <f>IFERROR(MID(VLOOKUP($B417,Seqs!$A:$B,2,0),AC417,1),"")</f>
        <v>K</v>
      </c>
      <c r="AC417" s="9">
        <v>356</v>
      </c>
      <c r="AD417" s="3" t="str">
        <f>IFERROR(MID(VLOOKUP($B417,Seqs!$A:$B,2,0),AE417,1),"")</f>
        <v>A</v>
      </c>
      <c r="AE417" s="3">
        <v>379</v>
      </c>
      <c r="AF417" s="3" t="str">
        <f>IFERROR(MID(VLOOKUP($B417,Seqs!$A:$B,2,0),AG417,1),"")</f>
        <v>C</v>
      </c>
      <c r="AG417" s="3">
        <v>390</v>
      </c>
      <c r="AH417" s="3" t="str">
        <f>IFERROR(MID(VLOOKUP($B417,Seqs!$A:$B,2,0),AI417,1),"")</f>
        <v>V</v>
      </c>
      <c r="AI417" s="3">
        <v>392</v>
      </c>
      <c r="AJ417" s="3" t="str">
        <f>IFERROR(MID(VLOOKUP($B417,Seqs!$A:$B,2,0),AK417,1),"")</f>
        <v>N</v>
      </c>
      <c r="AK417" s="105">
        <v>396</v>
      </c>
      <c r="AL417" s="3" t="str">
        <f>IFERROR(MID(VLOOKUP($B417,Seqs!$A:$B,2,0),AM417,1),"")</f>
        <v>H</v>
      </c>
      <c r="AM417" s="3">
        <v>433</v>
      </c>
      <c r="AN417" s="3" t="str">
        <f>IFERROR(MID(VLOOKUP($B417,Seqs!$A:$B,2,0),AO417,1),"")</f>
        <v>E</v>
      </c>
      <c r="AO417" s="3">
        <v>447</v>
      </c>
      <c r="AP417" s="3" t="str">
        <f>IFERROR(MID(VLOOKUP($B417,Seqs!$A:$B,2,0),AQ417,1),"")</f>
        <v>A</v>
      </c>
      <c r="AQ417" s="3">
        <v>492</v>
      </c>
      <c r="AR417" s="3" t="str">
        <f>IFERROR(MID(VLOOKUP($B417,Seqs!$A:$B,2,0),AS417,1),"")</f>
        <v>S</v>
      </c>
      <c r="AS417" s="105">
        <v>514</v>
      </c>
      <c r="AT417" s="3" t="str">
        <f>IFERROR(MID(VLOOKUP($B417,Seqs!$A:$B,2,0),AU417,1),"")</f>
        <v>W</v>
      </c>
      <c r="AU417" s="3">
        <v>537</v>
      </c>
      <c r="AV417" s="3" t="str">
        <f>IFERROR(MID(VLOOKUP($B417,Seqs!$A:$B,2,0),AW417,1),"")</f>
        <v>T</v>
      </c>
      <c r="AW417" s="3">
        <v>538</v>
      </c>
      <c r="AX417" s="3" t="str">
        <f>IFERROR(MID(VLOOKUP($B417,Seqs!$A:$B,2,0),AY417,1),"")</f>
        <v>R</v>
      </c>
      <c r="AY417" s="3">
        <v>551</v>
      </c>
      <c r="AZ417" s="78" t="str">
        <f>VLOOKUP(B417,Classification!A:D,2,0)</f>
        <v>F</v>
      </c>
      <c r="BA417" s="94" t="str">
        <f>VLOOKUP(B417,Classification!A:D,4,0)</f>
        <v>Frizzled</v>
      </c>
      <c r="BB417" s="92" t="b">
        <f t="shared" si="2905"/>
        <v>1</v>
      </c>
      <c r="BC417" s="23">
        <f t="shared" si="2878"/>
        <v>248</v>
      </c>
      <c r="BD417" s="74" t="s">
        <v>23</v>
      </c>
      <c r="BE417" s="3" t="s">
        <v>1374</v>
      </c>
      <c r="BF417" s="118">
        <v>2.6</v>
      </c>
      <c r="BG417" s="49" t="s">
        <v>1377</v>
      </c>
      <c r="BH417" s="49" t="s">
        <v>1377</v>
      </c>
      <c r="BI417" s="3"/>
      <c r="BJ417" s="75" t="s">
        <v>1287</v>
      </c>
      <c r="BK417" s="57" t="s">
        <v>1287</v>
      </c>
      <c r="BL417" s="57" t="s">
        <v>1287</v>
      </c>
      <c r="BM417" s="57" t="s">
        <v>1287</v>
      </c>
      <c r="BN417" s="57" t="s">
        <v>1287</v>
      </c>
      <c r="BO417" s="57" t="s">
        <v>1287</v>
      </c>
      <c r="BP417" s="57" t="s">
        <v>1287</v>
      </c>
      <c r="BQ417" s="57" t="s">
        <v>1287</v>
      </c>
      <c r="BR417" s="57" t="s">
        <v>1287</v>
      </c>
      <c r="BS417" s="57" t="s">
        <v>1287</v>
      </c>
      <c r="BT417" s="57" t="s">
        <v>1287</v>
      </c>
      <c r="BU417" s="57" t="s">
        <v>1287</v>
      </c>
      <c r="BV417" s="75">
        <f t="shared" si="2879"/>
        <v>223</v>
      </c>
      <c r="BW417" s="71">
        <f t="shared" si="2880"/>
        <v>256</v>
      </c>
      <c r="BX417" s="72">
        <f t="shared" si="2881"/>
        <v>261</v>
      </c>
      <c r="BY417" s="71" t="str">
        <f t="shared" si="2882"/>
        <v>-</v>
      </c>
      <c r="BZ417" s="72">
        <f t="shared" si="2883"/>
        <v>312</v>
      </c>
      <c r="CA417" s="71" t="str">
        <f t="shared" si="2884"/>
        <v>-</v>
      </c>
      <c r="CB417" s="72">
        <f t="shared" si="2885"/>
        <v>356</v>
      </c>
      <c r="CC417" s="71">
        <f t="shared" si="2886"/>
        <v>390</v>
      </c>
      <c r="CD417" s="72">
        <f t="shared" si="2887"/>
        <v>396</v>
      </c>
      <c r="CE417" s="71">
        <f t="shared" si="2888"/>
        <v>447</v>
      </c>
      <c r="CF417" s="72">
        <f t="shared" si="2889"/>
        <v>514</v>
      </c>
      <c r="CG417" s="71">
        <f t="shared" si="2890"/>
        <v>538</v>
      </c>
      <c r="CH417" s="75">
        <f t="shared" si="2891"/>
        <v>255</v>
      </c>
      <c r="CI417" s="71">
        <f t="shared" si="2892"/>
        <v>260</v>
      </c>
      <c r="CJ417" s="72">
        <f t="shared" si="2893"/>
        <v>285</v>
      </c>
      <c r="CK417" s="72" t="str">
        <f t="shared" si="2894"/>
        <v>-</v>
      </c>
      <c r="CL417" s="72">
        <f t="shared" si="2895"/>
        <v>345</v>
      </c>
      <c r="CM417" s="72" t="str">
        <f t="shared" si="2896"/>
        <v>-</v>
      </c>
      <c r="CN417" s="72">
        <f t="shared" si="2897"/>
        <v>379</v>
      </c>
      <c r="CO417" s="72">
        <f t="shared" si="2898"/>
        <v>392</v>
      </c>
      <c r="CP417" s="72">
        <f t="shared" si="2899"/>
        <v>433</v>
      </c>
      <c r="CQ417" s="72">
        <f t="shared" si="2900"/>
        <v>492</v>
      </c>
      <c r="CR417" s="72">
        <f t="shared" si="2901"/>
        <v>537</v>
      </c>
      <c r="CS417" s="72">
        <f t="shared" si="2902"/>
        <v>551</v>
      </c>
      <c r="CT417" s="23">
        <f t="shared" si="2903"/>
        <v>1</v>
      </c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r="QA417" s="3"/>
      <c r="QB417" s="3"/>
      <c r="QC417" s="3"/>
      <c r="QD417" s="3"/>
      <c r="QE417" s="3"/>
      <c r="QF417" s="3"/>
      <c r="QG417" s="3"/>
      <c r="QH417" s="3"/>
      <c r="QI417" s="3"/>
      <c r="QJ417" s="3"/>
      <c r="QK417" s="3"/>
      <c r="QL417" s="3"/>
      <c r="QM417" s="3"/>
      <c r="QN417" s="3"/>
      <c r="QO417" s="3"/>
      <c r="QP417" s="3"/>
      <c r="QQ417" s="3"/>
      <c r="QR417" s="3"/>
      <c r="QS417" s="3"/>
      <c r="QT417" s="3"/>
      <c r="QU417" s="3"/>
      <c r="QV417" s="3"/>
      <c r="QW417" s="3"/>
      <c r="QX417" s="3"/>
      <c r="QY417" s="3"/>
      <c r="QZ417" s="3"/>
      <c r="RA417" s="3"/>
      <c r="RB417" s="3"/>
      <c r="RC417" s="3"/>
      <c r="RD417" s="3"/>
      <c r="RE417" s="3"/>
      <c r="RF417" s="3"/>
      <c r="RG417" s="3"/>
      <c r="RH417" s="3"/>
      <c r="RI417" s="3"/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/>
      <c r="RV417" s="3"/>
      <c r="RW417" s="3"/>
      <c r="RX417" s="3"/>
      <c r="RY417" s="3"/>
      <c r="RZ417" s="3"/>
      <c r="SA417" s="3"/>
      <c r="SB417" s="3"/>
      <c r="SC417" s="3"/>
      <c r="SD417" s="3"/>
      <c r="SE417" s="3"/>
      <c r="SF417" s="3"/>
      <c r="SG417" s="3"/>
      <c r="SH417" s="3"/>
      <c r="SI417" s="3"/>
      <c r="SJ417" s="3"/>
      <c r="SK417" s="3"/>
      <c r="SL417" s="3"/>
      <c r="SM417" s="3"/>
      <c r="SN417" s="3"/>
      <c r="SO417" s="3"/>
      <c r="SP417" s="3"/>
      <c r="SQ417" s="3"/>
      <c r="SR417" s="3"/>
      <c r="SS417" s="3"/>
      <c r="ST417" s="3"/>
      <c r="SU417" s="3"/>
      <c r="SV417" s="3"/>
      <c r="SW417" s="3"/>
      <c r="SX417" s="3"/>
      <c r="SY417" s="3"/>
      <c r="SZ417" s="3"/>
      <c r="TA417" s="3"/>
      <c r="TB417" s="3"/>
      <c r="TC417" s="3"/>
      <c r="TD417" s="3"/>
      <c r="TE417" s="3"/>
      <c r="TF417" s="3"/>
      <c r="TG417" s="3"/>
      <c r="TH417" s="3"/>
      <c r="TI417" s="3"/>
      <c r="TJ417" s="3"/>
      <c r="TK417" s="3"/>
      <c r="TL417" s="3"/>
      <c r="TM417" s="3"/>
      <c r="TN417" s="3"/>
      <c r="TO417" s="3"/>
      <c r="TP417" s="3"/>
      <c r="TQ417" s="3"/>
      <c r="TR417" s="3"/>
      <c r="TS417" s="3"/>
      <c r="TT417" s="3"/>
      <c r="TU417" s="3"/>
      <c r="TV417" s="3"/>
      <c r="TW417" s="3"/>
      <c r="TX417" s="3"/>
      <c r="TY417" s="3"/>
      <c r="TZ417" s="3"/>
      <c r="UA417" s="3"/>
      <c r="UB417" s="3"/>
      <c r="UC417" s="3"/>
      <c r="UD417" s="3"/>
      <c r="UE417" s="3"/>
      <c r="UF417" s="3"/>
      <c r="UG417" s="3"/>
      <c r="UH417" s="3"/>
      <c r="UI417" s="3"/>
      <c r="UJ417" s="3"/>
      <c r="UK417" s="3"/>
      <c r="UL417" s="3"/>
      <c r="UM417" s="3"/>
      <c r="UN417" s="3"/>
      <c r="UO417" s="3"/>
      <c r="UP417" s="3"/>
      <c r="UQ417" s="3"/>
      <c r="UR417" s="3"/>
      <c r="US417" s="3"/>
      <c r="UT417" s="3"/>
      <c r="UU417" s="3"/>
      <c r="UV417" s="3"/>
      <c r="UW417" s="3"/>
      <c r="UX417" s="3"/>
      <c r="UY417" s="3"/>
      <c r="UZ417" s="3"/>
      <c r="VA417" s="3"/>
      <c r="VB417" s="3"/>
      <c r="VC417" s="3"/>
      <c r="VD417" s="3"/>
      <c r="VE417" s="3"/>
      <c r="VF417" s="3"/>
      <c r="VG417" s="3"/>
      <c r="VH417" s="3"/>
      <c r="VI417" s="3"/>
      <c r="VJ417" s="3"/>
      <c r="VK417" s="3"/>
      <c r="VL417" s="3"/>
      <c r="VM417" s="3"/>
      <c r="VN417" s="3"/>
      <c r="VO417" s="3"/>
      <c r="VP417" s="3"/>
      <c r="VQ417" s="3"/>
      <c r="VR417" s="3"/>
      <c r="VS417" s="3"/>
      <c r="VT417" s="3"/>
      <c r="VU417" s="3"/>
      <c r="VV417" s="3"/>
      <c r="VW417" s="3"/>
      <c r="VX417" s="3"/>
      <c r="VY417" s="3"/>
      <c r="VZ417" s="3"/>
      <c r="WA417" s="3"/>
      <c r="WB417" s="3"/>
      <c r="WC417" s="3"/>
      <c r="WD417" s="3"/>
      <c r="WE417" s="3"/>
      <c r="WF417" s="3"/>
      <c r="WG417" s="3"/>
      <c r="WH417" s="3"/>
      <c r="WI417" s="3"/>
      <c r="WJ417" s="3"/>
      <c r="WK417" s="3"/>
      <c r="WL417" s="3"/>
      <c r="WM417" s="3"/>
      <c r="WN417" s="3"/>
      <c r="WO417" s="3"/>
      <c r="WP417" s="3"/>
      <c r="WQ417" s="3"/>
      <c r="WR417" s="3"/>
      <c r="WS417" s="3"/>
      <c r="WT417" s="3"/>
      <c r="WU417" s="3"/>
      <c r="WV417" s="3"/>
      <c r="WW417" s="3"/>
      <c r="WX417" s="3"/>
      <c r="WY417" s="3"/>
      <c r="WZ417" s="3"/>
      <c r="XA417" s="3"/>
      <c r="XB417" s="3"/>
      <c r="XC417" s="3"/>
      <c r="XD417" s="3"/>
      <c r="XE417" s="3"/>
      <c r="XF417" s="3"/>
      <c r="XG417" s="3"/>
      <c r="XH417" s="3"/>
      <c r="XI417" s="3"/>
      <c r="XJ417" s="3"/>
      <c r="XK417" s="3"/>
      <c r="XL417" s="3"/>
      <c r="XM417" s="3"/>
      <c r="XN417" s="3"/>
      <c r="XO417" s="3"/>
      <c r="XP417" s="3"/>
      <c r="XQ417" s="3"/>
      <c r="XR417" s="3"/>
      <c r="XS417" s="3"/>
      <c r="XT417" s="3"/>
      <c r="XU417" s="3"/>
      <c r="XV417" s="3"/>
      <c r="XW417" s="3"/>
      <c r="XX417" s="3"/>
      <c r="XY417" s="3"/>
      <c r="XZ417" s="3"/>
      <c r="YA417" s="3"/>
      <c r="YB417" s="3"/>
      <c r="YC417" s="3"/>
      <c r="YD417" s="3"/>
      <c r="YE417" s="3"/>
      <c r="YF417" s="3"/>
      <c r="YG417" s="3"/>
      <c r="YH417" s="3"/>
      <c r="YI417" s="3"/>
      <c r="YJ417" s="3"/>
      <c r="YK417" s="3"/>
      <c r="YL417" s="3"/>
      <c r="YM417" s="3"/>
      <c r="YN417" s="3"/>
      <c r="YO417" s="3"/>
      <c r="YP417" s="3"/>
      <c r="YQ417" s="3"/>
      <c r="YR417" s="3"/>
      <c r="YS417" s="3"/>
      <c r="YT417" s="3"/>
      <c r="YU417" s="3"/>
      <c r="YV417" s="3"/>
      <c r="YW417" s="3"/>
      <c r="YX417" s="3"/>
      <c r="YY417" s="3"/>
      <c r="YZ417" s="3"/>
      <c r="ZA417" s="3"/>
      <c r="ZB417" s="3"/>
      <c r="ZC417" s="3"/>
      <c r="ZD417" s="3"/>
      <c r="ZE417" s="3"/>
      <c r="ZF417" s="3"/>
      <c r="ZG417" s="3"/>
      <c r="ZH417" s="3"/>
      <c r="ZI417" s="3"/>
      <c r="ZJ417" s="3"/>
      <c r="ZK417" s="3"/>
      <c r="ZL417" s="3"/>
      <c r="ZM417" s="3"/>
      <c r="ZN417" s="3"/>
      <c r="ZO417" s="3"/>
      <c r="ZP417" s="3"/>
      <c r="ZQ417" s="3"/>
      <c r="ZR417" s="3"/>
      <c r="ZS417" s="3"/>
      <c r="ZT417" s="3"/>
      <c r="ZU417" s="3"/>
      <c r="ZV417" s="3"/>
      <c r="ZW417" s="3"/>
      <c r="ZX417" s="3"/>
      <c r="ZY417" s="3"/>
      <c r="ZZ417" s="3"/>
      <c r="AAA417" s="3"/>
      <c r="AAB417" s="3"/>
      <c r="AAC417" s="3"/>
      <c r="AAD417" s="3"/>
      <c r="AAE417" s="3"/>
      <c r="AAF417" s="3"/>
      <c r="AAG417" s="3"/>
      <c r="AAH417" s="3"/>
      <c r="AAI417" s="3"/>
      <c r="AAJ417" s="3"/>
      <c r="AAK417" s="3"/>
      <c r="AAL417" s="3"/>
      <c r="AAM417" s="3"/>
      <c r="AAN417" s="3"/>
      <c r="AAO417" s="3"/>
      <c r="AAP417" s="3"/>
      <c r="AAQ417" s="3"/>
      <c r="AAR417" s="3"/>
      <c r="AAS417" s="3"/>
      <c r="AAT417" s="3"/>
      <c r="AAU417" s="3"/>
      <c r="AAV417" s="3"/>
      <c r="AAW417" s="3"/>
      <c r="AAX417" s="3"/>
      <c r="AAY417" s="3"/>
      <c r="AAZ417" s="3"/>
      <c r="ABA417" s="3"/>
      <c r="ABB417" s="3"/>
      <c r="ABC417" s="3"/>
      <c r="ABD417" s="3"/>
      <c r="ABE417" s="3"/>
      <c r="ABF417" s="3"/>
      <c r="ABG417" s="3"/>
      <c r="ABH417" s="3"/>
      <c r="ABI417" s="3"/>
      <c r="ABJ417" s="3"/>
      <c r="ABK417" s="3"/>
      <c r="ABL417" s="3"/>
      <c r="ABM417" s="3"/>
      <c r="ABN417" s="3"/>
      <c r="ABO417" s="3"/>
      <c r="ABP417" s="3"/>
      <c r="ABQ417" s="3"/>
      <c r="ABR417" s="3"/>
      <c r="ABS417" s="3"/>
      <c r="ABT417" s="3"/>
      <c r="ABU417" s="3"/>
      <c r="ABV417" s="3"/>
      <c r="ABW417" s="3"/>
      <c r="ABX417" s="3"/>
      <c r="ABY417" s="3"/>
      <c r="ABZ417" s="3"/>
      <c r="ACA417" s="3"/>
      <c r="ACB417" s="3"/>
      <c r="ACC417" s="3"/>
      <c r="ACD417" s="3"/>
      <c r="ACE417" s="3"/>
      <c r="ACF417" s="3"/>
      <c r="ACG417" s="3"/>
      <c r="ACH417" s="3"/>
      <c r="ACI417" s="3"/>
      <c r="ACJ417" s="3"/>
      <c r="ACK417" s="3"/>
      <c r="ACL417" s="3"/>
      <c r="ACM417" s="3"/>
      <c r="ACN417" s="3"/>
      <c r="ACO417" s="3"/>
      <c r="ACP417" s="3"/>
      <c r="ACQ417" s="3"/>
      <c r="ACR417" s="3"/>
      <c r="ACS417" s="3"/>
      <c r="ACT417" s="3"/>
      <c r="ACU417" s="3"/>
      <c r="ACV417" s="3"/>
      <c r="ACW417" s="3"/>
      <c r="ACX417" s="3"/>
      <c r="ACY417" s="3"/>
      <c r="ACZ417" s="3"/>
      <c r="ADA417" s="3"/>
      <c r="ADB417" s="3"/>
      <c r="ADC417" s="3"/>
      <c r="ADD417" s="3"/>
      <c r="ADE417" s="3"/>
      <c r="ADF417" s="3"/>
      <c r="ADG417" s="3"/>
      <c r="ADH417" s="3"/>
      <c r="ADI417" s="3"/>
      <c r="ADJ417" s="3"/>
      <c r="ADK417" s="3"/>
      <c r="ADL417" s="3"/>
      <c r="ADM417" s="3"/>
      <c r="ADN417" s="3"/>
      <c r="ADO417" s="3"/>
      <c r="ADP417" s="3"/>
      <c r="ADQ417" s="3"/>
      <c r="ADR417" s="3"/>
      <c r="ADS417" s="3"/>
      <c r="ADT417" s="3"/>
      <c r="ADU417" s="3"/>
      <c r="ADV417" s="3"/>
      <c r="ADW417" s="3"/>
      <c r="ADX417" s="3"/>
      <c r="ADY417" s="3"/>
      <c r="ADZ417" s="3"/>
      <c r="AEA417" s="3"/>
      <c r="AEB417" s="3"/>
      <c r="AEC417" s="3"/>
      <c r="AED417" s="3"/>
      <c r="AEE417" s="3"/>
      <c r="AEF417" s="3"/>
      <c r="AEG417" s="3"/>
      <c r="AEH417" s="3"/>
      <c r="AEI417" s="3"/>
      <c r="AEJ417" s="3"/>
      <c r="AEK417" s="3"/>
      <c r="AEL417" s="3"/>
      <c r="AEM417" s="3"/>
      <c r="AEN417" s="3"/>
      <c r="AEO417" s="3"/>
      <c r="AEP417" s="3"/>
      <c r="AEQ417" s="3"/>
      <c r="AER417" s="3"/>
      <c r="AES417" s="3"/>
      <c r="AET417" s="3"/>
      <c r="AEU417" s="3"/>
      <c r="AEV417" s="3"/>
      <c r="AEW417" s="3"/>
      <c r="AEX417" s="3"/>
      <c r="AEY417" s="3"/>
      <c r="AEZ417" s="3"/>
      <c r="AFA417" s="3"/>
      <c r="AFB417" s="3"/>
      <c r="AFC417" s="3"/>
      <c r="AFD417" s="3"/>
      <c r="AFE417" s="3"/>
      <c r="AFF417" s="3"/>
      <c r="AFG417" s="3"/>
      <c r="AFH417" s="3"/>
      <c r="AFI417" s="3"/>
      <c r="AFJ417" s="3"/>
      <c r="AFK417" s="3"/>
      <c r="AFL417" s="3"/>
      <c r="AFM417" s="3"/>
      <c r="AFN417" s="3"/>
      <c r="AFO417" s="3"/>
      <c r="AFP417" s="3"/>
      <c r="AFQ417" s="3"/>
      <c r="AFR417" s="3"/>
      <c r="AFS417" s="3"/>
      <c r="AFT417" s="3"/>
      <c r="AFU417" s="3"/>
      <c r="AFV417" s="3"/>
      <c r="AFW417" s="3"/>
      <c r="AFX417" s="3"/>
      <c r="AFY417" s="3"/>
      <c r="AFZ417" s="3"/>
      <c r="AGA417" s="3"/>
      <c r="AGB417" s="3"/>
      <c r="AGC417" s="3"/>
      <c r="AGD417" s="3"/>
      <c r="AGE417" s="3"/>
      <c r="AGF417" s="3"/>
      <c r="AGG417" s="3"/>
      <c r="AGH417" s="3"/>
      <c r="AGI417" s="3"/>
      <c r="AGJ417" s="3"/>
      <c r="AGK417" s="3"/>
      <c r="AGL417" s="3"/>
      <c r="AGM417" s="3"/>
      <c r="AGN417" s="3"/>
      <c r="AGO417" s="3"/>
      <c r="AGP417" s="3"/>
      <c r="AGQ417" s="3"/>
      <c r="AGR417" s="3"/>
      <c r="AGS417" s="3"/>
      <c r="AGT417" s="3"/>
      <c r="AGU417" s="3"/>
      <c r="AGV417" s="3"/>
      <c r="AGW417" s="3"/>
      <c r="AGX417" s="3"/>
      <c r="AGY417" s="3"/>
      <c r="AGZ417" s="3"/>
      <c r="AHA417" s="3"/>
      <c r="AHB417" s="3"/>
      <c r="AHC417" s="3"/>
      <c r="AHD417" s="3"/>
      <c r="AHE417" s="3"/>
      <c r="AHF417" s="3"/>
      <c r="AHG417" s="3"/>
      <c r="AHH417" s="3"/>
      <c r="AHI417" s="3"/>
      <c r="AHJ417" s="3"/>
      <c r="AHK417" s="3"/>
      <c r="AHL417" s="3"/>
      <c r="AHM417" s="3"/>
      <c r="AHN417" s="3"/>
      <c r="AHO417" s="3"/>
      <c r="AHP417" s="3"/>
      <c r="AHQ417" s="3"/>
      <c r="AHR417" s="3"/>
      <c r="AHS417" s="3"/>
      <c r="AHT417" s="3"/>
      <c r="AHU417" s="3"/>
      <c r="AHV417" s="3"/>
      <c r="AHW417" s="3"/>
      <c r="AHX417" s="3"/>
      <c r="AHY417" s="3"/>
      <c r="AHZ417" s="3"/>
      <c r="AIA417" s="3"/>
      <c r="AIB417" s="3"/>
      <c r="AIC417" s="3"/>
      <c r="AID417" s="3"/>
      <c r="AIE417" s="3"/>
      <c r="AIF417" s="3"/>
      <c r="AIG417" s="3"/>
      <c r="AIH417" s="3"/>
      <c r="AII417" s="3"/>
      <c r="AIJ417" s="3"/>
      <c r="AIK417" s="3"/>
      <c r="AIL417" s="3"/>
      <c r="AIM417" s="3"/>
      <c r="AIN417" s="3"/>
      <c r="AIO417" s="3"/>
      <c r="AIP417" s="3"/>
      <c r="AIQ417" s="3"/>
      <c r="AIR417" s="3"/>
      <c r="AIS417" s="3"/>
      <c r="AIT417" s="3"/>
      <c r="AIU417" s="3"/>
      <c r="AIV417" s="3"/>
      <c r="AIW417" s="3"/>
      <c r="AIX417" s="3"/>
      <c r="AIY417" s="3"/>
      <c r="AIZ417" s="3"/>
      <c r="AJA417" s="3"/>
      <c r="AJB417" s="3"/>
      <c r="AJC417" s="3"/>
      <c r="AJD417" s="3"/>
      <c r="AJE417" s="3"/>
      <c r="AJF417" s="3"/>
      <c r="AJG417" s="3"/>
      <c r="AJH417" s="3"/>
      <c r="AJI417" s="3"/>
      <c r="AJJ417" s="3"/>
      <c r="AJK417" s="3"/>
      <c r="AJL417" s="3"/>
      <c r="AJM417" s="3"/>
      <c r="AJN417" s="3"/>
      <c r="AJO417" s="3"/>
      <c r="AJP417" s="3"/>
      <c r="AJQ417" s="3"/>
      <c r="AJR417" s="3"/>
      <c r="AJS417" s="3"/>
      <c r="AJT417" s="3"/>
      <c r="AJU417" s="3"/>
      <c r="AJV417" s="3"/>
      <c r="AJW417" s="3"/>
      <c r="AJX417" s="3"/>
      <c r="AJY417" s="3"/>
      <c r="AJZ417" s="3"/>
      <c r="AKA417" s="3"/>
      <c r="AKB417" s="3"/>
      <c r="AKC417" s="3"/>
      <c r="AKD417" s="3"/>
      <c r="AKE417" s="3"/>
      <c r="AKF417" s="3"/>
      <c r="AKG417" s="3"/>
      <c r="AKH417" s="3"/>
      <c r="AKI417" s="3"/>
      <c r="AKJ417" s="3"/>
      <c r="AKK417" s="3"/>
      <c r="AKL417" s="3"/>
      <c r="AKM417" s="3"/>
      <c r="AKN417" s="3"/>
      <c r="AKO417" s="3"/>
      <c r="AKP417" s="3"/>
      <c r="AKQ417" s="3"/>
      <c r="AKR417" s="3"/>
      <c r="AKS417" s="3"/>
      <c r="AKT417" s="3"/>
      <c r="AKU417" s="3"/>
      <c r="AKV417" s="3"/>
      <c r="AKW417" s="3"/>
      <c r="AKX417" s="3"/>
      <c r="AKY417" s="3"/>
      <c r="AKZ417" s="3"/>
      <c r="ALA417" s="3"/>
      <c r="ALB417" s="3"/>
      <c r="ALC417" s="3"/>
      <c r="ALD417" s="3"/>
      <c r="ALE417" s="3"/>
      <c r="ALF417" s="3"/>
      <c r="ALG417" s="3"/>
      <c r="ALH417" s="3"/>
      <c r="ALI417" s="3"/>
      <c r="ALJ417" s="3"/>
      <c r="ALK417" s="3"/>
      <c r="ALL417" s="3"/>
      <c r="ALM417" s="3"/>
      <c r="ALN417" s="3"/>
      <c r="ALO417" s="3"/>
      <c r="ALP417" s="3"/>
      <c r="ALQ417" s="3"/>
      <c r="ALR417" s="3"/>
      <c r="ALS417" s="3"/>
      <c r="ALT417" s="3"/>
      <c r="ALU417" s="3"/>
      <c r="ALV417" s="3"/>
      <c r="ALW417" s="3"/>
      <c r="ALX417" s="3"/>
      <c r="ALY417" s="3"/>
      <c r="ALZ417" s="3"/>
      <c r="AMA417" s="3"/>
      <c r="AMB417" s="3"/>
      <c r="AMC417" s="3"/>
      <c r="AMD417" s="3"/>
      <c r="AME417" s="3"/>
      <c r="AMF417" s="3"/>
      <c r="AMG417" s="3"/>
      <c r="AMH417" s="3"/>
      <c r="AMI417" s="3"/>
      <c r="AMJ417" s="3"/>
      <c r="AMK417" s="3"/>
      <c r="AML417" s="3"/>
      <c r="AMM417" s="3"/>
      <c r="AMN417" s="3"/>
      <c r="AMO417" s="3"/>
      <c r="AMP417" s="1"/>
    </row>
    <row r="418" spans="1:1030" s="6" customFormat="1" x14ac:dyDescent="0.2">
      <c r="A418" s="3" t="str">
        <f t="shared" si="2904"/>
        <v>smo_human_5L7D</v>
      </c>
      <c r="B418" s="3" t="s">
        <v>33</v>
      </c>
      <c r="C418" s="3" t="s">
        <v>1352</v>
      </c>
      <c r="D418" s="3" t="str">
        <f>IFERROR(MID(VLOOKUP($B418,Seqs!$A:$B,2,0),E418,1),"")</f>
        <v>T</v>
      </c>
      <c r="E418" s="105">
        <v>223</v>
      </c>
      <c r="F418" s="3" t="str">
        <f>IFERROR(MID(VLOOKUP($B418,Seqs!$A:$B,2,0),G418,1),"")</f>
        <v>D</v>
      </c>
      <c r="G418" s="3">
        <v>255</v>
      </c>
      <c r="H418" s="3" t="str">
        <f>IFERROR(MID(VLOOKUP($B418,Seqs!$A:$B,2,0),I418,1),"")</f>
        <v>W</v>
      </c>
      <c r="I418" s="23">
        <v>256</v>
      </c>
      <c r="J418" s="3" t="str">
        <f>IFERROR(MID(VLOOKUP($B418,Seqs!$A:$B,2,0),K418,1),"")</f>
        <v>N</v>
      </c>
      <c r="K418" s="23">
        <v>260</v>
      </c>
      <c r="L418" s="3" t="str">
        <f>IFERROR(MID(VLOOKUP($B418,Seqs!$A:$B,2,0),M418,1),"")</f>
        <v>R</v>
      </c>
      <c r="M418" s="3">
        <v>261</v>
      </c>
      <c r="N418" s="3" t="str">
        <f>IFERROR(MID(VLOOKUP($B418,Seqs!$A:$B,2,0),O418,1),"")</f>
        <v>F</v>
      </c>
      <c r="O418" s="3">
        <v>285</v>
      </c>
      <c r="P418" s="3" t="str">
        <f>IFERROR(MID(VLOOKUP($B418,Seqs!$A:$B,2,0),Q418,1),"")</f>
        <v/>
      </c>
      <c r="Q418" s="3" t="s">
        <v>23</v>
      </c>
      <c r="R418" s="3" t="str">
        <f>IFERROR(MID(VLOOKUP($B418,Seqs!$A:$B,2,0),S418,1),"")</f>
        <v/>
      </c>
      <c r="S418" s="3" t="s">
        <v>23</v>
      </c>
      <c r="T418" s="3" t="str">
        <f>IFERROR(MID(VLOOKUP($B418,Seqs!$A:$B,2,0),U418,1),"")</f>
        <v>L</v>
      </c>
      <c r="U418" s="3">
        <v>312</v>
      </c>
      <c r="V418" s="3" t="str">
        <f>IFERROR(MID(VLOOKUP($B418,Seqs!$A:$B,2,0),W418,1),"")</f>
        <v>L</v>
      </c>
      <c r="W418" s="3">
        <v>346</v>
      </c>
      <c r="X418" s="3" t="str">
        <f>IFERROR(MID(VLOOKUP($B418,Seqs!$A:$B,2,0),Y418,1),"")</f>
        <v/>
      </c>
      <c r="Y418" s="3" t="s">
        <v>23</v>
      </c>
      <c r="Z418" s="3" t="str">
        <f>IFERROR(MID(VLOOKUP($B418,Seqs!$A:$B,2,0),AA418,1),"")</f>
        <v/>
      </c>
      <c r="AA418" s="3" t="s">
        <v>23</v>
      </c>
      <c r="AB418" s="3" t="str">
        <f>IFERROR(MID(VLOOKUP($B418,Seqs!$A:$B,2,0),AC418,1),"")</f>
        <v>K</v>
      </c>
      <c r="AC418" s="9">
        <v>356</v>
      </c>
      <c r="AD418" s="3" t="str">
        <f>IFERROR(MID(VLOOKUP($B418,Seqs!$A:$B,2,0),AE418,1),"")</f>
        <v>V</v>
      </c>
      <c r="AE418" s="3">
        <v>378</v>
      </c>
      <c r="AF418" s="3" t="str">
        <f>IFERROR(MID(VLOOKUP($B418,Seqs!$A:$B,2,0),AG418,1),"")</f>
        <v>C</v>
      </c>
      <c r="AG418" s="3">
        <v>390</v>
      </c>
      <c r="AH418" s="3" t="str">
        <f>IFERROR(MID(VLOOKUP($B418,Seqs!$A:$B,2,0),AI418,1),"")</f>
        <v>V</v>
      </c>
      <c r="AI418" s="3">
        <v>392</v>
      </c>
      <c r="AJ418" s="3" t="str">
        <f>IFERROR(MID(VLOOKUP($B418,Seqs!$A:$B,2,0),AK418,1),"")</f>
        <v>N</v>
      </c>
      <c r="AK418" s="105">
        <v>396</v>
      </c>
      <c r="AL418" s="3" t="str">
        <f>IFERROR(MID(VLOOKUP($B418,Seqs!$A:$B,2,0),AM418,1),"")</f>
        <v>S</v>
      </c>
      <c r="AM418" s="3">
        <v>428</v>
      </c>
      <c r="AN418" s="3" t="str">
        <f>IFERROR(MID(VLOOKUP($B418,Seqs!$A:$B,2,0),AO418,1),"")</f>
        <v>E</v>
      </c>
      <c r="AO418" s="3">
        <v>447</v>
      </c>
      <c r="AP418" s="3" t="str">
        <f>IFERROR(MID(VLOOKUP($B418,Seqs!$A:$B,2,0),AQ418,1),"")</f>
        <v>I</v>
      </c>
      <c r="AQ418" s="3">
        <v>496</v>
      </c>
      <c r="AR418" s="3" t="str">
        <f>IFERROR(MID(VLOOKUP($B418,Seqs!$A:$B,2,0),AS418,1),"")</f>
        <v>S</v>
      </c>
      <c r="AS418" s="105">
        <v>514</v>
      </c>
      <c r="AT418" s="3" t="str">
        <f>IFERROR(MID(VLOOKUP($B418,Seqs!$A:$B,2,0),AU418,1),"")</f>
        <v>W</v>
      </c>
      <c r="AU418" s="3">
        <v>537</v>
      </c>
      <c r="AV418" s="3" t="str">
        <f>IFERROR(MID(VLOOKUP($B418,Seqs!$A:$B,2,0),AW418,1),"")</f>
        <v>T</v>
      </c>
      <c r="AW418" s="3">
        <v>538</v>
      </c>
      <c r="AX418" s="3" t="str">
        <f>IFERROR(MID(VLOOKUP($B418,Seqs!$A:$B,2,0),AY418,1),"")</f>
        <v>T</v>
      </c>
      <c r="AY418" s="3">
        <v>553</v>
      </c>
      <c r="AZ418" s="78" t="str">
        <f>VLOOKUP(B418,Classification!A:D,2,0)</f>
        <v>F</v>
      </c>
      <c r="BA418" s="94" t="str">
        <f>VLOOKUP(B418,Classification!A:D,4,0)</f>
        <v>Frizzled</v>
      </c>
      <c r="BB418" s="92" t="b">
        <f t="shared" si="2905"/>
        <v>1</v>
      </c>
      <c r="BC418" s="23">
        <f t="shared" si="2878"/>
        <v>249</v>
      </c>
      <c r="BD418" s="74" t="s">
        <v>1376</v>
      </c>
      <c r="BE418" s="3" t="s">
        <v>1374</v>
      </c>
      <c r="BF418" s="118">
        <v>3.2</v>
      </c>
      <c r="BG418" s="49" t="s">
        <v>1281</v>
      </c>
      <c r="BH418" s="49" t="s">
        <v>1377</v>
      </c>
      <c r="BI418" s="3"/>
      <c r="BJ418" s="75" t="s">
        <v>1287</v>
      </c>
      <c r="BK418" s="57" t="s">
        <v>1287</v>
      </c>
      <c r="BL418" s="57" t="s">
        <v>1287</v>
      </c>
      <c r="BM418" s="57" t="s">
        <v>1287</v>
      </c>
      <c r="BN418" s="57" t="s">
        <v>1287</v>
      </c>
      <c r="BO418" s="57" t="s">
        <v>1287</v>
      </c>
      <c r="BP418" s="57" t="s">
        <v>1287</v>
      </c>
      <c r="BQ418" s="57" t="s">
        <v>1287</v>
      </c>
      <c r="BR418" s="57" t="s">
        <v>1287</v>
      </c>
      <c r="BS418" s="57" t="s">
        <v>1287</v>
      </c>
      <c r="BT418" s="57" t="s">
        <v>1287</v>
      </c>
      <c r="BU418" s="57" t="s">
        <v>1287</v>
      </c>
      <c r="BV418" s="75">
        <f t="shared" si="2879"/>
        <v>223</v>
      </c>
      <c r="BW418" s="71">
        <f t="shared" si="2880"/>
        <v>256</v>
      </c>
      <c r="BX418" s="72">
        <f t="shared" si="2881"/>
        <v>261</v>
      </c>
      <c r="BY418" s="71" t="str">
        <f t="shared" si="2882"/>
        <v>-</v>
      </c>
      <c r="BZ418" s="72">
        <f t="shared" si="2883"/>
        <v>312</v>
      </c>
      <c r="CA418" s="71" t="str">
        <f t="shared" si="2884"/>
        <v>-</v>
      </c>
      <c r="CB418" s="72">
        <f t="shared" si="2885"/>
        <v>356</v>
      </c>
      <c r="CC418" s="71">
        <f t="shared" si="2886"/>
        <v>390</v>
      </c>
      <c r="CD418" s="72">
        <f t="shared" si="2887"/>
        <v>396</v>
      </c>
      <c r="CE418" s="71">
        <f t="shared" si="2888"/>
        <v>447</v>
      </c>
      <c r="CF418" s="72">
        <f t="shared" si="2889"/>
        <v>514</v>
      </c>
      <c r="CG418" s="71">
        <f t="shared" si="2890"/>
        <v>538</v>
      </c>
      <c r="CH418" s="75">
        <f t="shared" si="2891"/>
        <v>255</v>
      </c>
      <c r="CI418" s="71">
        <f t="shared" si="2892"/>
        <v>260</v>
      </c>
      <c r="CJ418" s="72">
        <f t="shared" si="2893"/>
        <v>285</v>
      </c>
      <c r="CK418" s="72" t="str">
        <f t="shared" si="2894"/>
        <v>-</v>
      </c>
      <c r="CL418" s="72">
        <f t="shared" si="2895"/>
        <v>346</v>
      </c>
      <c r="CM418" s="72" t="str">
        <f t="shared" si="2896"/>
        <v>-</v>
      </c>
      <c r="CN418" s="72">
        <f t="shared" si="2897"/>
        <v>378</v>
      </c>
      <c r="CO418" s="72">
        <f t="shared" si="2898"/>
        <v>392</v>
      </c>
      <c r="CP418" s="72">
        <f t="shared" si="2899"/>
        <v>428</v>
      </c>
      <c r="CQ418" s="72">
        <f t="shared" si="2900"/>
        <v>496</v>
      </c>
      <c r="CR418" s="72">
        <f t="shared" si="2901"/>
        <v>537</v>
      </c>
      <c r="CS418" s="72">
        <f t="shared" si="2902"/>
        <v>553</v>
      </c>
      <c r="CT418" s="23">
        <f t="shared" si="2903"/>
        <v>1</v>
      </c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/>
      <c r="PS418" s="3"/>
      <c r="PT418" s="3"/>
      <c r="PU418" s="3"/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r="SO418" s="3"/>
      <c r="SP418" s="3"/>
      <c r="SQ418" s="3"/>
      <c r="SR418" s="3"/>
      <c r="SS418" s="3"/>
      <c r="ST418" s="3"/>
      <c r="SU418" s="3"/>
      <c r="SV418" s="3"/>
      <c r="SW418" s="3"/>
      <c r="SX418" s="3"/>
      <c r="SY418" s="3"/>
      <c r="SZ418" s="3"/>
      <c r="TA418" s="3"/>
      <c r="TB418" s="3"/>
      <c r="TC418" s="3"/>
      <c r="TD418" s="3"/>
      <c r="TE418" s="3"/>
      <c r="TF418" s="3"/>
      <c r="TG418" s="3"/>
      <c r="TH418" s="3"/>
      <c r="TI418" s="3"/>
      <c r="TJ418" s="3"/>
      <c r="TK418" s="3"/>
      <c r="TL418" s="3"/>
      <c r="TM418" s="3"/>
      <c r="TN418" s="3"/>
      <c r="TO418" s="3"/>
      <c r="TP418" s="3"/>
      <c r="TQ418" s="3"/>
      <c r="TR418" s="3"/>
      <c r="TS418" s="3"/>
      <c r="TT418" s="3"/>
      <c r="TU418" s="3"/>
      <c r="TV418" s="3"/>
      <c r="TW418" s="3"/>
      <c r="TX418" s="3"/>
      <c r="TY418" s="3"/>
      <c r="TZ418" s="3"/>
      <c r="UA418" s="3"/>
      <c r="UB418" s="3"/>
      <c r="UC418" s="3"/>
      <c r="UD418" s="3"/>
      <c r="UE418" s="3"/>
      <c r="UF418" s="3"/>
      <c r="UG418" s="3"/>
      <c r="UH418" s="3"/>
      <c r="UI418" s="3"/>
      <c r="UJ418" s="3"/>
      <c r="UK418" s="3"/>
      <c r="UL418" s="3"/>
      <c r="UM418" s="3"/>
      <c r="UN418" s="3"/>
      <c r="UO418" s="3"/>
      <c r="UP418" s="3"/>
      <c r="UQ418" s="3"/>
      <c r="UR418" s="3"/>
      <c r="US418" s="3"/>
      <c r="UT418" s="3"/>
      <c r="UU418" s="3"/>
      <c r="UV418" s="3"/>
      <c r="UW418" s="3"/>
      <c r="UX418" s="3"/>
      <c r="UY418" s="3"/>
      <c r="UZ418" s="3"/>
      <c r="VA418" s="3"/>
      <c r="VB418" s="3"/>
      <c r="VC418" s="3"/>
      <c r="VD418" s="3"/>
      <c r="VE418" s="3"/>
      <c r="VF418" s="3"/>
      <c r="VG418" s="3"/>
      <c r="VH418" s="3"/>
      <c r="VI418" s="3"/>
      <c r="VJ418" s="3"/>
      <c r="VK418" s="3"/>
      <c r="VL418" s="3"/>
      <c r="VM418" s="3"/>
      <c r="VN418" s="3"/>
      <c r="VO418" s="3"/>
      <c r="VP418" s="3"/>
      <c r="VQ418" s="3"/>
      <c r="VR418" s="3"/>
      <c r="VS418" s="3"/>
      <c r="VT418" s="3"/>
      <c r="VU418" s="3"/>
      <c r="VV418" s="3"/>
      <c r="VW418" s="3"/>
      <c r="VX418" s="3"/>
      <c r="VY418" s="3"/>
      <c r="VZ418" s="3"/>
      <c r="WA418" s="3"/>
      <c r="WB418" s="3"/>
      <c r="WC418" s="3"/>
      <c r="WD418" s="3"/>
      <c r="WE418" s="3"/>
      <c r="WF418" s="3"/>
      <c r="WG418" s="3"/>
      <c r="WH418" s="3"/>
      <c r="WI418" s="3"/>
      <c r="WJ418" s="3"/>
      <c r="WK418" s="3"/>
      <c r="WL418" s="3"/>
      <c r="WM418" s="3"/>
      <c r="WN418" s="3"/>
      <c r="WO418" s="3"/>
      <c r="WP418" s="3"/>
      <c r="WQ418" s="3"/>
      <c r="WR418" s="3"/>
      <c r="WS418" s="3"/>
      <c r="WT418" s="3"/>
      <c r="WU418" s="3"/>
      <c r="WV418" s="3"/>
      <c r="WW418" s="3"/>
      <c r="WX418" s="3"/>
      <c r="WY418" s="3"/>
      <c r="WZ418" s="3"/>
      <c r="XA418" s="3"/>
      <c r="XB418" s="3"/>
      <c r="XC418" s="3"/>
      <c r="XD418" s="3"/>
      <c r="XE418" s="3"/>
      <c r="XF418" s="3"/>
      <c r="XG418" s="3"/>
      <c r="XH418" s="3"/>
      <c r="XI418" s="3"/>
      <c r="XJ418" s="3"/>
      <c r="XK418" s="3"/>
      <c r="XL418" s="3"/>
      <c r="XM418" s="3"/>
      <c r="XN418" s="3"/>
      <c r="XO418" s="3"/>
      <c r="XP418" s="3"/>
      <c r="XQ418" s="3"/>
      <c r="XR418" s="3"/>
      <c r="XS418" s="3"/>
      <c r="XT418" s="3"/>
      <c r="XU418" s="3"/>
      <c r="XV418" s="3"/>
      <c r="XW418" s="3"/>
      <c r="XX418" s="3"/>
      <c r="XY418" s="3"/>
      <c r="XZ418" s="3"/>
      <c r="YA418" s="3"/>
      <c r="YB418" s="3"/>
      <c r="YC418" s="3"/>
      <c r="YD418" s="3"/>
      <c r="YE418" s="3"/>
      <c r="YF418" s="3"/>
      <c r="YG418" s="3"/>
      <c r="YH418" s="3"/>
      <c r="YI418" s="3"/>
      <c r="YJ418" s="3"/>
      <c r="YK418" s="3"/>
      <c r="YL418" s="3"/>
      <c r="YM418" s="3"/>
      <c r="YN418" s="3"/>
      <c r="YO418" s="3"/>
      <c r="YP418" s="3"/>
      <c r="YQ418" s="3"/>
      <c r="YR418" s="3"/>
      <c r="YS418" s="3"/>
      <c r="YT418" s="3"/>
      <c r="YU418" s="3"/>
      <c r="YV418" s="3"/>
      <c r="YW418" s="3"/>
      <c r="YX418" s="3"/>
      <c r="YY418" s="3"/>
      <c r="YZ418" s="3"/>
      <c r="ZA418" s="3"/>
      <c r="ZB418" s="3"/>
      <c r="ZC418" s="3"/>
      <c r="ZD418" s="3"/>
      <c r="ZE418" s="3"/>
      <c r="ZF418" s="3"/>
      <c r="ZG418" s="3"/>
      <c r="ZH418" s="3"/>
      <c r="ZI418" s="3"/>
      <c r="ZJ418" s="3"/>
      <c r="ZK418" s="3"/>
      <c r="ZL418" s="3"/>
      <c r="ZM418" s="3"/>
      <c r="ZN418" s="3"/>
      <c r="ZO418" s="3"/>
      <c r="ZP418" s="3"/>
      <c r="ZQ418" s="3"/>
      <c r="ZR418" s="3"/>
      <c r="ZS418" s="3"/>
      <c r="ZT418" s="3"/>
      <c r="ZU418" s="3"/>
      <c r="ZV418" s="3"/>
      <c r="ZW418" s="3"/>
      <c r="ZX418" s="3"/>
      <c r="ZY418" s="3"/>
      <c r="ZZ418" s="3"/>
      <c r="AAA418" s="3"/>
      <c r="AAB418" s="3"/>
      <c r="AAC418" s="3"/>
      <c r="AAD418" s="3"/>
      <c r="AAE418" s="3"/>
      <c r="AAF418" s="3"/>
      <c r="AAG418" s="3"/>
      <c r="AAH418" s="3"/>
      <c r="AAI418" s="3"/>
      <c r="AAJ418" s="3"/>
      <c r="AAK418" s="3"/>
      <c r="AAL418" s="3"/>
      <c r="AAM418" s="3"/>
      <c r="AAN418" s="3"/>
      <c r="AAO418" s="3"/>
      <c r="AAP418" s="3"/>
      <c r="AAQ418" s="3"/>
      <c r="AAR418" s="3"/>
      <c r="AAS418" s="3"/>
      <c r="AAT418" s="3"/>
      <c r="AAU418" s="3"/>
      <c r="AAV418" s="3"/>
      <c r="AAW418" s="3"/>
      <c r="AAX418" s="3"/>
      <c r="AAY418" s="3"/>
      <c r="AAZ418" s="3"/>
      <c r="ABA418" s="3"/>
      <c r="ABB418" s="3"/>
      <c r="ABC418" s="3"/>
      <c r="ABD418" s="3"/>
      <c r="ABE418" s="3"/>
      <c r="ABF418" s="3"/>
      <c r="ABG418" s="3"/>
      <c r="ABH418" s="3"/>
      <c r="ABI418" s="3"/>
      <c r="ABJ418" s="3"/>
      <c r="ABK418" s="3"/>
      <c r="ABL418" s="3"/>
      <c r="ABM418" s="3"/>
      <c r="ABN418" s="3"/>
      <c r="ABO418" s="3"/>
      <c r="ABP418" s="3"/>
      <c r="ABQ418" s="3"/>
      <c r="ABR418" s="3"/>
      <c r="ABS418" s="3"/>
      <c r="ABT418" s="3"/>
      <c r="ABU418" s="3"/>
      <c r="ABV418" s="3"/>
      <c r="ABW418" s="3"/>
      <c r="ABX418" s="3"/>
      <c r="ABY418" s="3"/>
      <c r="ABZ418" s="3"/>
      <c r="ACA418" s="3"/>
      <c r="ACB418" s="3"/>
      <c r="ACC418" s="3"/>
      <c r="ACD418" s="3"/>
      <c r="ACE418" s="3"/>
      <c r="ACF418" s="3"/>
      <c r="ACG418" s="3"/>
      <c r="ACH418" s="3"/>
      <c r="ACI418" s="3"/>
      <c r="ACJ418" s="3"/>
      <c r="ACK418" s="3"/>
      <c r="ACL418" s="3"/>
      <c r="ACM418" s="3"/>
      <c r="ACN418" s="3"/>
      <c r="ACO418" s="3"/>
      <c r="ACP418" s="3"/>
      <c r="ACQ418" s="3"/>
      <c r="ACR418" s="3"/>
      <c r="ACS418" s="3"/>
      <c r="ACT418" s="3"/>
      <c r="ACU418" s="3"/>
      <c r="ACV418" s="3"/>
      <c r="ACW418" s="3"/>
      <c r="ACX418" s="3"/>
      <c r="ACY418" s="3"/>
      <c r="ACZ418" s="3"/>
      <c r="ADA418" s="3"/>
      <c r="ADB418" s="3"/>
      <c r="ADC418" s="3"/>
      <c r="ADD418" s="3"/>
      <c r="ADE418" s="3"/>
      <c r="ADF418" s="3"/>
      <c r="ADG418" s="3"/>
      <c r="ADH418" s="3"/>
      <c r="ADI418" s="3"/>
      <c r="ADJ418" s="3"/>
      <c r="ADK418" s="3"/>
      <c r="ADL418" s="3"/>
      <c r="ADM418" s="3"/>
      <c r="ADN418" s="3"/>
      <c r="ADO418" s="3"/>
      <c r="ADP418" s="3"/>
      <c r="ADQ418" s="3"/>
      <c r="ADR418" s="3"/>
      <c r="ADS418" s="3"/>
      <c r="ADT418" s="3"/>
      <c r="ADU418" s="3"/>
      <c r="ADV418" s="3"/>
      <c r="ADW418" s="3"/>
      <c r="ADX418" s="3"/>
      <c r="ADY418" s="3"/>
      <c r="ADZ418" s="3"/>
      <c r="AEA418" s="3"/>
      <c r="AEB418" s="3"/>
      <c r="AEC418" s="3"/>
      <c r="AED418" s="3"/>
      <c r="AEE418" s="3"/>
      <c r="AEF418" s="3"/>
      <c r="AEG418" s="3"/>
      <c r="AEH418" s="3"/>
      <c r="AEI418" s="3"/>
      <c r="AEJ418" s="3"/>
      <c r="AEK418" s="3"/>
      <c r="AEL418" s="3"/>
      <c r="AEM418" s="3"/>
      <c r="AEN418" s="3"/>
      <c r="AEO418" s="3"/>
      <c r="AEP418" s="3"/>
      <c r="AEQ418" s="3"/>
      <c r="AER418" s="3"/>
      <c r="AES418" s="3"/>
      <c r="AET418" s="3"/>
      <c r="AEU418" s="3"/>
      <c r="AEV418" s="3"/>
      <c r="AEW418" s="3"/>
      <c r="AEX418" s="3"/>
      <c r="AEY418" s="3"/>
      <c r="AEZ418" s="3"/>
      <c r="AFA418" s="3"/>
      <c r="AFB418" s="3"/>
      <c r="AFC418" s="3"/>
      <c r="AFD418" s="3"/>
      <c r="AFE418" s="3"/>
      <c r="AFF418" s="3"/>
      <c r="AFG418" s="3"/>
      <c r="AFH418" s="3"/>
      <c r="AFI418" s="3"/>
      <c r="AFJ418" s="3"/>
      <c r="AFK418" s="3"/>
      <c r="AFL418" s="3"/>
      <c r="AFM418" s="3"/>
      <c r="AFN418" s="3"/>
      <c r="AFO418" s="3"/>
      <c r="AFP418" s="3"/>
      <c r="AFQ418" s="3"/>
      <c r="AFR418" s="3"/>
      <c r="AFS418" s="3"/>
      <c r="AFT418" s="3"/>
      <c r="AFU418" s="3"/>
      <c r="AFV418" s="3"/>
      <c r="AFW418" s="3"/>
      <c r="AFX418" s="3"/>
      <c r="AFY418" s="3"/>
      <c r="AFZ418" s="3"/>
      <c r="AGA418" s="3"/>
      <c r="AGB418" s="3"/>
      <c r="AGC418" s="3"/>
      <c r="AGD418" s="3"/>
      <c r="AGE418" s="3"/>
      <c r="AGF418" s="3"/>
      <c r="AGG418" s="3"/>
      <c r="AGH418" s="3"/>
      <c r="AGI418" s="3"/>
      <c r="AGJ418" s="3"/>
      <c r="AGK418" s="3"/>
      <c r="AGL418" s="3"/>
      <c r="AGM418" s="3"/>
      <c r="AGN418" s="3"/>
      <c r="AGO418" s="3"/>
      <c r="AGP418" s="3"/>
      <c r="AGQ418" s="3"/>
      <c r="AGR418" s="3"/>
      <c r="AGS418" s="3"/>
      <c r="AGT418" s="3"/>
      <c r="AGU418" s="3"/>
      <c r="AGV418" s="3"/>
      <c r="AGW418" s="3"/>
      <c r="AGX418" s="3"/>
      <c r="AGY418" s="3"/>
      <c r="AGZ418" s="3"/>
      <c r="AHA418" s="3"/>
      <c r="AHB418" s="3"/>
      <c r="AHC418" s="3"/>
      <c r="AHD418" s="3"/>
      <c r="AHE418" s="3"/>
      <c r="AHF418" s="3"/>
      <c r="AHG418" s="3"/>
      <c r="AHH418" s="3"/>
      <c r="AHI418" s="3"/>
      <c r="AHJ418" s="3"/>
      <c r="AHK418" s="3"/>
      <c r="AHL418" s="3"/>
      <c r="AHM418" s="3"/>
      <c r="AHN418" s="3"/>
      <c r="AHO418" s="3"/>
      <c r="AHP418" s="3"/>
      <c r="AHQ418" s="3"/>
      <c r="AHR418" s="3"/>
      <c r="AHS418" s="3"/>
      <c r="AHT418" s="3"/>
      <c r="AHU418" s="3"/>
      <c r="AHV418" s="3"/>
      <c r="AHW418" s="3"/>
      <c r="AHX418" s="3"/>
      <c r="AHY418" s="3"/>
      <c r="AHZ418" s="3"/>
      <c r="AIA418" s="3"/>
      <c r="AIB418" s="3"/>
      <c r="AIC418" s="3"/>
      <c r="AID418" s="3"/>
      <c r="AIE418" s="3"/>
      <c r="AIF418" s="3"/>
      <c r="AIG418" s="3"/>
      <c r="AIH418" s="3"/>
      <c r="AII418" s="3"/>
      <c r="AIJ418" s="3"/>
      <c r="AIK418" s="3"/>
      <c r="AIL418" s="3"/>
      <c r="AIM418" s="3"/>
      <c r="AIN418" s="3"/>
      <c r="AIO418" s="3"/>
      <c r="AIP418" s="3"/>
      <c r="AIQ418" s="3"/>
      <c r="AIR418" s="3"/>
      <c r="AIS418" s="3"/>
      <c r="AIT418" s="3"/>
      <c r="AIU418" s="3"/>
      <c r="AIV418" s="3"/>
      <c r="AIW418" s="3"/>
      <c r="AIX418" s="3"/>
      <c r="AIY418" s="3"/>
      <c r="AIZ418" s="3"/>
      <c r="AJA418" s="3"/>
      <c r="AJB418" s="3"/>
      <c r="AJC418" s="3"/>
      <c r="AJD418" s="3"/>
      <c r="AJE418" s="3"/>
      <c r="AJF418" s="3"/>
      <c r="AJG418" s="3"/>
      <c r="AJH418" s="3"/>
      <c r="AJI418" s="3"/>
      <c r="AJJ418" s="3"/>
      <c r="AJK418" s="3"/>
      <c r="AJL418" s="3"/>
      <c r="AJM418" s="3"/>
      <c r="AJN418" s="3"/>
      <c r="AJO418" s="3"/>
      <c r="AJP418" s="3"/>
      <c r="AJQ418" s="3"/>
      <c r="AJR418" s="3"/>
      <c r="AJS418" s="3"/>
      <c r="AJT418" s="3"/>
      <c r="AJU418" s="3"/>
      <c r="AJV418" s="3"/>
      <c r="AJW418" s="3"/>
      <c r="AJX418" s="3"/>
      <c r="AJY418" s="3"/>
      <c r="AJZ418" s="3"/>
      <c r="AKA418" s="3"/>
      <c r="AKB418" s="3"/>
      <c r="AKC418" s="3"/>
      <c r="AKD418" s="3"/>
      <c r="AKE418" s="3"/>
      <c r="AKF418" s="3"/>
      <c r="AKG418" s="3"/>
      <c r="AKH418" s="3"/>
      <c r="AKI418" s="3"/>
      <c r="AKJ418" s="3"/>
      <c r="AKK418" s="3"/>
      <c r="AKL418" s="3"/>
      <c r="AKM418" s="3"/>
      <c r="AKN418" s="3"/>
      <c r="AKO418" s="3"/>
      <c r="AKP418" s="3"/>
      <c r="AKQ418" s="3"/>
      <c r="AKR418" s="3"/>
      <c r="AKS418" s="3"/>
      <c r="AKT418" s="3"/>
      <c r="AKU418" s="3"/>
      <c r="AKV418" s="3"/>
      <c r="AKW418" s="3"/>
      <c r="AKX418" s="3"/>
      <c r="AKY418" s="3"/>
      <c r="AKZ418" s="3"/>
      <c r="ALA418" s="3"/>
      <c r="ALB418" s="3"/>
      <c r="ALC418" s="3"/>
      <c r="ALD418" s="3"/>
      <c r="ALE418" s="3"/>
      <c r="ALF418" s="3"/>
      <c r="ALG418" s="3"/>
      <c r="ALH418" s="3"/>
      <c r="ALI418" s="3"/>
      <c r="ALJ418" s="3"/>
      <c r="ALK418" s="3"/>
      <c r="ALL418" s="3"/>
      <c r="ALM418" s="3"/>
      <c r="ALN418" s="3"/>
      <c r="ALO418" s="3"/>
      <c r="ALP418" s="3"/>
      <c r="ALQ418" s="3"/>
      <c r="ALR418" s="3"/>
      <c r="ALS418" s="3"/>
      <c r="ALT418" s="3"/>
      <c r="ALU418" s="3"/>
      <c r="ALV418" s="3"/>
      <c r="ALW418" s="3"/>
      <c r="ALX418" s="3"/>
      <c r="ALY418" s="3"/>
      <c r="ALZ418" s="3"/>
      <c r="AMA418" s="3"/>
      <c r="AMB418" s="3"/>
      <c r="AMC418" s="3"/>
      <c r="AMD418" s="3"/>
      <c r="AME418" s="3"/>
      <c r="AMF418" s="3"/>
      <c r="AMG418" s="3"/>
      <c r="AMH418" s="3"/>
      <c r="AMI418" s="3"/>
      <c r="AMJ418" s="3"/>
      <c r="AMK418" s="3"/>
      <c r="AML418" s="3"/>
      <c r="AMM418" s="3"/>
      <c r="AMN418" s="3"/>
      <c r="AMO418" s="3"/>
      <c r="AMP418" s="1"/>
    </row>
    <row r="419" spans="1:1030" s="6" customFormat="1" x14ac:dyDescent="0.2">
      <c r="A419" s="3" t="str">
        <f t="shared" si="2904"/>
        <v>smo_human_5L7I</v>
      </c>
      <c r="B419" s="3" t="s">
        <v>33</v>
      </c>
      <c r="C419" s="3" t="s">
        <v>1353</v>
      </c>
      <c r="D419" s="3" t="str">
        <f>IFERROR(MID(VLOOKUP($B419,Seqs!$A:$B,2,0),E419,1),"")</f>
        <v>T</v>
      </c>
      <c r="E419" s="105">
        <v>223</v>
      </c>
      <c r="F419" s="3" t="str">
        <f>IFERROR(MID(VLOOKUP($B419,Seqs!$A:$B,2,0),G419,1),"")</f>
        <v>D</v>
      </c>
      <c r="G419" s="3">
        <v>255</v>
      </c>
      <c r="H419" s="3" t="str">
        <f>IFERROR(MID(VLOOKUP($B419,Seqs!$A:$B,2,0),I419,1),"")</f>
        <v>W</v>
      </c>
      <c r="I419" s="23">
        <v>256</v>
      </c>
      <c r="J419" s="3" t="str">
        <f>IFERROR(MID(VLOOKUP($B419,Seqs!$A:$B,2,0),K419,1),"")</f>
        <v>N</v>
      </c>
      <c r="K419" s="23">
        <v>260</v>
      </c>
      <c r="L419" s="3" t="str">
        <f>IFERROR(MID(VLOOKUP($B419,Seqs!$A:$B,2,0),M419,1),"")</f>
        <v>R</v>
      </c>
      <c r="M419" s="3">
        <v>261</v>
      </c>
      <c r="N419" s="3" t="str">
        <f>IFERROR(MID(VLOOKUP($B419,Seqs!$A:$B,2,0),O419,1),"")</f>
        <v>F</v>
      </c>
      <c r="O419" s="3">
        <v>285</v>
      </c>
      <c r="P419" s="3" t="str">
        <f>IFERROR(MID(VLOOKUP($B419,Seqs!$A:$B,2,0),Q419,1),"")</f>
        <v/>
      </c>
      <c r="Q419" s="3" t="s">
        <v>23</v>
      </c>
      <c r="R419" s="3" t="str">
        <f>IFERROR(MID(VLOOKUP($B419,Seqs!$A:$B,2,0),S419,1),"")</f>
        <v/>
      </c>
      <c r="S419" s="3" t="s">
        <v>23</v>
      </c>
      <c r="T419" s="3" t="str">
        <f>IFERROR(MID(VLOOKUP($B419,Seqs!$A:$B,2,0),U419,1),"")</f>
        <v>L</v>
      </c>
      <c r="U419" s="3">
        <v>312</v>
      </c>
      <c r="V419" s="3" t="str">
        <f>IFERROR(MID(VLOOKUP($B419,Seqs!$A:$B,2,0),W419,1),"")</f>
        <v>L</v>
      </c>
      <c r="W419" s="3">
        <v>346</v>
      </c>
      <c r="X419" s="3" t="str">
        <f>IFERROR(MID(VLOOKUP($B419,Seqs!$A:$B,2,0),Y419,1),"")</f>
        <v/>
      </c>
      <c r="Y419" s="3" t="s">
        <v>23</v>
      </c>
      <c r="Z419" s="3" t="str">
        <f>IFERROR(MID(VLOOKUP($B419,Seqs!$A:$B,2,0),AA419,1),"")</f>
        <v/>
      </c>
      <c r="AA419" s="3" t="s">
        <v>23</v>
      </c>
      <c r="AB419" s="3" t="str">
        <f>IFERROR(MID(VLOOKUP($B419,Seqs!$A:$B,2,0),AC419,1),"")</f>
        <v>K</v>
      </c>
      <c r="AC419" s="9">
        <v>356</v>
      </c>
      <c r="AD419" s="3" t="str">
        <f>IFERROR(MID(VLOOKUP($B419,Seqs!$A:$B,2,0),AE419,1),"")</f>
        <v>V</v>
      </c>
      <c r="AE419" s="3">
        <v>378</v>
      </c>
      <c r="AF419" s="3" t="str">
        <f>IFERROR(MID(VLOOKUP($B419,Seqs!$A:$B,2,0),AG419,1),"")</f>
        <v>C</v>
      </c>
      <c r="AG419" s="3">
        <v>390</v>
      </c>
      <c r="AH419" s="3" t="str">
        <f>IFERROR(MID(VLOOKUP($B419,Seqs!$A:$B,2,0),AI419,1),"")</f>
        <v>V</v>
      </c>
      <c r="AI419" s="3">
        <v>392</v>
      </c>
      <c r="AJ419" s="3" t="str">
        <f>IFERROR(MID(VLOOKUP($B419,Seqs!$A:$B,2,0),AK419,1),"")</f>
        <v>N</v>
      </c>
      <c r="AK419" s="105">
        <v>396</v>
      </c>
      <c r="AL419" s="3" t="str">
        <f>IFERROR(MID(VLOOKUP($B419,Seqs!$A:$B,2,0),AM419,1),"")</f>
        <v>S</v>
      </c>
      <c r="AM419" s="3">
        <v>428</v>
      </c>
      <c r="AN419" s="3" t="str">
        <f>IFERROR(MID(VLOOKUP($B419,Seqs!$A:$B,2,0),AO419,1),"")</f>
        <v>E</v>
      </c>
      <c r="AO419" s="3">
        <v>447</v>
      </c>
      <c r="AP419" s="3" t="str">
        <f>IFERROR(MID(VLOOKUP($B419,Seqs!$A:$B,2,0),AQ419,1),"")</f>
        <v>N</v>
      </c>
      <c r="AQ419" s="3">
        <v>493</v>
      </c>
      <c r="AR419" s="3" t="str">
        <f>IFERROR(MID(VLOOKUP($B419,Seqs!$A:$B,2,0),AS419,1),"")</f>
        <v>S</v>
      </c>
      <c r="AS419" s="105">
        <v>514</v>
      </c>
      <c r="AT419" s="3" t="str">
        <f>IFERROR(MID(VLOOKUP($B419,Seqs!$A:$B,2,0),AU419,1),"")</f>
        <v>W</v>
      </c>
      <c r="AU419" s="3">
        <v>537</v>
      </c>
      <c r="AV419" s="3" t="str">
        <f>IFERROR(MID(VLOOKUP($B419,Seqs!$A:$B,2,0),AW419,1),"")</f>
        <v>T</v>
      </c>
      <c r="AW419" s="3">
        <v>538</v>
      </c>
      <c r="AX419" s="3" t="str">
        <f>IFERROR(MID(VLOOKUP($B419,Seqs!$A:$B,2,0),AY419,1),"")</f>
        <v>R</v>
      </c>
      <c r="AY419" s="3">
        <v>551</v>
      </c>
      <c r="AZ419" s="78" t="str">
        <f>VLOOKUP(B419,Classification!A:D,2,0)</f>
        <v>F</v>
      </c>
      <c r="BA419" s="94" t="str">
        <f>VLOOKUP(B419,Classification!A:D,4,0)</f>
        <v>Frizzled</v>
      </c>
      <c r="BB419" s="92" t="b">
        <f t="shared" si="2905"/>
        <v>1</v>
      </c>
      <c r="BC419" s="23">
        <f t="shared" si="2878"/>
        <v>244</v>
      </c>
      <c r="BD419" s="74" t="s">
        <v>23</v>
      </c>
      <c r="BE419" s="3" t="s">
        <v>1374</v>
      </c>
      <c r="BF419" s="118">
        <v>3.3</v>
      </c>
      <c r="BG419" s="49" t="s">
        <v>1281</v>
      </c>
      <c r="BH419" s="49" t="s">
        <v>1377</v>
      </c>
      <c r="BI419" s="3" t="s">
        <v>1361</v>
      </c>
      <c r="BJ419" s="75" t="s">
        <v>1287</v>
      </c>
      <c r="BK419" s="57" t="s">
        <v>1287</v>
      </c>
      <c r="BL419" s="57" t="s">
        <v>1287</v>
      </c>
      <c r="BM419" s="57" t="s">
        <v>1287</v>
      </c>
      <c r="BN419" s="57" t="s">
        <v>1287</v>
      </c>
      <c r="BO419" s="57" t="s">
        <v>1287</v>
      </c>
      <c r="BP419" s="57" t="s">
        <v>1287</v>
      </c>
      <c r="BQ419" s="57" t="s">
        <v>1287</v>
      </c>
      <c r="BR419" s="57" t="s">
        <v>1287</v>
      </c>
      <c r="BS419" s="57" t="s">
        <v>1287</v>
      </c>
      <c r="BT419" s="57" t="s">
        <v>1287</v>
      </c>
      <c r="BU419" s="57" t="s">
        <v>1287</v>
      </c>
      <c r="BV419" s="75">
        <f t="shared" si="2879"/>
        <v>223</v>
      </c>
      <c r="BW419" s="71">
        <f t="shared" si="2880"/>
        <v>256</v>
      </c>
      <c r="BX419" s="72">
        <f t="shared" si="2881"/>
        <v>261</v>
      </c>
      <c r="BY419" s="71" t="str">
        <f t="shared" si="2882"/>
        <v>-</v>
      </c>
      <c r="BZ419" s="72">
        <f t="shared" si="2883"/>
        <v>312</v>
      </c>
      <c r="CA419" s="71" t="str">
        <f t="shared" si="2884"/>
        <v>-</v>
      </c>
      <c r="CB419" s="72">
        <f t="shared" si="2885"/>
        <v>356</v>
      </c>
      <c r="CC419" s="71">
        <f t="shared" si="2886"/>
        <v>390</v>
      </c>
      <c r="CD419" s="72">
        <f t="shared" si="2887"/>
        <v>396</v>
      </c>
      <c r="CE419" s="71">
        <f t="shared" si="2888"/>
        <v>447</v>
      </c>
      <c r="CF419" s="72">
        <f t="shared" si="2889"/>
        <v>514</v>
      </c>
      <c r="CG419" s="71">
        <f t="shared" si="2890"/>
        <v>538</v>
      </c>
      <c r="CH419" s="75">
        <f t="shared" si="2891"/>
        <v>255</v>
      </c>
      <c r="CI419" s="71">
        <f t="shared" si="2892"/>
        <v>260</v>
      </c>
      <c r="CJ419" s="72">
        <f t="shared" si="2893"/>
        <v>285</v>
      </c>
      <c r="CK419" s="72" t="str">
        <f t="shared" si="2894"/>
        <v>-</v>
      </c>
      <c r="CL419" s="72">
        <f t="shared" si="2895"/>
        <v>346</v>
      </c>
      <c r="CM419" s="72" t="str">
        <f t="shared" si="2896"/>
        <v>-</v>
      </c>
      <c r="CN419" s="72">
        <f t="shared" si="2897"/>
        <v>378</v>
      </c>
      <c r="CO419" s="72">
        <f t="shared" si="2898"/>
        <v>392</v>
      </c>
      <c r="CP419" s="72">
        <f t="shared" si="2899"/>
        <v>428</v>
      </c>
      <c r="CQ419" s="72">
        <f t="shared" si="2900"/>
        <v>493</v>
      </c>
      <c r="CR419" s="72">
        <f t="shared" si="2901"/>
        <v>537</v>
      </c>
      <c r="CS419" s="72">
        <f t="shared" si="2902"/>
        <v>551</v>
      </c>
      <c r="CT419" s="23">
        <f t="shared" si="2903"/>
        <v>1</v>
      </c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  <c r="XK419" s="3"/>
      <c r="XL419" s="3"/>
      <c r="XM419" s="3"/>
      <c r="XN419" s="3"/>
      <c r="XO419" s="3"/>
      <c r="XP419" s="3"/>
      <c r="XQ419" s="3"/>
      <c r="XR419" s="3"/>
      <c r="XS419" s="3"/>
      <c r="XT419" s="3"/>
      <c r="XU419" s="3"/>
      <c r="XV419" s="3"/>
      <c r="XW419" s="3"/>
      <c r="XX419" s="3"/>
      <c r="XY419" s="3"/>
      <c r="XZ419" s="3"/>
      <c r="YA419" s="3"/>
      <c r="YB419" s="3"/>
      <c r="YC419" s="3"/>
      <c r="YD419" s="3"/>
      <c r="YE419" s="3"/>
      <c r="YF419" s="3"/>
      <c r="YG419" s="3"/>
      <c r="YH419" s="3"/>
      <c r="YI419" s="3"/>
      <c r="YJ419" s="3"/>
      <c r="YK419" s="3"/>
      <c r="YL419" s="3"/>
      <c r="YM419" s="3"/>
      <c r="YN419" s="3"/>
      <c r="YO419" s="3"/>
      <c r="YP419" s="3"/>
      <c r="YQ419" s="3"/>
      <c r="YR419" s="3"/>
      <c r="YS419" s="3"/>
      <c r="YT419" s="3"/>
      <c r="YU419" s="3"/>
      <c r="YV419" s="3"/>
      <c r="YW419" s="3"/>
      <c r="YX419" s="3"/>
      <c r="YY419" s="3"/>
      <c r="YZ419" s="3"/>
      <c r="ZA419" s="3"/>
      <c r="ZB419" s="3"/>
      <c r="ZC419" s="3"/>
      <c r="ZD419" s="3"/>
      <c r="ZE419" s="3"/>
      <c r="ZF419" s="3"/>
      <c r="ZG419" s="3"/>
      <c r="ZH419" s="3"/>
      <c r="ZI419" s="3"/>
      <c r="ZJ419" s="3"/>
      <c r="ZK419" s="3"/>
      <c r="ZL419" s="3"/>
      <c r="ZM419" s="3"/>
      <c r="ZN419" s="3"/>
      <c r="ZO419" s="3"/>
      <c r="ZP419" s="3"/>
      <c r="ZQ419" s="3"/>
      <c r="ZR419" s="3"/>
      <c r="ZS419" s="3"/>
      <c r="ZT419" s="3"/>
      <c r="ZU419" s="3"/>
      <c r="ZV419" s="3"/>
      <c r="ZW419" s="3"/>
      <c r="ZX419" s="3"/>
      <c r="ZY419" s="3"/>
      <c r="ZZ419" s="3"/>
      <c r="AAA419" s="3"/>
      <c r="AAB419" s="3"/>
      <c r="AAC419" s="3"/>
      <c r="AAD419" s="3"/>
      <c r="AAE419" s="3"/>
      <c r="AAF419" s="3"/>
      <c r="AAG419" s="3"/>
      <c r="AAH419" s="3"/>
      <c r="AAI419" s="3"/>
      <c r="AAJ419" s="3"/>
      <c r="AAK419" s="3"/>
      <c r="AAL419" s="3"/>
      <c r="AAM419" s="3"/>
      <c r="AAN419" s="3"/>
      <c r="AAO419" s="3"/>
      <c r="AAP419" s="3"/>
      <c r="AAQ419" s="3"/>
      <c r="AAR419" s="3"/>
      <c r="AAS419" s="3"/>
      <c r="AAT419" s="3"/>
      <c r="AAU419" s="3"/>
      <c r="AAV419" s="3"/>
      <c r="AAW419" s="3"/>
      <c r="AAX419" s="3"/>
      <c r="AAY419" s="3"/>
      <c r="AAZ419" s="3"/>
      <c r="ABA419" s="3"/>
      <c r="ABB419" s="3"/>
      <c r="ABC419" s="3"/>
      <c r="ABD419" s="3"/>
      <c r="ABE419" s="3"/>
      <c r="ABF419" s="3"/>
      <c r="ABG419" s="3"/>
      <c r="ABH419" s="3"/>
      <c r="ABI419" s="3"/>
      <c r="ABJ419" s="3"/>
      <c r="ABK419" s="3"/>
      <c r="ABL419" s="3"/>
      <c r="ABM419" s="3"/>
      <c r="ABN419" s="3"/>
      <c r="ABO419" s="3"/>
      <c r="ABP419" s="3"/>
      <c r="ABQ419" s="3"/>
      <c r="ABR419" s="3"/>
      <c r="ABS419" s="3"/>
      <c r="ABT419" s="3"/>
      <c r="ABU419" s="3"/>
      <c r="ABV419" s="3"/>
      <c r="ABW419" s="3"/>
      <c r="ABX419" s="3"/>
      <c r="ABY419" s="3"/>
      <c r="ABZ419" s="3"/>
      <c r="ACA419" s="3"/>
      <c r="ACB419" s="3"/>
      <c r="ACC419" s="3"/>
      <c r="ACD419" s="3"/>
      <c r="ACE419" s="3"/>
      <c r="ACF419" s="3"/>
      <c r="ACG419" s="3"/>
      <c r="ACH419" s="3"/>
      <c r="ACI419" s="3"/>
      <c r="ACJ419" s="3"/>
      <c r="ACK419" s="3"/>
      <c r="ACL419" s="3"/>
      <c r="ACM419" s="3"/>
      <c r="ACN419" s="3"/>
      <c r="ACO419" s="3"/>
      <c r="ACP419" s="3"/>
      <c r="ACQ419" s="3"/>
      <c r="ACR419" s="3"/>
      <c r="ACS419" s="3"/>
      <c r="ACT419" s="3"/>
      <c r="ACU419" s="3"/>
      <c r="ACV419" s="3"/>
      <c r="ACW419" s="3"/>
      <c r="ACX419" s="3"/>
      <c r="ACY419" s="3"/>
      <c r="ACZ419" s="3"/>
      <c r="ADA419" s="3"/>
      <c r="ADB419" s="3"/>
      <c r="ADC419" s="3"/>
      <c r="ADD419" s="3"/>
      <c r="ADE419" s="3"/>
      <c r="ADF419" s="3"/>
      <c r="ADG419" s="3"/>
      <c r="ADH419" s="3"/>
      <c r="ADI419" s="3"/>
      <c r="ADJ419" s="3"/>
      <c r="ADK419" s="3"/>
      <c r="ADL419" s="3"/>
      <c r="ADM419" s="3"/>
      <c r="ADN419" s="3"/>
      <c r="ADO419" s="3"/>
      <c r="ADP419" s="3"/>
      <c r="ADQ419" s="3"/>
      <c r="ADR419" s="3"/>
      <c r="ADS419" s="3"/>
      <c r="ADT419" s="3"/>
      <c r="ADU419" s="3"/>
      <c r="ADV419" s="3"/>
      <c r="ADW419" s="3"/>
      <c r="ADX419" s="3"/>
      <c r="ADY419" s="3"/>
      <c r="ADZ419" s="3"/>
      <c r="AEA419" s="3"/>
      <c r="AEB419" s="3"/>
      <c r="AEC419" s="3"/>
      <c r="AED419" s="3"/>
      <c r="AEE419" s="3"/>
      <c r="AEF419" s="3"/>
      <c r="AEG419" s="3"/>
      <c r="AEH419" s="3"/>
      <c r="AEI419" s="3"/>
      <c r="AEJ419" s="3"/>
      <c r="AEK419" s="3"/>
      <c r="AEL419" s="3"/>
      <c r="AEM419" s="3"/>
      <c r="AEN419" s="3"/>
      <c r="AEO419" s="3"/>
      <c r="AEP419" s="3"/>
      <c r="AEQ419" s="3"/>
      <c r="AER419" s="3"/>
      <c r="AES419" s="3"/>
      <c r="AET419" s="3"/>
      <c r="AEU419" s="3"/>
      <c r="AEV419" s="3"/>
      <c r="AEW419" s="3"/>
      <c r="AEX419" s="3"/>
      <c r="AEY419" s="3"/>
      <c r="AEZ419" s="3"/>
      <c r="AFA419" s="3"/>
      <c r="AFB419" s="3"/>
      <c r="AFC419" s="3"/>
      <c r="AFD419" s="3"/>
      <c r="AFE419" s="3"/>
      <c r="AFF419" s="3"/>
      <c r="AFG419" s="3"/>
      <c r="AFH419" s="3"/>
      <c r="AFI419" s="3"/>
      <c r="AFJ419" s="3"/>
      <c r="AFK419" s="3"/>
      <c r="AFL419" s="3"/>
      <c r="AFM419" s="3"/>
      <c r="AFN419" s="3"/>
      <c r="AFO419" s="3"/>
      <c r="AFP419" s="3"/>
      <c r="AFQ419" s="3"/>
      <c r="AFR419" s="3"/>
      <c r="AFS419" s="3"/>
      <c r="AFT419" s="3"/>
      <c r="AFU419" s="3"/>
      <c r="AFV419" s="3"/>
      <c r="AFW419" s="3"/>
      <c r="AFX419" s="3"/>
      <c r="AFY419" s="3"/>
      <c r="AFZ419" s="3"/>
      <c r="AGA419" s="3"/>
      <c r="AGB419" s="3"/>
      <c r="AGC419" s="3"/>
      <c r="AGD419" s="3"/>
      <c r="AGE419" s="3"/>
      <c r="AGF419" s="3"/>
      <c r="AGG419" s="3"/>
      <c r="AGH419" s="3"/>
      <c r="AGI419" s="3"/>
      <c r="AGJ419" s="3"/>
      <c r="AGK419" s="3"/>
      <c r="AGL419" s="3"/>
      <c r="AGM419" s="3"/>
      <c r="AGN419" s="3"/>
      <c r="AGO419" s="3"/>
      <c r="AGP419" s="3"/>
      <c r="AGQ419" s="3"/>
      <c r="AGR419" s="3"/>
      <c r="AGS419" s="3"/>
      <c r="AGT419" s="3"/>
      <c r="AGU419" s="3"/>
      <c r="AGV419" s="3"/>
      <c r="AGW419" s="3"/>
      <c r="AGX419" s="3"/>
      <c r="AGY419" s="3"/>
      <c r="AGZ419" s="3"/>
      <c r="AHA419" s="3"/>
      <c r="AHB419" s="3"/>
      <c r="AHC419" s="3"/>
      <c r="AHD419" s="3"/>
      <c r="AHE419" s="3"/>
      <c r="AHF419" s="3"/>
      <c r="AHG419" s="3"/>
      <c r="AHH419" s="3"/>
      <c r="AHI419" s="3"/>
      <c r="AHJ419" s="3"/>
      <c r="AHK419" s="3"/>
      <c r="AHL419" s="3"/>
      <c r="AHM419" s="3"/>
      <c r="AHN419" s="3"/>
      <c r="AHO419" s="3"/>
      <c r="AHP419" s="3"/>
      <c r="AHQ419" s="3"/>
      <c r="AHR419" s="3"/>
      <c r="AHS419" s="3"/>
      <c r="AHT419" s="3"/>
      <c r="AHU419" s="3"/>
      <c r="AHV419" s="3"/>
      <c r="AHW419" s="3"/>
      <c r="AHX419" s="3"/>
      <c r="AHY419" s="3"/>
      <c r="AHZ419" s="3"/>
      <c r="AIA419" s="3"/>
      <c r="AIB419" s="3"/>
      <c r="AIC419" s="3"/>
      <c r="AID419" s="3"/>
      <c r="AIE419" s="3"/>
      <c r="AIF419" s="3"/>
      <c r="AIG419" s="3"/>
      <c r="AIH419" s="3"/>
      <c r="AII419" s="3"/>
      <c r="AIJ419" s="3"/>
      <c r="AIK419" s="3"/>
      <c r="AIL419" s="3"/>
      <c r="AIM419" s="3"/>
      <c r="AIN419" s="3"/>
      <c r="AIO419" s="3"/>
      <c r="AIP419" s="3"/>
      <c r="AIQ419" s="3"/>
      <c r="AIR419" s="3"/>
      <c r="AIS419" s="3"/>
      <c r="AIT419" s="3"/>
      <c r="AIU419" s="3"/>
      <c r="AIV419" s="3"/>
      <c r="AIW419" s="3"/>
      <c r="AIX419" s="3"/>
      <c r="AIY419" s="3"/>
      <c r="AIZ419" s="3"/>
      <c r="AJA419" s="3"/>
      <c r="AJB419" s="3"/>
      <c r="AJC419" s="3"/>
      <c r="AJD419" s="3"/>
      <c r="AJE419" s="3"/>
      <c r="AJF419" s="3"/>
      <c r="AJG419" s="3"/>
      <c r="AJH419" s="3"/>
      <c r="AJI419" s="3"/>
      <c r="AJJ419" s="3"/>
      <c r="AJK419" s="3"/>
      <c r="AJL419" s="3"/>
      <c r="AJM419" s="3"/>
      <c r="AJN419" s="3"/>
      <c r="AJO419" s="3"/>
      <c r="AJP419" s="3"/>
      <c r="AJQ419" s="3"/>
      <c r="AJR419" s="3"/>
      <c r="AJS419" s="3"/>
      <c r="AJT419" s="3"/>
      <c r="AJU419" s="3"/>
      <c r="AJV419" s="3"/>
      <c r="AJW419" s="3"/>
      <c r="AJX419" s="3"/>
      <c r="AJY419" s="3"/>
      <c r="AJZ419" s="3"/>
      <c r="AKA419" s="3"/>
      <c r="AKB419" s="3"/>
      <c r="AKC419" s="3"/>
      <c r="AKD419" s="3"/>
      <c r="AKE419" s="3"/>
      <c r="AKF419" s="3"/>
      <c r="AKG419" s="3"/>
      <c r="AKH419" s="3"/>
      <c r="AKI419" s="3"/>
      <c r="AKJ419" s="3"/>
      <c r="AKK419" s="3"/>
      <c r="AKL419" s="3"/>
      <c r="AKM419" s="3"/>
      <c r="AKN419" s="3"/>
      <c r="AKO419" s="3"/>
      <c r="AKP419" s="3"/>
      <c r="AKQ419" s="3"/>
      <c r="AKR419" s="3"/>
      <c r="AKS419" s="3"/>
      <c r="AKT419" s="3"/>
      <c r="AKU419" s="3"/>
      <c r="AKV419" s="3"/>
      <c r="AKW419" s="3"/>
      <c r="AKX419" s="3"/>
      <c r="AKY419" s="3"/>
      <c r="AKZ419" s="3"/>
      <c r="ALA419" s="3"/>
      <c r="ALB419" s="3"/>
      <c r="ALC419" s="3"/>
      <c r="ALD419" s="3"/>
      <c r="ALE419" s="3"/>
      <c r="ALF419" s="3"/>
      <c r="ALG419" s="3"/>
      <c r="ALH419" s="3"/>
      <c r="ALI419" s="3"/>
      <c r="ALJ419" s="3"/>
      <c r="ALK419" s="3"/>
      <c r="ALL419" s="3"/>
      <c r="ALM419" s="3"/>
      <c r="ALN419" s="3"/>
      <c r="ALO419" s="3"/>
      <c r="ALP419" s="3"/>
      <c r="ALQ419" s="3"/>
      <c r="ALR419" s="3"/>
      <c r="ALS419" s="3"/>
      <c r="ALT419" s="3"/>
      <c r="ALU419" s="3"/>
      <c r="ALV419" s="3"/>
      <c r="ALW419" s="3"/>
      <c r="ALX419" s="3"/>
      <c r="ALY419" s="3"/>
      <c r="ALZ419" s="3"/>
      <c r="AMA419" s="3"/>
      <c r="AMB419" s="3"/>
      <c r="AMC419" s="3"/>
      <c r="AMD419" s="3"/>
      <c r="AME419" s="3"/>
      <c r="AMF419" s="3"/>
      <c r="AMG419" s="3"/>
      <c r="AMH419" s="3"/>
      <c r="AMI419" s="3"/>
      <c r="AMJ419" s="3"/>
      <c r="AMK419" s="3"/>
      <c r="AML419" s="3"/>
      <c r="AMM419" s="3"/>
      <c r="AMN419" s="3"/>
      <c r="AMO419" s="3"/>
      <c r="AMP419" s="1"/>
    </row>
    <row r="420" spans="1:1030" x14ac:dyDescent="0.2">
      <c r="A420" s="3" t="str">
        <f t="shared" ref="A420:A427" si="3186">CONCATENATE(B420,"_",C420)</f>
        <v>smo_human_5V56</v>
      </c>
      <c r="B420" s="3" t="s">
        <v>33</v>
      </c>
      <c r="C420" s="3" t="s">
        <v>1477</v>
      </c>
      <c r="D420" s="3" t="str">
        <f>IFERROR(MID(VLOOKUP($B420,Seqs!$A:$B,2,0),E420,1),"")</f>
        <v>T</v>
      </c>
      <c r="E420" s="3">
        <v>223</v>
      </c>
      <c r="F420" s="3" t="str">
        <f>IFERROR(MID(VLOOKUP($B420,Seqs!$A:$B,2,0),G420,1),"")</f>
        <v>D</v>
      </c>
      <c r="G420" s="3">
        <v>255</v>
      </c>
      <c r="H420" s="3" t="str">
        <f>IFERROR(MID(VLOOKUP($B420,Seqs!$A:$B,2,0),I420,1),"")</f>
        <v>W</v>
      </c>
      <c r="I420" s="23">
        <v>256</v>
      </c>
      <c r="J420" s="3" t="str">
        <f>IFERROR(MID(VLOOKUP($B420,Seqs!$A:$B,2,0),K420,1),"")</f>
        <v>N</v>
      </c>
      <c r="K420" s="23">
        <v>260</v>
      </c>
      <c r="L420" s="3" t="str">
        <f>IFERROR(MID(VLOOKUP($B420,Seqs!$A:$B,2,0),M420,1),"")</f>
        <v>R</v>
      </c>
      <c r="M420" s="3">
        <v>261</v>
      </c>
      <c r="N420" s="3" t="str">
        <f>IFERROR(MID(VLOOKUP($B420,Seqs!$A:$B,2,0),O420,1),"")</f>
        <v>F</v>
      </c>
      <c r="O420" s="3">
        <v>285</v>
      </c>
      <c r="P420" s="3" t="str">
        <f>IFERROR(MID(VLOOKUP($B420,Seqs!$A:$B,2,0),Q420,1),"")</f>
        <v/>
      </c>
      <c r="Q420" s="3" t="s">
        <v>23</v>
      </c>
      <c r="R420" s="3" t="str">
        <f>IFERROR(MID(VLOOKUP($B420,Seqs!$A:$B,2,0),S420,1),"")</f>
        <v/>
      </c>
      <c r="S420" s="3" t="s">
        <v>23</v>
      </c>
      <c r="T420" s="3" t="str">
        <f>IFERROR(MID(VLOOKUP($B420,Seqs!$A:$B,2,0),U420,1),"")</f>
        <v>L</v>
      </c>
      <c r="U420" s="3">
        <v>312</v>
      </c>
      <c r="V420" s="3" t="str">
        <f>IFERROR(MID(VLOOKUP($B420,Seqs!$A:$B,2,0),W420,1),"")</f>
        <v>S</v>
      </c>
      <c r="W420" s="3">
        <v>342</v>
      </c>
      <c r="X420" s="3" t="str">
        <f>IFERROR(MID(VLOOKUP($B420,Seqs!$A:$B,2,0),Y420,1),"")</f>
        <v/>
      </c>
      <c r="Y420" s="3" t="s">
        <v>23</v>
      </c>
      <c r="Z420" s="3" t="str">
        <f>IFERROR(MID(VLOOKUP($B420,Seqs!$A:$B,2,0),AA420,1),"")</f>
        <v/>
      </c>
      <c r="AA420" s="3" t="s">
        <v>23</v>
      </c>
      <c r="AB420" s="3" t="str">
        <f>IFERROR(MID(VLOOKUP($B420,Seqs!$A:$B,2,0),AC420,1),"")</f>
        <v>K</v>
      </c>
      <c r="AC420" s="3">
        <v>356</v>
      </c>
      <c r="AD420" s="3" t="str">
        <f>IFERROR(MID(VLOOKUP($B420,Seqs!$A:$B,2,0),AE420,1),"")</f>
        <v>V</v>
      </c>
      <c r="AE420" s="3">
        <v>378</v>
      </c>
      <c r="AF420" s="3" t="str">
        <f>IFERROR(MID(VLOOKUP($B420,Seqs!$A:$B,2,0),AG420,1),"")</f>
        <v>C</v>
      </c>
      <c r="AG420" s="3">
        <v>390</v>
      </c>
      <c r="AH420" s="3" t="str">
        <f>IFERROR(MID(VLOOKUP($B420,Seqs!$A:$B,2,0),AI420,1),"")</f>
        <v>V</v>
      </c>
      <c r="AI420" s="3">
        <v>392</v>
      </c>
      <c r="AJ420" s="3" t="str">
        <f>IFERROR(MID(VLOOKUP($B420,Seqs!$A:$B,2,0),AK420,1),"")</f>
        <v>N</v>
      </c>
      <c r="AK420" s="3">
        <v>396</v>
      </c>
      <c r="AL420" s="3" t="str">
        <f>IFERROR(MID(VLOOKUP($B420,Seqs!$A:$B,2,0),AM420,1),"")</f>
        <v>I</v>
      </c>
      <c r="AM420" s="3">
        <v>429</v>
      </c>
      <c r="AN420" s="3" t="str">
        <f>IFERROR(MID(VLOOKUP($B420,Seqs!$A:$B,2,0),AO420,1),"")</f>
        <v>N</v>
      </c>
      <c r="AO420" s="3">
        <v>446</v>
      </c>
      <c r="AP420" s="3" t="str">
        <f>IFERROR(MID(VLOOKUP($B420,Seqs!$A:$B,2,0),AQ420,1),"")</f>
        <v>N</v>
      </c>
      <c r="AQ420" s="3">
        <v>493</v>
      </c>
      <c r="AR420" s="3" t="str">
        <f>IFERROR(MID(VLOOKUP($B420,Seqs!$A:$B,2,0),AS420,1),"")</f>
        <v>S</v>
      </c>
      <c r="AS420" s="3">
        <v>514</v>
      </c>
      <c r="AT420" s="3" t="str">
        <f>IFERROR(MID(VLOOKUP($B420,Seqs!$A:$B,2,0),AU420,1),"")</f>
        <v>W</v>
      </c>
      <c r="AU420" s="3">
        <v>537</v>
      </c>
      <c r="AV420" s="3" t="str">
        <f>IFERROR(MID(VLOOKUP($B420,Seqs!$A:$B,2,0),AW420,1),"")</f>
        <v>T</v>
      </c>
      <c r="AW420" s="3">
        <v>538</v>
      </c>
      <c r="AX420" s="3" t="str">
        <f>IFERROR(MID(VLOOKUP($B420,Seqs!$A:$B,2,0),AY420,1),"")</f>
        <v>T</v>
      </c>
      <c r="AY420" s="3">
        <v>553</v>
      </c>
      <c r="AZ420" s="78" t="str">
        <f>VLOOKUP(B420,Classification!A:D,2,0)</f>
        <v>F</v>
      </c>
      <c r="BA420" s="94" t="str">
        <f>VLOOKUP(B420,Classification!A:D,4,0)</f>
        <v>Frizzled</v>
      </c>
      <c r="BB420" s="92" t="b">
        <f t="shared" ref="BB420:BB427" si="3187">AND(E420&lt;G420,OR(G420&lt;I420,I420="-"),OR(I420&lt;K420,I420="-"),OR(K420&lt;M420,K420="-"),M420&lt;O420,OR(O420&lt;Q420,Q420="-"),OR(Q420&lt;S420,Q420="-"),OR(S420&lt;U420,S420="-"),U420&lt;W420,OR(W420&lt;Y420,Y420="-"),OR(Y420&lt;AA420,Y420="-"),OR(AA420&lt;AC420,AA420="-"),AC420&lt;AE420,OR(AE420&lt;AG420,AG420="-"),OR(AG420&lt;AI420,AG420="-"),OR(AI420&lt;AK420,AI420="-"),AK420&lt;AM420,AM420&lt;AO420,AO420&lt;AQ420,AQ420&lt;AS420,AS420&lt;AU420,OR(AU420&lt;AW420,AW420="-"),OR(AW420&lt;AY420,AW420="-"))</f>
        <v>1</v>
      </c>
      <c r="BC420" s="23">
        <f t="shared" ref="BC420:BC427" si="3188">_xlfn.AGGREGATE(9,6,CH420:CS420)-_xlfn.AGGREGATE(9,6,BV420:CG420)+12</f>
        <v>244</v>
      </c>
      <c r="BD420" s="74" t="s">
        <v>23</v>
      </c>
      <c r="BE420" s="3" t="s">
        <v>1374</v>
      </c>
      <c r="BF420" s="118">
        <v>2.9</v>
      </c>
      <c r="BG420" s="49" t="s">
        <v>1281</v>
      </c>
      <c r="BH420" s="49" t="s">
        <v>1281</v>
      </c>
      <c r="BJ420" s="75" t="s">
        <v>1287</v>
      </c>
      <c r="BK420" s="57" t="s">
        <v>1287</v>
      </c>
      <c r="BL420" s="57" t="s">
        <v>1287</v>
      </c>
      <c r="BM420" s="57" t="s">
        <v>1287</v>
      </c>
      <c r="BN420" s="57" t="s">
        <v>1287</v>
      </c>
      <c r="BO420" s="57" t="s">
        <v>1287</v>
      </c>
      <c r="BP420" s="57" t="s">
        <v>1287</v>
      </c>
      <c r="BQ420" s="57" t="s">
        <v>1287</v>
      </c>
      <c r="BR420" s="57" t="s">
        <v>1287</v>
      </c>
      <c r="BS420" s="57" t="s">
        <v>1287</v>
      </c>
      <c r="BT420" s="57" t="s">
        <v>1287</v>
      </c>
      <c r="BU420" s="57" t="s">
        <v>1287</v>
      </c>
      <c r="BV420" s="75">
        <f t="shared" ref="BV420:BV427" si="3189">E420</f>
        <v>223</v>
      </c>
      <c r="BW420" s="71">
        <f t="shared" ref="BW420:BW427" si="3190">I420</f>
        <v>256</v>
      </c>
      <c r="BX420" s="72">
        <f t="shared" ref="BX420:BX427" si="3191">M420</f>
        <v>261</v>
      </c>
      <c r="BY420" s="71" t="str">
        <f t="shared" ref="BY420:BY427" si="3192">Q420</f>
        <v>-</v>
      </c>
      <c r="BZ420" s="72">
        <f t="shared" ref="BZ420:BZ427" si="3193">U420</f>
        <v>312</v>
      </c>
      <c r="CA420" s="71" t="str">
        <f t="shared" ref="CA420:CA427" si="3194">Y420</f>
        <v>-</v>
      </c>
      <c r="CB420" s="72">
        <f t="shared" ref="CB420:CB427" si="3195">AC420</f>
        <v>356</v>
      </c>
      <c r="CC420" s="71">
        <f t="shared" ref="CC420:CC427" si="3196">AG420</f>
        <v>390</v>
      </c>
      <c r="CD420" s="72">
        <f t="shared" ref="CD420:CD427" si="3197">AK420</f>
        <v>396</v>
      </c>
      <c r="CE420" s="71">
        <f t="shared" ref="CE420:CE427" si="3198">AO420</f>
        <v>446</v>
      </c>
      <c r="CF420" s="72">
        <f t="shared" ref="CF420:CF427" si="3199">AS420</f>
        <v>514</v>
      </c>
      <c r="CG420" s="71">
        <f t="shared" ref="CG420:CG427" si="3200">AW420</f>
        <v>538</v>
      </c>
      <c r="CH420" s="75">
        <f t="shared" ref="CH420:CH427" si="3201">G420</f>
        <v>255</v>
      </c>
      <c r="CI420" s="71">
        <f t="shared" ref="CI420:CI427" si="3202">K420</f>
        <v>260</v>
      </c>
      <c r="CJ420" s="72">
        <f t="shared" ref="CJ420:CJ427" si="3203">O420</f>
        <v>285</v>
      </c>
      <c r="CK420" s="72" t="str">
        <f t="shared" ref="CK420:CK427" si="3204">S420</f>
        <v>-</v>
      </c>
      <c r="CL420" s="72">
        <f t="shared" ref="CL420:CL427" si="3205">W420</f>
        <v>342</v>
      </c>
      <c r="CM420" s="72" t="str">
        <f t="shared" ref="CM420:CM427" si="3206">AA420</f>
        <v>-</v>
      </c>
      <c r="CN420" s="72">
        <f t="shared" ref="CN420:CN427" si="3207">AE420</f>
        <v>378</v>
      </c>
      <c r="CO420" s="72">
        <f t="shared" ref="CO420:CO427" si="3208">AI420</f>
        <v>392</v>
      </c>
      <c r="CP420" s="72">
        <f t="shared" ref="CP420:CP427" si="3209">AM420</f>
        <v>429</v>
      </c>
      <c r="CQ420" s="72">
        <f t="shared" ref="CQ420:CQ427" si="3210">AQ420</f>
        <v>493</v>
      </c>
      <c r="CR420" s="72">
        <f t="shared" ref="CR420:CR427" si="3211">AU420</f>
        <v>537</v>
      </c>
      <c r="CS420" s="72">
        <f t="shared" ref="CS420:CS427" si="3212">AY420</f>
        <v>553</v>
      </c>
      <c r="CT420" s="23">
        <f t="shared" ref="CT420:CT427" si="3213">M420-K420</f>
        <v>1</v>
      </c>
    </row>
    <row r="421" spans="1:1030" x14ac:dyDescent="0.2">
      <c r="A421" s="3" t="str">
        <f t="shared" si="3186"/>
        <v>smo_human_5V57</v>
      </c>
      <c r="B421" s="3" t="s">
        <v>33</v>
      </c>
      <c r="C421" s="3" t="s">
        <v>1478</v>
      </c>
      <c r="D421" s="3" t="str">
        <f>IFERROR(MID(VLOOKUP($B421,Seqs!$A:$B,2,0),E421,1),"")</f>
        <v>T</v>
      </c>
      <c r="E421" s="3">
        <v>223</v>
      </c>
      <c r="F421" s="3" t="str">
        <f>IFERROR(MID(VLOOKUP($B421,Seqs!$A:$B,2,0),G421,1),"")</f>
        <v>D</v>
      </c>
      <c r="G421" s="3">
        <v>255</v>
      </c>
      <c r="H421" s="3" t="str">
        <f>IFERROR(MID(VLOOKUP($B421,Seqs!$A:$B,2,0),I421,1),"")</f>
        <v>W</v>
      </c>
      <c r="I421" s="23">
        <v>256</v>
      </c>
      <c r="J421" s="3" t="str">
        <f>IFERROR(MID(VLOOKUP($B421,Seqs!$A:$B,2,0),K421,1),"")</f>
        <v>N</v>
      </c>
      <c r="K421" s="23">
        <v>260</v>
      </c>
      <c r="L421" s="3" t="str">
        <f>IFERROR(MID(VLOOKUP($B421,Seqs!$A:$B,2,0),M421,1),"")</f>
        <v>R</v>
      </c>
      <c r="M421" s="3">
        <v>261</v>
      </c>
      <c r="N421" s="3" t="str">
        <f>IFERROR(MID(VLOOKUP($B421,Seqs!$A:$B,2,0),O421,1),"")</f>
        <v>F</v>
      </c>
      <c r="O421" s="3">
        <v>285</v>
      </c>
      <c r="P421" s="3" t="str">
        <f>IFERROR(MID(VLOOKUP($B421,Seqs!$A:$B,2,0),Q421,1),"")</f>
        <v/>
      </c>
      <c r="Q421" s="3" t="s">
        <v>23</v>
      </c>
      <c r="R421" s="3" t="str">
        <f>IFERROR(MID(VLOOKUP($B421,Seqs!$A:$B,2,0),S421,1),"")</f>
        <v/>
      </c>
      <c r="S421" s="3" t="s">
        <v>23</v>
      </c>
      <c r="T421" s="3" t="str">
        <f>IFERROR(MID(VLOOKUP($B421,Seqs!$A:$B,2,0),U421,1),"")</f>
        <v>L</v>
      </c>
      <c r="U421" s="3">
        <v>312</v>
      </c>
      <c r="V421" s="3" t="str">
        <f>IFERROR(MID(VLOOKUP($B421,Seqs!$A:$B,2,0),W421,1),"")</f>
        <v>S</v>
      </c>
      <c r="W421" s="3">
        <v>342</v>
      </c>
      <c r="X421" s="3" t="str">
        <f>IFERROR(MID(VLOOKUP($B421,Seqs!$A:$B,2,0),Y421,1),"")</f>
        <v/>
      </c>
      <c r="Y421" s="3" t="s">
        <v>23</v>
      </c>
      <c r="Z421" s="3" t="str">
        <f>IFERROR(MID(VLOOKUP($B421,Seqs!$A:$B,2,0),AA421,1),"")</f>
        <v/>
      </c>
      <c r="AA421" s="3" t="s">
        <v>23</v>
      </c>
      <c r="AB421" s="3" t="str">
        <f>IFERROR(MID(VLOOKUP($B421,Seqs!$A:$B,2,0),AC421,1),"")</f>
        <v>T</v>
      </c>
      <c r="AC421" s="3">
        <v>357</v>
      </c>
      <c r="AD421" s="3" t="str">
        <f>IFERROR(MID(VLOOKUP($B421,Seqs!$A:$B,2,0),AE421,1),"")</f>
        <v>V</v>
      </c>
      <c r="AE421" s="3">
        <v>378</v>
      </c>
      <c r="AF421" s="3" t="str">
        <f>IFERROR(MID(VLOOKUP($B421,Seqs!$A:$B,2,0),AG421,1),"")</f>
        <v>C</v>
      </c>
      <c r="AG421" s="3">
        <v>390</v>
      </c>
      <c r="AH421" s="3" t="str">
        <f>IFERROR(MID(VLOOKUP($B421,Seqs!$A:$B,2,0),AI421,1),"")</f>
        <v>V</v>
      </c>
      <c r="AI421" s="3">
        <v>392</v>
      </c>
      <c r="AJ421" s="3" t="str">
        <f>IFERROR(MID(VLOOKUP($B421,Seqs!$A:$B,2,0),AK421,1),"")</f>
        <v>N</v>
      </c>
      <c r="AK421" s="3">
        <v>396</v>
      </c>
      <c r="AL421" s="3" t="str">
        <f>IFERROR(MID(VLOOKUP($B421,Seqs!$A:$B,2,0),AM421,1),"")</f>
        <v>N</v>
      </c>
      <c r="AM421" s="3">
        <v>432</v>
      </c>
      <c r="AN421" s="3" t="str">
        <f>IFERROR(MID(VLOOKUP($B421,Seqs!$A:$B,2,0),AO421,1),"")</f>
        <v>E</v>
      </c>
      <c r="AO421" s="3">
        <v>447</v>
      </c>
      <c r="AP421" s="3" t="str">
        <f>IFERROR(MID(VLOOKUP($B421,Seqs!$A:$B,2,0),AQ421,1),"")</f>
        <v>N</v>
      </c>
      <c r="AQ421" s="3">
        <v>493</v>
      </c>
      <c r="AR421" s="3" t="str">
        <f>IFERROR(MID(VLOOKUP($B421,Seqs!$A:$B,2,0),AS421,1),"")</f>
        <v>S</v>
      </c>
      <c r="AS421" s="3">
        <v>514</v>
      </c>
      <c r="AT421" s="3" t="str">
        <f>IFERROR(MID(VLOOKUP($B421,Seqs!$A:$B,2,0),AU421,1),"")</f>
        <v>W</v>
      </c>
      <c r="AU421" s="3">
        <v>537</v>
      </c>
      <c r="AV421" s="3" t="str">
        <f>IFERROR(MID(VLOOKUP($B421,Seqs!$A:$B,2,0),AW421,1),"")</f>
        <v>T</v>
      </c>
      <c r="AW421" s="3">
        <v>538</v>
      </c>
      <c r="AX421" s="3" t="str">
        <f>IFERROR(MID(VLOOKUP($B421,Seqs!$A:$B,2,0),AY421,1),"")</f>
        <v>G</v>
      </c>
      <c r="AY421" s="3">
        <v>554</v>
      </c>
      <c r="AZ421" s="78" t="str">
        <f>VLOOKUP(B421,Classification!A:D,2,0)</f>
        <v>F</v>
      </c>
      <c r="BA421" s="94" t="str">
        <f>VLOOKUP(B421,Classification!A:D,4,0)</f>
        <v>Frizzled</v>
      </c>
      <c r="BB421" s="92" t="b">
        <f t="shared" si="3187"/>
        <v>1</v>
      </c>
      <c r="BC421" s="23">
        <f t="shared" si="3188"/>
        <v>246</v>
      </c>
      <c r="BD421" s="74" t="s">
        <v>23</v>
      </c>
      <c r="BE421" s="3" t="s">
        <v>1374</v>
      </c>
      <c r="BF421" s="118">
        <v>3</v>
      </c>
      <c r="BG421" s="49" t="s">
        <v>1</v>
      </c>
      <c r="BH421" s="49" t="s">
        <v>1</v>
      </c>
      <c r="BJ421" s="75" t="s">
        <v>1287</v>
      </c>
      <c r="BK421" s="57" t="s">
        <v>1287</v>
      </c>
      <c r="BL421" s="57" t="s">
        <v>1287</v>
      </c>
      <c r="BM421" s="57" t="s">
        <v>1287</v>
      </c>
      <c r="BN421" s="57" t="s">
        <v>1287</v>
      </c>
      <c r="BO421" s="57" t="s">
        <v>1287</v>
      </c>
      <c r="BP421" s="57" t="s">
        <v>1287</v>
      </c>
      <c r="BQ421" s="57" t="s">
        <v>1287</v>
      </c>
      <c r="BR421" s="57" t="s">
        <v>1287</v>
      </c>
      <c r="BS421" s="57" t="s">
        <v>1287</v>
      </c>
      <c r="BT421" s="57" t="s">
        <v>1287</v>
      </c>
      <c r="BU421" s="57" t="s">
        <v>1287</v>
      </c>
      <c r="BV421" s="75">
        <f t="shared" si="3189"/>
        <v>223</v>
      </c>
      <c r="BW421" s="71">
        <f t="shared" si="3190"/>
        <v>256</v>
      </c>
      <c r="BX421" s="72">
        <f t="shared" si="3191"/>
        <v>261</v>
      </c>
      <c r="BY421" s="71" t="str">
        <f t="shared" si="3192"/>
        <v>-</v>
      </c>
      <c r="BZ421" s="72">
        <f t="shared" si="3193"/>
        <v>312</v>
      </c>
      <c r="CA421" s="71" t="str">
        <f t="shared" si="3194"/>
        <v>-</v>
      </c>
      <c r="CB421" s="72">
        <f t="shared" si="3195"/>
        <v>357</v>
      </c>
      <c r="CC421" s="71">
        <f t="shared" si="3196"/>
        <v>390</v>
      </c>
      <c r="CD421" s="72">
        <f t="shared" si="3197"/>
        <v>396</v>
      </c>
      <c r="CE421" s="71">
        <f t="shared" si="3198"/>
        <v>447</v>
      </c>
      <c r="CF421" s="72">
        <f t="shared" si="3199"/>
        <v>514</v>
      </c>
      <c r="CG421" s="71">
        <f t="shared" si="3200"/>
        <v>538</v>
      </c>
      <c r="CH421" s="75">
        <f t="shared" si="3201"/>
        <v>255</v>
      </c>
      <c r="CI421" s="71">
        <f t="shared" si="3202"/>
        <v>260</v>
      </c>
      <c r="CJ421" s="72">
        <f t="shared" si="3203"/>
        <v>285</v>
      </c>
      <c r="CK421" s="72" t="str">
        <f t="shared" si="3204"/>
        <v>-</v>
      </c>
      <c r="CL421" s="72">
        <f t="shared" si="3205"/>
        <v>342</v>
      </c>
      <c r="CM421" s="72" t="str">
        <f t="shared" si="3206"/>
        <v>-</v>
      </c>
      <c r="CN421" s="72">
        <f t="shared" si="3207"/>
        <v>378</v>
      </c>
      <c r="CO421" s="72">
        <f t="shared" si="3208"/>
        <v>392</v>
      </c>
      <c r="CP421" s="72">
        <f t="shared" si="3209"/>
        <v>432</v>
      </c>
      <c r="CQ421" s="72">
        <f t="shared" si="3210"/>
        <v>493</v>
      </c>
      <c r="CR421" s="72">
        <f t="shared" si="3211"/>
        <v>537</v>
      </c>
      <c r="CS421" s="72">
        <f t="shared" si="3212"/>
        <v>554</v>
      </c>
      <c r="CT421" s="23">
        <f t="shared" si="3213"/>
        <v>1</v>
      </c>
    </row>
    <row r="422" spans="1:1030" x14ac:dyDescent="0.2">
      <c r="A422" s="3" t="str">
        <f t="shared" si="3186"/>
        <v>smo_human_6OT0</v>
      </c>
      <c r="B422" s="3" t="s">
        <v>33</v>
      </c>
      <c r="C422" s="3" t="s">
        <v>1580</v>
      </c>
      <c r="D422" s="3" t="str">
        <f>IFERROR(MID(VLOOKUP($B422,Seqs!$A:$B,2,0),E422,1),"")</f>
        <v>T</v>
      </c>
      <c r="E422" s="3">
        <v>223</v>
      </c>
      <c r="F422" s="3" t="str">
        <f>IFERROR(MID(VLOOKUP($B422,Seqs!$A:$B,2,0),G422,1),"")</f>
        <v>D</v>
      </c>
      <c r="G422" s="3">
        <v>255</v>
      </c>
      <c r="H422" s="3" t="str">
        <f>IFERROR(MID(VLOOKUP($B422,Seqs!$A:$B,2,0),I422,1),"")</f>
        <v>W</v>
      </c>
      <c r="I422" s="23">
        <v>256</v>
      </c>
      <c r="J422" s="3" t="str">
        <f>IFERROR(MID(VLOOKUP($B422,Seqs!$A:$B,2,0),K422,1),"")</f>
        <v>N</v>
      </c>
      <c r="K422" s="23">
        <v>260</v>
      </c>
      <c r="L422" s="3" t="str">
        <f>IFERROR(MID(VLOOKUP($B422,Seqs!$A:$B,2,0),M422,1),"")</f>
        <v>P</v>
      </c>
      <c r="M422" s="3">
        <v>263</v>
      </c>
      <c r="N422" s="3" t="str">
        <f>IFERROR(MID(VLOOKUP($B422,Seqs!$A:$B,2,0),O422,1),"")</f>
        <v>A</v>
      </c>
      <c r="O422" s="3">
        <v>283</v>
      </c>
      <c r="P422" s="3" t="str">
        <f>IFERROR(MID(VLOOKUP($B422,Seqs!$A:$B,2,0),Q422,1),"")</f>
        <v/>
      </c>
      <c r="Q422" s="3" t="s">
        <v>23</v>
      </c>
      <c r="R422" s="3" t="str">
        <f>IFERROR(MID(VLOOKUP($B422,Seqs!$A:$B,2,0),S422,1),"")</f>
        <v/>
      </c>
      <c r="S422" s="3" t="s">
        <v>23</v>
      </c>
      <c r="T422" s="3" t="str">
        <f>IFERROR(MID(VLOOKUP($B422,Seqs!$A:$B,2,0),U422,1),"")</f>
        <v>C</v>
      </c>
      <c r="U422" s="3">
        <v>314</v>
      </c>
      <c r="V422" s="3" t="str">
        <f>IFERROR(MID(VLOOKUP($B422,Seqs!$A:$B,2,0),W422,1),"")</f>
        <v>A</v>
      </c>
      <c r="W422" s="3">
        <v>345</v>
      </c>
      <c r="X422" s="3" t="str">
        <f>IFERROR(MID(VLOOKUP($B422,Seqs!$A:$B,2,0),Y422,1),"")</f>
        <v/>
      </c>
      <c r="Y422" s="3" t="s">
        <v>23</v>
      </c>
      <c r="Z422" s="3" t="str">
        <f>IFERROR(MID(VLOOKUP($B422,Seqs!$A:$B,2,0),AA422,1),"")</f>
        <v/>
      </c>
      <c r="AA422" s="3" t="s">
        <v>23</v>
      </c>
      <c r="AB422" s="3" t="str">
        <f>IFERROR(MID(VLOOKUP($B422,Seqs!$A:$B,2,0),AC422,1),"")</f>
        <v>K</v>
      </c>
      <c r="AC422" s="3">
        <v>356</v>
      </c>
      <c r="AD422" s="3" t="str">
        <f>IFERROR(MID(VLOOKUP($B422,Seqs!$A:$B,2,0),AE422,1),"")</f>
        <v>L</v>
      </c>
      <c r="AE422" s="3">
        <v>376</v>
      </c>
      <c r="AF422" s="3" t="str">
        <f>IFERROR(MID(VLOOKUP($B422,Seqs!$A:$B,2,0),AG422,1),"")</f>
        <v>C</v>
      </c>
      <c r="AG422" s="3">
        <v>390</v>
      </c>
      <c r="AH422" s="3" t="str">
        <f>IFERROR(MID(VLOOKUP($B422,Seqs!$A:$B,2,0),AI422,1),"")</f>
        <v>V</v>
      </c>
      <c r="AI422" s="3">
        <v>392</v>
      </c>
      <c r="AJ422" s="3" t="str">
        <f>IFERROR(MID(VLOOKUP($B422,Seqs!$A:$B,2,0),AK422,1),"")</f>
        <v>A</v>
      </c>
      <c r="AK422" s="3">
        <v>406</v>
      </c>
      <c r="AL422" s="3" t="str">
        <f>IFERROR(MID(VLOOKUP($B422,Seqs!$A:$B,2,0),AM422,1),"")</f>
        <v>S</v>
      </c>
      <c r="AM422" s="3">
        <v>428</v>
      </c>
      <c r="AN422" s="3" t="str">
        <f>IFERROR(MID(VLOOKUP($B422,Seqs!$A:$B,2,0),AO422,1),"")</f>
        <v>S</v>
      </c>
      <c r="AO422" s="3">
        <v>438</v>
      </c>
      <c r="AP422" s="3" t="str">
        <f>IFERROR(MID(VLOOKUP($B422,Seqs!$A:$B,2,0),AQ422,1),"")</f>
        <v>V</v>
      </c>
      <c r="AQ422" s="3">
        <v>494</v>
      </c>
      <c r="AR422" s="3" t="str">
        <f>IFERROR(MID(VLOOKUP($B422,Seqs!$A:$B,2,0),AS422,1),"")</f>
        <v>L</v>
      </c>
      <c r="AS422" s="3">
        <v>516</v>
      </c>
      <c r="AT422" s="3" t="str">
        <f>IFERROR(MID(VLOOKUP($B422,Seqs!$A:$B,2,0),AU422,1),"")</f>
        <v>W</v>
      </c>
      <c r="AU422" s="3">
        <v>537</v>
      </c>
      <c r="AV422" s="3" t="str">
        <f>IFERROR(MID(VLOOKUP($B422,Seqs!$A:$B,2,0),AW422,1),"")</f>
        <v>A</v>
      </c>
      <c r="AW422" s="3">
        <v>540</v>
      </c>
      <c r="AX422" s="3" t="str">
        <f>IFERROR(MID(VLOOKUP($B422,Seqs!$A:$B,2,0),AY422,1),"")</f>
        <v>L</v>
      </c>
      <c r="AY422" s="3">
        <v>552</v>
      </c>
      <c r="AZ422" s="78" t="str">
        <f>VLOOKUP(B422,Classification!A:D,2,0)</f>
        <v>F</v>
      </c>
      <c r="BA422" s="94" t="str">
        <f>VLOOKUP(B422,Classification!A:D,4,0)</f>
        <v>Frizzled</v>
      </c>
      <c r="BB422" s="92" t="b">
        <f t="shared" si="3187"/>
        <v>1</v>
      </c>
      <c r="BC422" s="23">
        <f t="shared" si="3188"/>
        <v>232</v>
      </c>
      <c r="BD422" s="74" t="s">
        <v>1375</v>
      </c>
      <c r="BE422" s="3" t="s">
        <v>1291</v>
      </c>
      <c r="BF422" s="118">
        <v>3.84</v>
      </c>
      <c r="BG422" s="49" t="s">
        <v>1422</v>
      </c>
      <c r="BH422" s="49" t="s">
        <v>1422</v>
      </c>
      <c r="BJ422" s="75" t="s">
        <v>1287</v>
      </c>
      <c r="BK422" s="57" t="s">
        <v>1287</v>
      </c>
      <c r="BL422" s="57" t="s">
        <v>1287</v>
      </c>
      <c r="BM422" s="57" t="s">
        <v>1287</v>
      </c>
      <c r="BN422" s="57" t="s">
        <v>1287</v>
      </c>
      <c r="BO422" s="57" t="s">
        <v>1287</v>
      </c>
      <c r="BP422" s="57" t="s">
        <v>1287</v>
      </c>
      <c r="BQ422" s="57" t="s">
        <v>1287</v>
      </c>
      <c r="BR422" s="57" t="s">
        <v>1287</v>
      </c>
      <c r="BS422" s="57" t="s">
        <v>1287</v>
      </c>
      <c r="BT422" s="57" t="s">
        <v>1287</v>
      </c>
      <c r="BU422" s="57" t="s">
        <v>1287</v>
      </c>
      <c r="BV422" s="75">
        <f t="shared" si="3189"/>
        <v>223</v>
      </c>
      <c r="BW422" s="71">
        <f t="shared" si="3190"/>
        <v>256</v>
      </c>
      <c r="BX422" s="72">
        <f t="shared" si="3191"/>
        <v>263</v>
      </c>
      <c r="BY422" s="71" t="str">
        <f t="shared" si="3192"/>
        <v>-</v>
      </c>
      <c r="BZ422" s="72">
        <f t="shared" si="3193"/>
        <v>314</v>
      </c>
      <c r="CA422" s="71" t="str">
        <f t="shared" si="3194"/>
        <v>-</v>
      </c>
      <c r="CB422" s="72">
        <f t="shared" si="3195"/>
        <v>356</v>
      </c>
      <c r="CC422" s="71">
        <f t="shared" si="3196"/>
        <v>390</v>
      </c>
      <c r="CD422" s="72">
        <f t="shared" si="3197"/>
        <v>406</v>
      </c>
      <c r="CE422" s="71">
        <f t="shared" si="3198"/>
        <v>438</v>
      </c>
      <c r="CF422" s="72">
        <f t="shared" si="3199"/>
        <v>516</v>
      </c>
      <c r="CG422" s="71">
        <f t="shared" si="3200"/>
        <v>540</v>
      </c>
      <c r="CH422" s="75">
        <f t="shared" si="3201"/>
        <v>255</v>
      </c>
      <c r="CI422" s="71">
        <f t="shared" si="3202"/>
        <v>260</v>
      </c>
      <c r="CJ422" s="72">
        <f t="shared" si="3203"/>
        <v>283</v>
      </c>
      <c r="CK422" s="72" t="str">
        <f t="shared" si="3204"/>
        <v>-</v>
      </c>
      <c r="CL422" s="72">
        <f t="shared" si="3205"/>
        <v>345</v>
      </c>
      <c r="CM422" s="72" t="str">
        <f t="shared" si="3206"/>
        <v>-</v>
      </c>
      <c r="CN422" s="72">
        <f t="shared" si="3207"/>
        <v>376</v>
      </c>
      <c r="CO422" s="72">
        <f t="shared" si="3208"/>
        <v>392</v>
      </c>
      <c r="CP422" s="72">
        <f t="shared" si="3209"/>
        <v>428</v>
      </c>
      <c r="CQ422" s="72">
        <f t="shared" si="3210"/>
        <v>494</v>
      </c>
      <c r="CR422" s="72">
        <f t="shared" si="3211"/>
        <v>537</v>
      </c>
      <c r="CS422" s="72">
        <f t="shared" si="3212"/>
        <v>552</v>
      </c>
      <c r="CT422" s="23">
        <f t="shared" si="3213"/>
        <v>3</v>
      </c>
    </row>
    <row r="423" spans="1:1030" s="12" customFormat="1" x14ac:dyDescent="0.2">
      <c r="A423" s="9" t="str">
        <f t="shared" ref="A423:A424" si="3214">CONCATENATE(B423,"_",C423)</f>
        <v>smo_mouse__wt</v>
      </c>
      <c r="B423" s="9" t="s">
        <v>1594</v>
      </c>
      <c r="C423" s="9" t="s">
        <v>100</v>
      </c>
      <c r="D423" s="9" t="str">
        <f>IFERROR(MID(VLOOKUP($B423,Seqs!$A:$B,2,0),E423,1),"")</f>
        <v>T</v>
      </c>
      <c r="E423" s="9">
        <v>227</v>
      </c>
      <c r="F423" s="9" t="str">
        <f>IFERROR(MID(VLOOKUP($B423,Seqs!$A:$B,2,0),G423,1),"")</f>
        <v>D</v>
      </c>
      <c r="G423" s="9">
        <v>259</v>
      </c>
      <c r="H423" s="9" t="str">
        <f>IFERROR(MID(VLOOKUP($B423,Seqs!$A:$B,2,0),I423,1),"")</f>
        <v>W</v>
      </c>
      <c r="I423" s="109">
        <v>260</v>
      </c>
      <c r="J423" s="9" t="str">
        <f>IFERROR(MID(VLOOKUP($B423,Seqs!$A:$B,2,0),K423,1),"")</f>
        <v>N</v>
      </c>
      <c r="K423" s="109">
        <v>264</v>
      </c>
      <c r="L423" s="9" t="str">
        <f>IFERROR(MID(VLOOKUP($B423,Seqs!$A:$B,2,0),M423,1),"")</f>
        <v>R</v>
      </c>
      <c r="M423" s="9">
        <v>265</v>
      </c>
      <c r="N423" s="9" t="str">
        <f>IFERROR(MID(VLOOKUP($B423,Seqs!$A:$B,2,0),O423,1),"")</f>
        <v>F</v>
      </c>
      <c r="O423" s="9">
        <v>289</v>
      </c>
      <c r="P423" s="9" t="str">
        <f>IFERROR(MID(VLOOKUP($B423,Seqs!$A:$B,2,0),Q423,1),"")</f>
        <v/>
      </c>
      <c r="Q423" s="9" t="s">
        <v>23</v>
      </c>
      <c r="R423" s="9" t="str">
        <f>IFERROR(MID(VLOOKUP($B423,Seqs!$A:$B,2,0),S423,1),"")</f>
        <v/>
      </c>
      <c r="S423" s="9" t="s">
        <v>23</v>
      </c>
      <c r="T423" s="9" t="str">
        <f>IFERROR(MID(VLOOKUP($B423,Seqs!$A:$B,2,0),U423,1),"")</f>
        <v>L</v>
      </c>
      <c r="U423" s="9">
        <v>316</v>
      </c>
      <c r="V423" s="9" t="str">
        <f>IFERROR(MID(VLOOKUP($B423,Seqs!$A:$B,2,0),W423,1),"")</f>
        <v>A</v>
      </c>
      <c r="W423" s="9">
        <v>349</v>
      </c>
      <c r="X423" s="9" t="str">
        <f>IFERROR(MID(VLOOKUP($B423,Seqs!$A:$B,2,0),Y423,1),"")</f>
        <v/>
      </c>
      <c r="Y423" s="9" t="s">
        <v>23</v>
      </c>
      <c r="Z423" s="9" t="str">
        <f>IFERROR(MID(VLOOKUP($B423,Seqs!$A:$B,2,0),AA423,1),"")</f>
        <v/>
      </c>
      <c r="AA423" s="9" t="s">
        <v>23</v>
      </c>
      <c r="AB423" s="9" t="str">
        <f>IFERROR(MID(VLOOKUP($B423,Seqs!$A:$B,2,0),AC423,1),"")</f>
        <v>K</v>
      </c>
      <c r="AC423" s="9">
        <v>360</v>
      </c>
      <c r="AD423" s="9" t="str">
        <f>IFERROR(MID(VLOOKUP($B423,Seqs!$A:$B,2,0),AE423,1),"")</f>
        <v>A</v>
      </c>
      <c r="AE423" s="9">
        <v>383</v>
      </c>
      <c r="AF423" s="9" t="str">
        <f>IFERROR(MID(VLOOKUP($B423,Seqs!$A:$B,2,0),AG423,1),"")</f>
        <v>C</v>
      </c>
      <c r="AG423" s="9">
        <v>394</v>
      </c>
      <c r="AH423" s="9" t="str">
        <f>IFERROR(MID(VLOOKUP($B423,Seqs!$A:$B,2,0),AI423,1),"")</f>
        <v>V</v>
      </c>
      <c r="AI423" s="9">
        <v>396</v>
      </c>
      <c r="AJ423" s="9" t="str">
        <f>IFERROR(MID(VLOOKUP($B423,Seqs!$A:$B,2,0),AK423,1),"")</f>
        <v>N</v>
      </c>
      <c r="AK423" s="9">
        <v>400</v>
      </c>
      <c r="AL423" s="9" t="str">
        <f>IFERROR(MID(VLOOKUP($B423,Seqs!$A:$B,2,0),AM423,1),"")</f>
        <v>H</v>
      </c>
      <c r="AM423" s="9">
        <v>437</v>
      </c>
      <c r="AN423" s="9" t="str">
        <f>IFERROR(MID(VLOOKUP($B423,Seqs!$A:$B,2,0),AO423,1),"")</f>
        <v>S</v>
      </c>
      <c r="AO423" s="9">
        <v>442</v>
      </c>
      <c r="AP423" s="9" t="str">
        <f>IFERROR(MID(VLOOKUP($B423,Seqs!$A:$B,2,0),AQ423,1),"")</f>
        <v>I</v>
      </c>
      <c r="AQ423" s="9">
        <v>500</v>
      </c>
      <c r="AR423" s="9" t="str">
        <f>IFERROR(MID(VLOOKUP($B423,Seqs!$A:$B,2,0),AS423,1),"")</f>
        <v>S</v>
      </c>
      <c r="AS423" s="9">
        <v>518</v>
      </c>
      <c r="AT423" s="9" t="str">
        <f>IFERROR(MID(VLOOKUP($B423,Seqs!$A:$B,2,0),AU423,1),"")</f>
        <v>W</v>
      </c>
      <c r="AU423" s="9">
        <v>541</v>
      </c>
      <c r="AV423" s="9" t="str">
        <f>IFERROR(MID(VLOOKUP($B423,Seqs!$A:$B,2,0),AW423,1),"")</f>
        <v>T</v>
      </c>
      <c r="AW423" s="9">
        <v>542</v>
      </c>
      <c r="AX423" s="9" t="str">
        <f>IFERROR(MID(VLOOKUP($B423,Seqs!$A:$B,2,0),AY423,1),"")</f>
        <v>T</v>
      </c>
      <c r="AY423" s="9">
        <v>557</v>
      </c>
      <c r="AZ423" s="134" t="str">
        <f>VLOOKUP(B423,Classification!A:D,2,0)</f>
        <v>F</v>
      </c>
      <c r="BA423" s="98" t="str">
        <f>VLOOKUP(B423,Classification!A:D,4,0)</f>
        <v>Frizzled</v>
      </c>
      <c r="BB423" s="135" t="b">
        <f t="shared" ref="BB423:BB424" si="3215">AND(E423&lt;G423,OR(G423&lt;I423,I423="-"),OR(I423&lt;K423,I423="-"),OR(K423&lt;M423,K423="-"),M423&lt;O423,OR(O423&lt;Q423,Q423="-"),OR(Q423&lt;S423,Q423="-"),OR(S423&lt;U423,S423="-"),U423&lt;W423,OR(W423&lt;Y423,Y423="-"),OR(Y423&lt;AA423,Y423="-"),OR(AA423&lt;AC423,AA423="-"),AC423&lt;AE423,OR(AE423&lt;AG423,AG423="-"),OR(AG423&lt;AI423,AG423="-"),OR(AI423&lt;AK423,AI423="-"),AK423&lt;AM423,AM423&lt;AO423,AO423&lt;AQ423,AQ423&lt;AS423,AS423&lt;AU423,OR(AU423&lt;AW423,AW423="-"),OR(AW423&lt;AY423,AW423="-"))</f>
        <v>1</v>
      </c>
      <c r="BC423" s="109">
        <f t="shared" ref="BC423:BC424" si="3216">_xlfn.AGGREGATE(9,6,CH423:CS423)-_xlfn.AGGREGATE(9,6,BV423:CG423)+12</f>
        <v>263</v>
      </c>
      <c r="BD423" s="123" t="s">
        <v>23</v>
      </c>
      <c r="BE423" s="9" t="s">
        <v>1291</v>
      </c>
      <c r="BF423" s="119">
        <v>4.84</v>
      </c>
      <c r="BG423" s="51" t="s">
        <v>1422</v>
      </c>
      <c r="BH423" s="51" t="s">
        <v>1422</v>
      </c>
      <c r="BI423" s="9"/>
      <c r="BJ423" s="136" t="s">
        <v>1287</v>
      </c>
      <c r="BK423" s="112" t="s">
        <v>1287</v>
      </c>
      <c r="BL423" s="112" t="s">
        <v>1287</v>
      </c>
      <c r="BM423" s="112" t="s">
        <v>1287</v>
      </c>
      <c r="BN423" s="112" t="s">
        <v>1287</v>
      </c>
      <c r="BO423" s="112" t="s">
        <v>1287</v>
      </c>
      <c r="BP423" s="112" t="s">
        <v>1287</v>
      </c>
      <c r="BQ423" s="112" t="s">
        <v>1287</v>
      </c>
      <c r="BR423" s="112" t="s">
        <v>1287</v>
      </c>
      <c r="BS423" s="112" t="s">
        <v>1287</v>
      </c>
      <c r="BT423" s="112" t="s">
        <v>1287</v>
      </c>
      <c r="BU423" s="112" t="s">
        <v>1287</v>
      </c>
      <c r="BV423" s="136">
        <f t="shared" ref="BV423:BV424" si="3217">E423</f>
        <v>227</v>
      </c>
      <c r="BW423" s="113">
        <f t="shared" ref="BW423:BW424" si="3218">I423</f>
        <v>260</v>
      </c>
      <c r="BX423" s="114">
        <f t="shared" ref="BX423:BX424" si="3219">M423</f>
        <v>265</v>
      </c>
      <c r="BY423" s="113" t="str">
        <f t="shared" ref="BY423:BY424" si="3220">Q423</f>
        <v>-</v>
      </c>
      <c r="BZ423" s="114">
        <f t="shared" ref="BZ423:BZ424" si="3221">U423</f>
        <v>316</v>
      </c>
      <c r="CA423" s="113" t="str">
        <f t="shared" ref="CA423:CA424" si="3222">Y423</f>
        <v>-</v>
      </c>
      <c r="CB423" s="114">
        <f t="shared" ref="CB423:CB424" si="3223">AC423</f>
        <v>360</v>
      </c>
      <c r="CC423" s="113">
        <f t="shared" ref="CC423:CC424" si="3224">AG423</f>
        <v>394</v>
      </c>
      <c r="CD423" s="114">
        <f t="shared" ref="CD423:CD424" si="3225">AK423</f>
        <v>400</v>
      </c>
      <c r="CE423" s="113">
        <f t="shared" ref="CE423:CE424" si="3226">AO423</f>
        <v>442</v>
      </c>
      <c r="CF423" s="114">
        <f t="shared" ref="CF423:CF424" si="3227">AS423</f>
        <v>518</v>
      </c>
      <c r="CG423" s="113">
        <f t="shared" ref="CG423:CG424" si="3228">AW423</f>
        <v>542</v>
      </c>
      <c r="CH423" s="136">
        <f t="shared" ref="CH423:CH424" si="3229">G423</f>
        <v>259</v>
      </c>
      <c r="CI423" s="113">
        <f t="shared" ref="CI423:CI424" si="3230">K423</f>
        <v>264</v>
      </c>
      <c r="CJ423" s="114">
        <f t="shared" ref="CJ423:CJ424" si="3231">O423</f>
        <v>289</v>
      </c>
      <c r="CK423" s="114" t="str">
        <f t="shared" ref="CK423:CK424" si="3232">S423</f>
        <v>-</v>
      </c>
      <c r="CL423" s="114">
        <f t="shared" ref="CL423:CL424" si="3233">W423</f>
        <v>349</v>
      </c>
      <c r="CM423" s="114" t="str">
        <f t="shared" ref="CM423:CM424" si="3234">AA423</f>
        <v>-</v>
      </c>
      <c r="CN423" s="114">
        <f t="shared" ref="CN423:CN424" si="3235">AE423</f>
        <v>383</v>
      </c>
      <c r="CO423" s="114">
        <f t="shared" ref="CO423:CO424" si="3236">AI423</f>
        <v>396</v>
      </c>
      <c r="CP423" s="114">
        <f t="shared" ref="CP423:CP424" si="3237">AM423</f>
        <v>437</v>
      </c>
      <c r="CQ423" s="114">
        <f t="shared" ref="CQ423:CQ424" si="3238">AQ423</f>
        <v>500</v>
      </c>
      <c r="CR423" s="114">
        <f t="shared" ref="CR423:CR424" si="3239">AU423</f>
        <v>541</v>
      </c>
      <c r="CS423" s="114">
        <f t="shared" ref="CS423:CS424" si="3240">AY423</f>
        <v>557</v>
      </c>
      <c r="CT423" s="109">
        <f t="shared" ref="CT423:CT424" si="3241">M423-K423</f>
        <v>1</v>
      </c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  <c r="AMO423" s="9"/>
    </row>
    <row r="424" spans="1:1030" s="12" customFormat="1" x14ac:dyDescent="0.2">
      <c r="A424" s="9" t="str">
        <f t="shared" si="3214"/>
        <v>smo_mouse_6O3C</v>
      </c>
      <c r="B424" s="9" t="s">
        <v>1594</v>
      </c>
      <c r="C424" s="9" t="s">
        <v>1595</v>
      </c>
      <c r="D424" s="9" t="str">
        <f>IFERROR(MID(VLOOKUP($B424,Seqs!$A:$B,2,0),E424,1),"")</f>
        <v>T</v>
      </c>
      <c r="E424" s="9">
        <v>227</v>
      </c>
      <c r="F424" s="9" t="str">
        <f>IFERROR(MID(VLOOKUP($B424,Seqs!$A:$B,2,0),G424,1),"")</f>
        <v>D</v>
      </c>
      <c r="G424" s="9">
        <v>259</v>
      </c>
      <c r="H424" s="9" t="str">
        <f>IFERROR(MID(VLOOKUP($B424,Seqs!$A:$B,2,0),I424,1),"")</f>
        <v>W</v>
      </c>
      <c r="I424" s="109">
        <v>260</v>
      </c>
      <c r="J424" s="9" t="str">
        <f>IFERROR(MID(VLOOKUP($B424,Seqs!$A:$B,2,0),K424,1),"")</f>
        <v>N</v>
      </c>
      <c r="K424" s="109">
        <v>264</v>
      </c>
      <c r="L424" s="9" t="str">
        <f>IFERROR(MID(VLOOKUP($B424,Seqs!$A:$B,2,0),M424,1),"")</f>
        <v>R</v>
      </c>
      <c r="M424" s="9">
        <v>265</v>
      </c>
      <c r="N424" s="9" t="str">
        <f>IFERROR(MID(VLOOKUP($B424,Seqs!$A:$B,2,0),O424,1),"")</f>
        <v>F</v>
      </c>
      <c r="O424" s="9">
        <v>289</v>
      </c>
      <c r="P424" s="9" t="str">
        <f>IFERROR(MID(VLOOKUP($B424,Seqs!$A:$B,2,0),Q424,1),"")</f>
        <v/>
      </c>
      <c r="Q424" s="9" t="s">
        <v>23</v>
      </c>
      <c r="R424" s="9" t="str">
        <f>IFERROR(MID(VLOOKUP($B424,Seqs!$A:$B,2,0),S424,1),"")</f>
        <v/>
      </c>
      <c r="S424" s="9" t="s">
        <v>23</v>
      </c>
      <c r="T424" s="9" t="str">
        <f>IFERROR(MID(VLOOKUP($B424,Seqs!$A:$B,2,0),U424,1),"")</f>
        <v>L</v>
      </c>
      <c r="U424" s="9">
        <v>316</v>
      </c>
      <c r="V424" s="9" t="str">
        <f>IFERROR(MID(VLOOKUP($B424,Seqs!$A:$B,2,0),W424,1),"")</f>
        <v>A</v>
      </c>
      <c r="W424" s="9">
        <v>349</v>
      </c>
      <c r="X424" s="9" t="str">
        <f>IFERROR(MID(VLOOKUP($B424,Seqs!$A:$B,2,0),Y424,1),"")</f>
        <v/>
      </c>
      <c r="Y424" s="9" t="s">
        <v>23</v>
      </c>
      <c r="Z424" s="9" t="str">
        <f>IFERROR(MID(VLOOKUP($B424,Seqs!$A:$B,2,0),AA424,1),"")</f>
        <v/>
      </c>
      <c r="AA424" s="9" t="s">
        <v>23</v>
      </c>
      <c r="AB424" s="9" t="str">
        <f>IFERROR(MID(VLOOKUP($B424,Seqs!$A:$B,2,0),AC424,1),"")</f>
        <v>K</v>
      </c>
      <c r="AC424" s="9">
        <v>360</v>
      </c>
      <c r="AD424" s="9" t="str">
        <f>IFERROR(MID(VLOOKUP($B424,Seqs!$A:$B,2,0),AE424,1),"")</f>
        <v>A</v>
      </c>
      <c r="AE424" s="9">
        <v>383</v>
      </c>
      <c r="AF424" s="9" t="str">
        <f>IFERROR(MID(VLOOKUP($B424,Seqs!$A:$B,2,0),AG424,1),"")</f>
        <v>C</v>
      </c>
      <c r="AG424" s="9">
        <v>394</v>
      </c>
      <c r="AH424" s="9" t="str">
        <f>IFERROR(MID(VLOOKUP($B424,Seqs!$A:$B,2,0),AI424,1),"")</f>
        <v>V</v>
      </c>
      <c r="AI424" s="9">
        <v>396</v>
      </c>
      <c r="AJ424" s="9" t="str">
        <f>IFERROR(MID(VLOOKUP($B424,Seqs!$A:$B,2,0),AK424,1),"")</f>
        <v>N</v>
      </c>
      <c r="AK424" s="9">
        <v>400</v>
      </c>
      <c r="AL424" s="9" t="str">
        <f>IFERROR(MID(VLOOKUP($B424,Seqs!$A:$B,2,0),AM424,1),"")</f>
        <v>H</v>
      </c>
      <c r="AM424" s="9">
        <v>437</v>
      </c>
      <c r="AN424" s="9" t="str">
        <f>IFERROR(MID(VLOOKUP($B424,Seqs!$A:$B,2,0),AO424,1),"")</f>
        <v>S</v>
      </c>
      <c r="AO424" s="9">
        <v>442</v>
      </c>
      <c r="AP424" s="9" t="str">
        <f>IFERROR(MID(VLOOKUP($B424,Seqs!$A:$B,2,0),AQ424,1),"")</f>
        <v>T</v>
      </c>
      <c r="AQ424" s="9">
        <v>499</v>
      </c>
      <c r="AR424" s="9" t="str">
        <f>IFERROR(MID(VLOOKUP($B424,Seqs!$A:$B,2,0),AS424,1),"")</f>
        <v>S</v>
      </c>
      <c r="AS424" s="9">
        <v>518</v>
      </c>
      <c r="AT424" s="9" t="str">
        <f>IFERROR(MID(VLOOKUP($B424,Seqs!$A:$B,2,0),AU424,1),"")</f>
        <v>W</v>
      </c>
      <c r="AU424" s="9">
        <v>541</v>
      </c>
      <c r="AV424" s="9" t="str">
        <f>IFERROR(MID(VLOOKUP($B424,Seqs!$A:$B,2,0),AW424,1),"")</f>
        <v>T</v>
      </c>
      <c r="AW424" s="9">
        <v>542</v>
      </c>
      <c r="AX424" s="9" t="str">
        <f>IFERROR(MID(VLOOKUP($B424,Seqs!$A:$B,2,0),AY424,1),"")</f>
        <v>R</v>
      </c>
      <c r="AY424" s="9">
        <v>555</v>
      </c>
      <c r="AZ424" s="134" t="str">
        <f>VLOOKUP(B424,Classification!A:D,2,0)</f>
        <v>F</v>
      </c>
      <c r="BA424" s="98" t="str">
        <f>VLOOKUP(B424,Classification!A:D,4,0)</f>
        <v>Frizzled</v>
      </c>
      <c r="BB424" s="135" t="b">
        <f t="shared" si="3215"/>
        <v>1</v>
      </c>
      <c r="BC424" s="109">
        <f t="shared" si="3216"/>
        <v>260</v>
      </c>
      <c r="BD424" s="123" t="s">
        <v>23</v>
      </c>
      <c r="BE424" s="9" t="s">
        <v>1291</v>
      </c>
      <c r="BF424" s="119">
        <v>5.84</v>
      </c>
      <c r="BG424" s="51" t="s">
        <v>1422</v>
      </c>
      <c r="BH424" s="51" t="s">
        <v>1422</v>
      </c>
      <c r="BI424" s="9"/>
      <c r="BJ424" s="136" t="s">
        <v>1287</v>
      </c>
      <c r="BK424" s="112" t="s">
        <v>1287</v>
      </c>
      <c r="BL424" s="112" t="s">
        <v>1287</v>
      </c>
      <c r="BM424" s="112" t="s">
        <v>1287</v>
      </c>
      <c r="BN424" s="112" t="s">
        <v>1287</v>
      </c>
      <c r="BO424" s="112" t="s">
        <v>1287</v>
      </c>
      <c r="BP424" s="112" t="s">
        <v>1287</v>
      </c>
      <c r="BQ424" s="112" t="s">
        <v>1287</v>
      </c>
      <c r="BR424" s="112" t="s">
        <v>1287</v>
      </c>
      <c r="BS424" s="112" t="s">
        <v>1287</v>
      </c>
      <c r="BT424" s="112" t="s">
        <v>1287</v>
      </c>
      <c r="BU424" s="112" t="s">
        <v>1287</v>
      </c>
      <c r="BV424" s="136">
        <f t="shared" si="3217"/>
        <v>227</v>
      </c>
      <c r="BW424" s="113">
        <f t="shared" si="3218"/>
        <v>260</v>
      </c>
      <c r="BX424" s="114">
        <f t="shared" si="3219"/>
        <v>265</v>
      </c>
      <c r="BY424" s="113" t="str">
        <f t="shared" si="3220"/>
        <v>-</v>
      </c>
      <c r="BZ424" s="114">
        <f t="shared" si="3221"/>
        <v>316</v>
      </c>
      <c r="CA424" s="113" t="str">
        <f t="shared" si="3222"/>
        <v>-</v>
      </c>
      <c r="CB424" s="114">
        <f t="shared" si="3223"/>
        <v>360</v>
      </c>
      <c r="CC424" s="113">
        <f t="shared" si="3224"/>
        <v>394</v>
      </c>
      <c r="CD424" s="114">
        <f t="shared" si="3225"/>
        <v>400</v>
      </c>
      <c r="CE424" s="113">
        <f t="shared" si="3226"/>
        <v>442</v>
      </c>
      <c r="CF424" s="114">
        <f t="shared" si="3227"/>
        <v>518</v>
      </c>
      <c r="CG424" s="113">
        <f t="shared" si="3228"/>
        <v>542</v>
      </c>
      <c r="CH424" s="136">
        <f t="shared" si="3229"/>
        <v>259</v>
      </c>
      <c r="CI424" s="113">
        <f t="shared" si="3230"/>
        <v>264</v>
      </c>
      <c r="CJ424" s="114">
        <f t="shared" si="3231"/>
        <v>289</v>
      </c>
      <c r="CK424" s="114" t="str">
        <f t="shared" si="3232"/>
        <v>-</v>
      </c>
      <c r="CL424" s="114">
        <f t="shared" si="3233"/>
        <v>349</v>
      </c>
      <c r="CM424" s="114" t="str">
        <f t="shared" si="3234"/>
        <v>-</v>
      </c>
      <c r="CN424" s="114">
        <f t="shared" si="3235"/>
        <v>383</v>
      </c>
      <c r="CO424" s="114">
        <f t="shared" si="3236"/>
        <v>396</v>
      </c>
      <c r="CP424" s="114">
        <f t="shared" si="3237"/>
        <v>437</v>
      </c>
      <c r="CQ424" s="114">
        <f t="shared" si="3238"/>
        <v>499</v>
      </c>
      <c r="CR424" s="114">
        <f t="shared" si="3239"/>
        <v>541</v>
      </c>
      <c r="CS424" s="114">
        <f t="shared" si="3240"/>
        <v>555</v>
      </c>
      <c r="CT424" s="109">
        <f t="shared" si="3241"/>
        <v>1</v>
      </c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  <c r="AMO424" s="9"/>
    </row>
    <row r="425" spans="1:1030" x14ac:dyDescent="0.2">
      <c r="A425" s="3" t="str">
        <f t="shared" si="3186"/>
        <v>q98sw5_xenla__wt</v>
      </c>
      <c r="B425" s="3" t="s">
        <v>1495</v>
      </c>
      <c r="C425" s="3" t="s">
        <v>100</v>
      </c>
      <c r="D425" s="3" t="str">
        <f>IFERROR(MID(VLOOKUP($B425,Seqs!$A:$B,2,0),E425,1),"")</f>
        <v>T</v>
      </c>
      <c r="E425" s="3">
        <v>196</v>
      </c>
      <c r="F425" s="3" t="str">
        <f>IFERROR(MID(VLOOKUP($B425,Seqs!$A:$B,2,0),G425,1),"")</f>
        <v>D</v>
      </c>
      <c r="G425" s="3">
        <v>228</v>
      </c>
      <c r="H425" s="3" t="str">
        <f>IFERROR(MID(VLOOKUP($B425,Seqs!$A:$B,2,0),I425,1),"")</f>
        <v>W</v>
      </c>
      <c r="I425" s="23">
        <v>229</v>
      </c>
      <c r="J425" s="3" t="str">
        <f>IFERROR(MID(VLOOKUP($B425,Seqs!$A:$B,2,0),K425,1),"")</f>
        <v>N</v>
      </c>
      <c r="K425" s="23">
        <v>233</v>
      </c>
      <c r="L425" s="3" t="str">
        <f>IFERROR(MID(VLOOKUP($B425,Seqs!$A:$B,2,0),M425,1),"")</f>
        <v>R</v>
      </c>
      <c r="M425" s="3">
        <v>234</v>
      </c>
      <c r="N425" s="3" t="str">
        <f>IFERROR(MID(VLOOKUP($B425,Seqs!$A:$B,2,0),O425,1),"")</f>
        <v>A</v>
      </c>
      <c r="O425" s="3">
        <v>256</v>
      </c>
      <c r="P425" s="3" t="str">
        <f>IFERROR(MID(VLOOKUP($B425,Seqs!$A:$B,2,0),Q425,1),"")</f>
        <v/>
      </c>
      <c r="Q425" s="3" t="s">
        <v>23</v>
      </c>
      <c r="R425" s="3" t="str">
        <f>IFERROR(MID(VLOOKUP($B425,Seqs!$A:$B,2,0),S425,1),"")</f>
        <v/>
      </c>
      <c r="S425" s="3" t="s">
        <v>23</v>
      </c>
      <c r="T425" s="3" t="str">
        <f>IFERROR(MID(VLOOKUP($B425,Seqs!$A:$B,2,0),U425,1),"")</f>
        <v>L</v>
      </c>
      <c r="U425" s="3">
        <v>285</v>
      </c>
      <c r="V425" s="3" t="str">
        <f>IFERROR(MID(VLOOKUP($B425,Seqs!$A:$B,2,0),W425,1),"")</f>
        <v>T</v>
      </c>
      <c r="W425" s="3">
        <v>321</v>
      </c>
      <c r="X425" s="3" t="str">
        <f>IFERROR(MID(VLOOKUP($B425,Seqs!$A:$B,2,0),Y425,1),"")</f>
        <v/>
      </c>
      <c r="Y425" s="3" t="s">
        <v>23</v>
      </c>
      <c r="Z425" s="3" t="str">
        <f>IFERROR(MID(VLOOKUP($B425,Seqs!$A:$B,2,0),AA425,1),"")</f>
        <v/>
      </c>
      <c r="AA425" s="3" t="s">
        <v>23</v>
      </c>
      <c r="AB425" s="3" t="str">
        <f>IFERROR(MID(VLOOKUP($B425,Seqs!$A:$B,2,0),AC425,1),"")</f>
        <v>L</v>
      </c>
      <c r="AC425" s="3">
        <v>326</v>
      </c>
      <c r="AD425" s="3" t="str">
        <f>IFERROR(MID(VLOOKUP($B425,Seqs!$A:$B,2,0),AE425,1),"")</f>
        <v>V</v>
      </c>
      <c r="AE425" s="3">
        <v>351</v>
      </c>
      <c r="AF425" s="3" t="str">
        <f>IFERROR(MID(VLOOKUP($B425,Seqs!$A:$B,2,0),AG425,1),"")</f>
        <v>C</v>
      </c>
      <c r="AG425" s="3">
        <v>363</v>
      </c>
      <c r="AH425" s="3" t="str">
        <f>IFERROR(MID(VLOOKUP($B425,Seqs!$A:$B,2,0),AI425,1),"")</f>
        <v>V</v>
      </c>
      <c r="AI425" s="3">
        <v>365</v>
      </c>
      <c r="AJ425" s="3" t="str">
        <f>IFERROR(MID(VLOOKUP($B425,Seqs!$A:$B,2,0),AK425,1),"")</f>
        <v>N</v>
      </c>
      <c r="AK425" s="3">
        <v>369</v>
      </c>
      <c r="AL425" s="3" t="str">
        <f>IFERROR(MID(VLOOKUP($B425,Seqs!$A:$B,2,0),AM425,1),"")</f>
        <v>H</v>
      </c>
      <c r="AM425" s="3">
        <v>406</v>
      </c>
      <c r="AN425" s="3" t="str">
        <f>IFERROR(MID(VLOOKUP($B425,Seqs!$A:$B,2,0),AO425,1),"")</f>
        <v>A</v>
      </c>
      <c r="AO425" s="3">
        <v>415</v>
      </c>
      <c r="AP425" s="3" t="str">
        <f>IFERROR(MID(VLOOKUP($B425,Seqs!$A:$B,2,0),AQ425,1),"")</f>
        <v>Q</v>
      </c>
      <c r="AQ425" s="3">
        <v>472</v>
      </c>
      <c r="AR425" s="3" t="str">
        <f>IFERROR(MID(VLOOKUP($B425,Seqs!$A:$B,2,0),AS425,1),"")</f>
        <v>S</v>
      </c>
      <c r="AS425" s="3">
        <v>487</v>
      </c>
      <c r="AT425" s="3" t="str">
        <f>IFERROR(MID(VLOOKUP($B425,Seqs!$A:$B,2,0),AU425,1),"")</f>
        <v>W</v>
      </c>
      <c r="AU425" s="3">
        <v>510</v>
      </c>
      <c r="AV425" s="3" t="str">
        <f>IFERROR(MID(VLOOKUP($B425,Seqs!$A:$B,2,0),AW425,1),"")</f>
        <v>T</v>
      </c>
      <c r="AW425" s="3">
        <v>511</v>
      </c>
      <c r="AX425" s="3" t="str">
        <f>IFERROR(MID(VLOOKUP($B425,Seqs!$A:$B,2,0),AY425,1),"")</f>
        <v>L</v>
      </c>
      <c r="AY425" s="3">
        <v>526</v>
      </c>
      <c r="AZ425" s="78" t="str">
        <f>VLOOKUP(B425,Classification!A:D,2,0)</f>
        <v>F</v>
      </c>
      <c r="BA425" s="94" t="str">
        <f>VLOOKUP(B425,Classification!A:D,4,0)</f>
        <v>Frizzled</v>
      </c>
      <c r="BB425" s="92" t="b">
        <f t="shared" si="3187"/>
        <v>1</v>
      </c>
      <c r="BC425" s="23">
        <f t="shared" si="3188"/>
        <v>265</v>
      </c>
      <c r="BD425" s="74" t="s">
        <v>23</v>
      </c>
      <c r="BE425" s="3" t="s">
        <v>1374</v>
      </c>
      <c r="BF425" s="118" t="s">
        <v>23</v>
      </c>
      <c r="BG425" s="49" t="s">
        <v>1</v>
      </c>
      <c r="BH425" s="49" t="s">
        <v>1</v>
      </c>
      <c r="BJ425" s="75" t="s">
        <v>1287</v>
      </c>
      <c r="BK425" s="57" t="s">
        <v>1287</v>
      </c>
      <c r="BL425" s="57" t="s">
        <v>1287</v>
      </c>
      <c r="BM425" s="57" t="s">
        <v>1287</v>
      </c>
      <c r="BN425" s="57" t="s">
        <v>1287</v>
      </c>
      <c r="BO425" s="57" t="s">
        <v>1287</v>
      </c>
      <c r="BP425" s="57" t="s">
        <v>1287</v>
      </c>
      <c r="BQ425" s="57" t="s">
        <v>1287</v>
      </c>
      <c r="BR425" s="57" t="s">
        <v>1287</v>
      </c>
      <c r="BS425" s="57" t="s">
        <v>1287</v>
      </c>
      <c r="BT425" s="57" t="s">
        <v>1287</v>
      </c>
      <c r="BU425" s="57" t="s">
        <v>1287</v>
      </c>
      <c r="BV425" s="75">
        <f t="shared" si="3189"/>
        <v>196</v>
      </c>
      <c r="BW425" s="71">
        <f t="shared" si="3190"/>
        <v>229</v>
      </c>
      <c r="BX425" s="72">
        <f t="shared" si="3191"/>
        <v>234</v>
      </c>
      <c r="BY425" s="71" t="str">
        <f t="shared" si="3192"/>
        <v>-</v>
      </c>
      <c r="BZ425" s="72">
        <f t="shared" si="3193"/>
        <v>285</v>
      </c>
      <c r="CA425" s="71" t="str">
        <f t="shared" si="3194"/>
        <v>-</v>
      </c>
      <c r="CB425" s="72">
        <f t="shared" si="3195"/>
        <v>326</v>
      </c>
      <c r="CC425" s="71">
        <f t="shared" si="3196"/>
        <v>363</v>
      </c>
      <c r="CD425" s="72">
        <f t="shared" si="3197"/>
        <v>369</v>
      </c>
      <c r="CE425" s="71">
        <f t="shared" si="3198"/>
        <v>415</v>
      </c>
      <c r="CF425" s="72">
        <f t="shared" si="3199"/>
        <v>487</v>
      </c>
      <c r="CG425" s="71">
        <f t="shared" si="3200"/>
        <v>511</v>
      </c>
      <c r="CH425" s="75">
        <f t="shared" si="3201"/>
        <v>228</v>
      </c>
      <c r="CI425" s="71">
        <f t="shared" si="3202"/>
        <v>233</v>
      </c>
      <c r="CJ425" s="72">
        <f t="shared" si="3203"/>
        <v>256</v>
      </c>
      <c r="CK425" s="72" t="str">
        <f t="shared" si="3204"/>
        <v>-</v>
      </c>
      <c r="CL425" s="72">
        <f t="shared" si="3205"/>
        <v>321</v>
      </c>
      <c r="CM425" s="72" t="str">
        <f t="shared" si="3206"/>
        <v>-</v>
      </c>
      <c r="CN425" s="72">
        <f t="shared" si="3207"/>
        <v>351</v>
      </c>
      <c r="CO425" s="72">
        <f t="shared" si="3208"/>
        <v>365</v>
      </c>
      <c r="CP425" s="72">
        <f t="shared" si="3209"/>
        <v>406</v>
      </c>
      <c r="CQ425" s="72">
        <f t="shared" si="3210"/>
        <v>472</v>
      </c>
      <c r="CR425" s="72">
        <f t="shared" si="3211"/>
        <v>510</v>
      </c>
      <c r="CS425" s="72">
        <f t="shared" si="3212"/>
        <v>526</v>
      </c>
      <c r="CT425" s="23">
        <f t="shared" si="3213"/>
        <v>1</v>
      </c>
    </row>
    <row r="426" spans="1:1030" x14ac:dyDescent="0.2">
      <c r="A426" s="3" t="str">
        <f t="shared" si="3186"/>
        <v>q98sw5_xenla_6D32</v>
      </c>
      <c r="B426" s="3" t="s">
        <v>1495</v>
      </c>
      <c r="C426" s="3" t="s">
        <v>1494</v>
      </c>
      <c r="D426" s="3" t="str">
        <f>IFERROR(MID(VLOOKUP($B426,Seqs!$A:$B,2,0),E426,1),"")</f>
        <v>T</v>
      </c>
      <c r="E426" s="3">
        <v>196</v>
      </c>
      <c r="F426" s="3" t="str">
        <f>IFERROR(MID(VLOOKUP($B426,Seqs!$A:$B,2,0),G426,1),"")</f>
        <v>D</v>
      </c>
      <c r="G426" s="3">
        <v>228</v>
      </c>
      <c r="H426" s="3" t="str">
        <f>IFERROR(MID(VLOOKUP($B426,Seqs!$A:$B,2,0),I426,1),"")</f>
        <v>W</v>
      </c>
      <c r="I426" s="23">
        <v>229</v>
      </c>
      <c r="J426" s="3" t="str">
        <f>IFERROR(MID(VLOOKUP($B426,Seqs!$A:$B,2,0),K426,1),"")</f>
        <v>N</v>
      </c>
      <c r="K426" s="23">
        <v>233</v>
      </c>
      <c r="L426" s="3" t="str">
        <f>IFERROR(MID(VLOOKUP($B426,Seqs!$A:$B,2,0),M426,1),"")</f>
        <v>R</v>
      </c>
      <c r="M426" s="3">
        <v>234</v>
      </c>
      <c r="N426" s="3" t="str">
        <f>IFERROR(MID(VLOOKUP($B426,Seqs!$A:$B,2,0),O426,1),"")</f>
        <v>A</v>
      </c>
      <c r="O426" s="3">
        <v>256</v>
      </c>
      <c r="P426" s="3" t="str">
        <f>IFERROR(MID(VLOOKUP($B426,Seqs!$A:$B,2,0),Q426,1),"")</f>
        <v/>
      </c>
      <c r="Q426" s="3" t="s">
        <v>23</v>
      </c>
      <c r="R426" s="3" t="str">
        <f>IFERROR(MID(VLOOKUP($B426,Seqs!$A:$B,2,0),S426,1),"")</f>
        <v/>
      </c>
      <c r="S426" s="3" t="s">
        <v>23</v>
      </c>
      <c r="T426" s="3" t="str">
        <f>IFERROR(MID(VLOOKUP($B426,Seqs!$A:$B,2,0),U426,1),"")</f>
        <v>L</v>
      </c>
      <c r="U426" s="3">
        <v>285</v>
      </c>
      <c r="V426" s="3" t="str">
        <f>IFERROR(MID(VLOOKUP($B426,Seqs!$A:$B,2,0),W426,1),"")</f>
        <v>K</v>
      </c>
      <c r="W426" s="3">
        <v>317</v>
      </c>
      <c r="X426" s="3" t="str">
        <f>IFERROR(MID(VLOOKUP($B426,Seqs!$A:$B,2,0),Y426,1),"")</f>
        <v/>
      </c>
      <c r="Y426" s="3" t="s">
        <v>23</v>
      </c>
      <c r="Z426" s="3" t="str">
        <f>IFERROR(MID(VLOOKUP($B426,Seqs!$A:$B,2,0),AA426,1),"")</f>
        <v/>
      </c>
      <c r="AA426" s="3" t="s">
        <v>23</v>
      </c>
      <c r="AB426" s="3" t="str">
        <f>IFERROR(MID(VLOOKUP($B426,Seqs!$A:$B,2,0),AC426,1),"")</f>
        <v>K</v>
      </c>
      <c r="AC426" s="3">
        <v>329</v>
      </c>
      <c r="AD426" s="3" t="str">
        <f>IFERROR(MID(VLOOKUP($B426,Seqs!$A:$B,2,0),AE426,1),"")</f>
        <v>V</v>
      </c>
      <c r="AE426" s="3">
        <v>351</v>
      </c>
      <c r="AF426" s="3" t="str">
        <f>IFERROR(MID(VLOOKUP($B426,Seqs!$A:$B,2,0),AG426,1),"")</f>
        <v>C</v>
      </c>
      <c r="AG426" s="3">
        <v>363</v>
      </c>
      <c r="AH426" s="3" t="str">
        <f>IFERROR(MID(VLOOKUP($B426,Seqs!$A:$B,2,0),AI426,1),"")</f>
        <v>V</v>
      </c>
      <c r="AI426" s="3">
        <v>365</v>
      </c>
      <c r="AJ426" s="3" t="str">
        <f>IFERROR(MID(VLOOKUP($B426,Seqs!$A:$B,2,0),AK426,1),"")</f>
        <v>N</v>
      </c>
      <c r="AK426" s="3">
        <v>369</v>
      </c>
      <c r="AL426" s="3" t="str">
        <f>IFERROR(MID(VLOOKUP($B426,Seqs!$A:$B,2,0),AM426,1),"")</f>
        <v>S</v>
      </c>
      <c r="AM426" s="3">
        <v>401</v>
      </c>
      <c r="AN426" s="3" t="str">
        <f>IFERROR(MID(VLOOKUP($B426,Seqs!$A:$B,2,0),AO426,1),"")</f>
        <v>S</v>
      </c>
      <c r="AO426" s="3">
        <v>416</v>
      </c>
      <c r="AP426" s="3" t="str">
        <f>IFERROR(MID(VLOOKUP($B426,Seqs!$A:$B,2,0),AQ426,1),"")</f>
        <v>Q</v>
      </c>
      <c r="AQ426" s="3">
        <v>472</v>
      </c>
      <c r="AR426" s="3" t="str">
        <f>IFERROR(MID(VLOOKUP($B426,Seqs!$A:$B,2,0),AS426,1),"")</f>
        <v>S</v>
      </c>
      <c r="AS426" s="3">
        <v>487</v>
      </c>
      <c r="AT426" s="3" t="str">
        <f>IFERROR(MID(VLOOKUP($B426,Seqs!$A:$B,2,0),AU426,1),"")</f>
        <v>W</v>
      </c>
      <c r="AU426" s="3">
        <v>510</v>
      </c>
      <c r="AV426" s="3" t="str">
        <f>IFERROR(MID(VLOOKUP($B426,Seqs!$A:$B,2,0),AW426,1),"")</f>
        <v>T</v>
      </c>
      <c r="AW426" s="3">
        <v>511</v>
      </c>
      <c r="AX426" s="3" t="str">
        <f>IFERROR(MID(VLOOKUP($B426,Seqs!$A:$B,2,0),AY426,1),"")</f>
        <v>R</v>
      </c>
      <c r="AY426" s="3">
        <v>520</v>
      </c>
      <c r="AZ426" s="78" t="str">
        <f>VLOOKUP(B426,Classification!A:D,2,0)</f>
        <v>F</v>
      </c>
      <c r="BA426" s="94" t="str">
        <f>VLOOKUP(B426,Classification!A:D,4,0)</f>
        <v>Frizzled</v>
      </c>
      <c r="BB426" s="92" t="b">
        <f t="shared" si="3187"/>
        <v>1</v>
      </c>
      <c r="BC426" s="23">
        <f t="shared" si="3188"/>
        <v>246</v>
      </c>
      <c r="BD426" s="74" t="s">
        <v>23</v>
      </c>
      <c r="BE426" s="3" t="s">
        <v>1374</v>
      </c>
      <c r="BF426" s="118">
        <v>3.7509999999999999</v>
      </c>
      <c r="BG426" s="49" t="s">
        <v>1</v>
      </c>
      <c r="BH426" s="49" t="s">
        <v>1</v>
      </c>
      <c r="BJ426" s="75" t="s">
        <v>1287</v>
      </c>
      <c r="BK426" s="57" t="s">
        <v>1287</v>
      </c>
      <c r="BL426" s="57" t="s">
        <v>1287</v>
      </c>
      <c r="BM426" s="57" t="s">
        <v>1287</v>
      </c>
      <c r="BN426" s="57" t="s">
        <v>1287</v>
      </c>
      <c r="BO426" s="57" t="s">
        <v>1287</v>
      </c>
      <c r="BP426" s="57" t="s">
        <v>1287</v>
      </c>
      <c r="BQ426" s="57" t="s">
        <v>1287</v>
      </c>
      <c r="BR426" s="57" t="s">
        <v>1287</v>
      </c>
      <c r="BS426" s="57" t="s">
        <v>1287</v>
      </c>
      <c r="BT426" s="57" t="s">
        <v>1287</v>
      </c>
      <c r="BU426" s="57" t="s">
        <v>1287</v>
      </c>
      <c r="BV426" s="75">
        <f t="shared" si="3189"/>
        <v>196</v>
      </c>
      <c r="BW426" s="71">
        <f t="shared" si="3190"/>
        <v>229</v>
      </c>
      <c r="BX426" s="72">
        <f t="shared" si="3191"/>
        <v>234</v>
      </c>
      <c r="BY426" s="71" t="str">
        <f t="shared" si="3192"/>
        <v>-</v>
      </c>
      <c r="BZ426" s="72">
        <f t="shared" si="3193"/>
        <v>285</v>
      </c>
      <c r="CA426" s="71" t="str">
        <f t="shared" si="3194"/>
        <v>-</v>
      </c>
      <c r="CB426" s="72">
        <f t="shared" si="3195"/>
        <v>329</v>
      </c>
      <c r="CC426" s="71">
        <f t="shared" si="3196"/>
        <v>363</v>
      </c>
      <c r="CD426" s="72">
        <f t="shared" si="3197"/>
        <v>369</v>
      </c>
      <c r="CE426" s="71">
        <f t="shared" si="3198"/>
        <v>416</v>
      </c>
      <c r="CF426" s="72">
        <f t="shared" si="3199"/>
        <v>487</v>
      </c>
      <c r="CG426" s="71">
        <f t="shared" si="3200"/>
        <v>511</v>
      </c>
      <c r="CH426" s="75">
        <f t="shared" si="3201"/>
        <v>228</v>
      </c>
      <c r="CI426" s="71">
        <f t="shared" si="3202"/>
        <v>233</v>
      </c>
      <c r="CJ426" s="72">
        <f t="shared" si="3203"/>
        <v>256</v>
      </c>
      <c r="CK426" s="72" t="str">
        <f t="shared" si="3204"/>
        <v>-</v>
      </c>
      <c r="CL426" s="72">
        <f t="shared" si="3205"/>
        <v>317</v>
      </c>
      <c r="CM426" s="72" t="str">
        <f t="shared" si="3206"/>
        <v>-</v>
      </c>
      <c r="CN426" s="72">
        <f t="shared" si="3207"/>
        <v>351</v>
      </c>
      <c r="CO426" s="72">
        <f t="shared" si="3208"/>
        <v>365</v>
      </c>
      <c r="CP426" s="72">
        <f t="shared" si="3209"/>
        <v>401</v>
      </c>
      <c r="CQ426" s="72">
        <f t="shared" si="3210"/>
        <v>472</v>
      </c>
      <c r="CR426" s="72">
        <f t="shared" si="3211"/>
        <v>510</v>
      </c>
      <c r="CS426" s="72">
        <f t="shared" si="3212"/>
        <v>520</v>
      </c>
      <c r="CT426" s="23">
        <f t="shared" si="3213"/>
        <v>1</v>
      </c>
    </row>
    <row r="427" spans="1:1030" x14ac:dyDescent="0.2">
      <c r="A427" s="3" t="str">
        <f t="shared" si="3186"/>
        <v>q98sw5_xenla_6D35</v>
      </c>
      <c r="B427" s="3" t="s">
        <v>1495</v>
      </c>
      <c r="C427" s="3" t="s">
        <v>1497</v>
      </c>
      <c r="D427" s="3" t="str">
        <f>IFERROR(MID(VLOOKUP($B427,Seqs!$A:$B,2,0),E427,1),"")</f>
        <v>T</v>
      </c>
      <c r="E427" s="3">
        <v>196</v>
      </c>
      <c r="F427" s="3" t="str">
        <f>IFERROR(MID(VLOOKUP($B427,Seqs!$A:$B,2,0),G427,1),"")</f>
        <v>D</v>
      </c>
      <c r="G427" s="3">
        <v>228</v>
      </c>
      <c r="H427" s="3" t="str">
        <f>IFERROR(MID(VLOOKUP($B427,Seqs!$A:$B,2,0),I427,1),"")</f>
        <v>W</v>
      </c>
      <c r="I427" s="23">
        <v>229</v>
      </c>
      <c r="J427" s="3" t="str">
        <f>IFERROR(MID(VLOOKUP($B427,Seqs!$A:$B,2,0),K427,1),"")</f>
        <v>N</v>
      </c>
      <c r="K427" s="23">
        <v>233</v>
      </c>
      <c r="L427" s="3" t="str">
        <f>IFERROR(MID(VLOOKUP($B427,Seqs!$A:$B,2,0),M427,1),"")</f>
        <v>R</v>
      </c>
      <c r="M427" s="3">
        <v>234</v>
      </c>
      <c r="N427" s="3" t="str">
        <f>IFERROR(MID(VLOOKUP($B427,Seqs!$A:$B,2,0),O427,1),"")</f>
        <v>A</v>
      </c>
      <c r="O427" s="3">
        <v>256</v>
      </c>
      <c r="P427" s="3" t="str">
        <f>IFERROR(MID(VLOOKUP($B427,Seqs!$A:$B,2,0),Q427,1),"")</f>
        <v/>
      </c>
      <c r="Q427" s="3" t="s">
        <v>23</v>
      </c>
      <c r="R427" s="3" t="str">
        <f>IFERROR(MID(VLOOKUP($B427,Seqs!$A:$B,2,0),S427,1),"")</f>
        <v/>
      </c>
      <c r="S427" s="3" t="s">
        <v>23</v>
      </c>
      <c r="T427" s="3" t="str">
        <f>IFERROR(MID(VLOOKUP($B427,Seqs!$A:$B,2,0),U427,1),"")</f>
        <v>L</v>
      </c>
      <c r="U427" s="3">
        <v>285</v>
      </c>
      <c r="V427" s="3" t="str">
        <f>IFERROR(MID(VLOOKUP($B427,Seqs!$A:$B,2,0),W427,1),"")</f>
        <v>K</v>
      </c>
      <c r="W427" s="3">
        <v>317</v>
      </c>
      <c r="X427" s="3" t="str">
        <f>IFERROR(MID(VLOOKUP($B427,Seqs!$A:$B,2,0),Y427,1),"")</f>
        <v/>
      </c>
      <c r="Y427" s="3" t="s">
        <v>23</v>
      </c>
      <c r="Z427" s="3" t="str">
        <f>IFERROR(MID(VLOOKUP($B427,Seqs!$A:$B,2,0),AA427,1),"")</f>
        <v/>
      </c>
      <c r="AA427" s="3" t="s">
        <v>23</v>
      </c>
      <c r="AB427" s="3" t="str">
        <f>IFERROR(MID(VLOOKUP($B427,Seqs!$A:$B,2,0),AC427,1),"")</f>
        <v>K</v>
      </c>
      <c r="AC427" s="3">
        <v>329</v>
      </c>
      <c r="AD427" s="3" t="str">
        <f>IFERROR(MID(VLOOKUP($B427,Seqs!$A:$B,2,0),AE427,1),"")</f>
        <v>V</v>
      </c>
      <c r="AE427" s="3">
        <v>351</v>
      </c>
      <c r="AF427" s="3" t="str">
        <f>IFERROR(MID(VLOOKUP($B427,Seqs!$A:$B,2,0),AG427,1),"")</f>
        <v>C</v>
      </c>
      <c r="AG427" s="3">
        <v>363</v>
      </c>
      <c r="AH427" s="3" t="str">
        <f>IFERROR(MID(VLOOKUP($B427,Seqs!$A:$B,2,0),AI427,1),"")</f>
        <v>V</v>
      </c>
      <c r="AI427" s="3">
        <v>365</v>
      </c>
      <c r="AJ427" s="3" t="str">
        <f>IFERROR(MID(VLOOKUP($B427,Seqs!$A:$B,2,0),AK427,1),"")</f>
        <v>N</v>
      </c>
      <c r="AK427" s="3">
        <v>369</v>
      </c>
      <c r="AL427" s="3" t="str">
        <f>IFERROR(MID(VLOOKUP($B427,Seqs!$A:$B,2,0),AM427,1),"")</f>
        <v>S</v>
      </c>
      <c r="AM427" s="3">
        <v>401</v>
      </c>
      <c r="AN427" s="3" t="str">
        <f>IFERROR(MID(VLOOKUP($B427,Seqs!$A:$B,2,0),AO427,1),"")</f>
        <v>S</v>
      </c>
      <c r="AO427" s="3">
        <v>416</v>
      </c>
      <c r="AP427" s="3" t="str">
        <f>IFERROR(MID(VLOOKUP($B427,Seqs!$A:$B,2,0),AQ427,1),"")</f>
        <v>Q</v>
      </c>
      <c r="AQ427" s="3">
        <v>472</v>
      </c>
      <c r="AR427" s="3" t="str">
        <f>IFERROR(MID(VLOOKUP($B427,Seqs!$A:$B,2,0),AS427,1),"")</f>
        <v>S</v>
      </c>
      <c r="AS427" s="3">
        <v>487</v>
      </c>
      <c r="AT427" s="3" t="str">
        <f>IFERROR(MID(VLOOKUP($B427,Seqs!$A:$B,2,0),AU427,1),"")</f>
        <v>W</v>
      </c>
      <c r="AU427" s="3">
        <v>510</v>
      </c>
      <c r="AV427" s="3" t="str">
        <f>IFERROR(MID(VLOOKUP($B427,Seqs!$A:$B,2,0),AW427,1),"")</f>
        <v>T</v>
      </c>
      <c r="AW427" s="3">
        <v>511</v>
      </c>
      <c r="AX427" s="3" t="str">
        <f>IFERROR(MID(VLOOKUP($B427,Seqs!$A:$B,2,0),AY427,1),"")</f>
        <v>R</v>
      </c>
      <c r="AY427" s="3">
        <v>520</v>
      </c>
      <c r="AZ427" s="78" t="str">
        <f>VLOOKUP(B427,Classification!A:D,2,0)</f>
        <v>F</v>
      </c>
      <c r="BA427" s="94" t="str">
        <f>VLOOKUP(B427,Classification!A:D,4,0)</f>
        <v>Frizzled</v>
      </c>
      <c r="BB427" s="92" t="b">
        <f t="shared" si="3187"/>
        <v>1</v>
      </c>
      <c r="BC427" s="23">
        <f t="shared" si="3188"/>
        <v>246</v>
      </c>
      <c r="BD427" s="74" t="s">
        <v>23</v>
      </c>
      <c r="BE427" s="3" t="s">
        <v>1374</v>
      </c>
      <c r="BF427" s="118">
        <v>3.9</v>
      </c>
      <c r="BG427" s="49" t="s">
        <v>1</v>
      </c>
      <c r="BH427" s="49" t="s">
        <v>1</v>
      </c>
      <c r="BJ427" s="75" t="s">
        <v>1287</v>
      </c>
      <c r="BK427" s="57" t="s">
        <v>1287</v>
      </c>
      <c r="BL427" s="57" t="s">
        <v>1287</v>
      </c>
      <c r="BM427" s="57" t="s">
        <v>1287</v>
      </c>
      <c r="BN427" s="57" t="s">
        <v>1287</v>
      </c>
      <c r="BO427" s="57" t="s">
        <v>1287</v>
      </c>
      <c r="BP427" s="57" t="s">
        <v>1287</v>
      </c>
      <c r="BQ427" s="57" t="s">
        <v>1287</v>
      </c>
      <c r="BR427" s="57" t="s">
        <v>1287</v>
      </c>
      <c r="BS427" s="57" t="s">
        <v>1287</v>
      </c>
      <c r="BT427" s="57" t="s">
        <v>1287</v>
      </c>
      <c r="BU427" s="57" t="s">
        <v>1287</v>
      </c>
      <c r="BV427" s="75">
        <f t="shared" si="3189"/>
        <v>196</v>
      </c>
      <c r="BW427" s="71">
        <f t="shared" si="3190"/>
        <v>229</v>
      </c>
      <c r="BX427" s="72">
        <f t="shared" si="3191"/>
        <v>234</v>
      </c>
      <c r="BY427" s="71" t="str">
        <f t="shared" si="3192"/>
        <v>-</v>
      </c>
      <c r="BZ427" s="72">
        <f t="shared" si="3193"/>
        <v>285</v>
      </c>
      <c r="CA427" s="71" t="str">
        <f t="shared" si="3194"/>
        <v>-</v>
      </c>
      <c r="CB427" s="72">
        <f t="shared" si="3195"/>
        <v>329</v>
      </c>
      <c r="CC427" s="71">
        <f t="shared" si="3196"/>
        <v>363</v>
      </c>
      <c r="CD427" s="72">
        <f t="shared" si="3197"/>
        <v>369</v>
      </c>
      <c r="CE427" s="71">
        <f t="shared" si="3198"/>
        <v>416</v>
      </c>
      <c r="CF427" s="72">
        <f t="shared" si="3199"/>
        <v>487</v>
      </c>
      <c r="CG427" s="71">
        <f t="shared" si="3200"/>
        <v>511</v>
      </c>
      <c r="CH427" s="75">
        <f t="shared" si="3201"/>
        <v>228</v>
      </c>
      <c r="CI427" s="71">
        <f t="shared" si="3202"/>
        <v>233</v>
      </c>
      <c r="CJ427" s="72">
        <f t="shared" si="3203"/>
        <v>256</v>
      </c>
      <c r="CK427" s="72" t="str">
        <f t="shared" si="3204"/>
        <v>-</v>
      </c>
      <c r="CL427" s="72">
        <f t="shared" si="3205"/>
        <v>317</v>
      </c>
      <c r="CM427" s="72" t="str">
        <f t="shared" si="3206"/>
        <v>-</v>
      </c>
      <c r="CN427" s="72">
        <f t="shared" si="3207"/>
        <v>351</v>
      </c>
      <c r="CO427" s="72">
        <f t="shared" si="3208"/>
        <v>365</v>
      </c>
      <c r="CP427" s="72">
        <f t="shared" si="3209"/>
        <v>401</v>
      </c>
      <c r="CQ427" s="72">
        <f t="shared" si="3210"/>
        <v>472</v>
      </c>
      <c r="CR427" s="72">
        <f t="shared" si="3211"/>
        <v>510</v>
      </c>
      <c r="CS427" s="72">
        <f t="shared" si="3212"/>
        <v>520</v>
      </c>
      <c r="CT427" s="23">
        <f t="shared" si="3213"/>
        <v>1</v>
      </c>
    </row>
    <row r="501" spans="52:86" x14ac:dyDescent="0.2">
      <c r="AZ501" s="77"/>
      <c r="BA501" s="28"/>
      <c r="BB501" s="16"/>
      <c r="BD501" s="2"/>
      <c r="BJ501" s="70"/>
      <c r="BV501" s="70"/>
      <c r="CH501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45 BB74 BB29:BB33 BB36:BB40">
    <cfRule type="cellIs" dxfId="76" priority="10" operator="equal">
      <formula>0</formula>
    </cfRule>
  </conditionalFormatting>
  <conditionalFormatting sqref="BB329:BB330">
    <cfRule type="cellIs" dxfId="75" priority="11" operator="equal">
      <formula>0</formula>
    </cfRule>
  </conditionalFormatting>
  <conditionalFormatting sqref="BB12">
    <cfRule type="cellIs" dxfId="74" priority="12" operator="equal">
      <formula>0</formula>
    </cfRule>
  </conditionalFormatting>
  <conditionalFormatting sqref="BB354">
    <cfRule type="cellIs" dxfId="73" priority="13" operator="equal">
      <formula>0</formula>
    </cfRule>
  </conditionalFormatting>
  <conditionalFormatting sqref="E354 AW354 AU354 AS354 AQ354 AO354 AM354 AK354 AI354 AG354 AE354 AC354 AA354 Y354 W354 U354 S354 Q354 O354 M354 K354 I354 G354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8">
    <cfRule type="cellIs" dxfId="70" priority="16" operator="equal">
      <formula>0</formula>
    </cfRule>
  </conditionalFormatting>
  <conditionalFormatting sqref="BB11">
    <cfRule type="cellIs" dxfId="69" priority="20" operator="equal">
      <formula>0</formula>
    </cfRule>
  </conditionalFormatting>
  <conditionalFormatting sqref="E11 AW11 AU11 AS11 AQ11 AO11 AM11 AK11 AI11 AG11 AE11 AC11 AA11 Y11 W11 U11 S11 Q11 O11 M11 K11 I11 G11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3 BB36:BB1048576">
    <cfRule type="cellIs" dxfId="66" priority="8" operator="equal">
      <formula>FALSE</formula>
    </cfRule>
  </conditionalFormatting>
  <conditionalFormatting sqref="BG36:BG47 BG27:BG33 BH27:BH47 BG1:BH26 BG48:BH1048576">
    <cfRule type="cellIs" dxfId="65" priority="7" operator="equal">
      <formula>"?"</formula>
    </cfRule>
  </conditionalFormatting>
  <conditionalFormatting sqref="BB34:BB35">
    <cfRule type="cellIs" dxfId="64" priority="6" operator="equal">
      <formula>FALSE</formula>
    </cfRule>
  </conditionalFormatting>
  <conditionalFormatting sqref="BG34:BG35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237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BE2:BE501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9"/>
  <sheetViews>
    <sheetView workbookViewId="0">
      <pane ySplit="1" topLeftCell="A38" activePane="bottomLeft" state="frozenSplit"/>
      <selection pane="bottomLeft" activeCell="C78" sqref="C78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1076</v>
      </c>
      <c r="B1" s="30" t="s">
        <v>31</v>
      </c>
      <c r="C1" s="30" t="s">
        <v>1060</v>
      </c>
      <c r="D1" s="30" t="s">
        <v>1061</v>
      </c>
      <c r="E1" s="30" t="s">
        <v>1077</v>
      </c>
      <c r="F1" s="30" t="s">
        <v>1078</v>
      </c>
      <c r="G1" s="30" t="s">
        <v>1062</v>
      </c>
      <c r="H1" s="30" t="s">
        <v>1063</v>
      </c>
      <c r="I1" s="30" t="s">
        <v>1079</v>
      </c>
      <c r="J1" s="30" t="s">
        <v>1080</v>
      </c>
      <c r="K1" s="30" t="s">
        <v>1064</v>
      </c>
      <c r="L1" s="30" t="s">
        <v>1065</v>
      </c>
      <c r="M1" s="30" t="s">
        <v>1092</v>
      </c>
      <c r="N1" s="30" t="s">
        <v>1093</v>
      </c>
      <c r="O1" s="30" t="s">
        <v>1066</v>
      </c>
      <c r="P1" s="30" t="s">
        <v>1067</v>
      </c>
      <c r="Q1" s="30" t="s">
        <v>1095</v>
      </c>
      <c r="R1" s="30" t="s">
        <v>1096</v>
      </c>
      <c r="S1" s="30" t="s">
        <v>1068</v>
      </c>
      <c r="T1" s="30" t="s">
        <v>1069</v>
      </c>
      <c r="U1" s="30" t="s">
        <v>1070</v>
      </c>
      <c r="V1" s="30" t="s">
        <v>1071</v>
      </c>
      <c r="W1" s="30" t="s">
        <v>1072</v>
      </c>
      <c r="X1" s="30" t="s">
        <v>1073</v>
      </c>
      <c r="Y1" s="30" t="s">
        <v>1074</v>
      </c>
      <c r="Z1" s="30" t="s">
        <v>1075</v>
      </c>
      <c r="AA1" s="30" t="s">
        <v>99</v>
      </c>
      <c r="AB1" s="95" t="s">
        <v>1380</v>
      </c>
      <c r="AC1" s="30" t="s">
        <v>1289</v>
      </c>
      <c r="AD1" s="30" t="s">
        <v>1288</v>
      </c>
      <c r="AE1" s="30" t="s">
        <v>1282</v>
      </c>
      <c r="AF1" s="30" t="s">
        <v>1230</v>
      </c>
      <c r="AG1" s="30" t="s">
        <v>1283</v>
      </c>
      <c r="AH1" s="30" t="s">
        <v>1241</v>
      </c>
      <c r="AI1" s="30" t="s">
        <v>1285</v>
      </c>
      <c r="AJ1" s="30" t="s">
        <v>1275</v>
      </c>
      <c r="AK1" s="30" t="s">
        <v>1284</v>
      </c>
      <c r="AL1" s="30" t="s">
        <v>1290</v>
      </c>
      <c r="AM1" s="30" t="s">
        <v>1239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1367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1379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1464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1255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1445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1243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1244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1468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1249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1246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1248</v>
      </c>
      <c r="B12" s="2" t="s">
        <v>909</v>
      </c>
      <c r="C12" s="2">
        <f>IFERROR(50+VLOOKUP($A12,'SegEnds_Xtal_Prot#'!$A:$AY,5,FALSE)-VLOOKUP($B12,'SegEnds_NonXtal_Prot#'!$A:$AL,4,FALSE),"-")</f>
        <v>28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60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1247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1390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1245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1277</v>
      </c>
    </row>
    <row r="16" spans="1:64" s="2" customFormat="1" x14ac:dyDescent="0.2">
      <c r="A16" s="2" t="s">
        <v>1251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1250</v>
      </c>
      <c r="B17" s="2" t="s">
        <v>911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1252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1393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1415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1362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1254</v>
      </c>
      <c r="B22" s="2" t="s">
        <v>1171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1274</v>
      </c>
      <c r="B23" s="2" t="s">
        <v>923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1253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1329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1256</v>
      </c>
      <c r="B26" s="2" t="s">
        <v>1172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1257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1258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1273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1259</v>
      </c>
      <c r="B30" s="2" t="s">
        <v>913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 t="str">
        <f>IFERROR(50+VLOOKUP($A30,'SegEnds_Xtal_Prot#'!$A:$AY,9,FALSE)-VLOOKUP($B30,'SegEnds_NonXtal_Prot#'!$A:$AL,7,FALSE),"-")</f>
        <v>-</v>
      </c>
      <c r="F30" s="2" t="str">
        <f>IFERROR(50+VLOOKUP($A30,'SegEnds_Xtal_Prot#'!$A:$AY,11,FALSE)-VLOOKUP($B30,'SegEnds_NonXtal_Prot#'!$A:$AL,7,FALSE),"-")</f>
        <v>-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62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 t="e">
        <f>VLOOKUP(B30,'SegEnds_NonXtal_Prot#'!A:AL,6,FALSE)-VLOOKUP(B30,'SegEnds_NonXtal_Prot#'!A:AL,5,FALSE)</f>
        <v>#VALUE!</v>
      </c>
      <c r="AD30" s="49" t="e">
        <f>VLOOKUP(B30,'SegEnds_NonXtal_Prot#'!A:AL,9,FALSE)-VLOOKUP(B30,'SegEnds_NonXtal_Prot#'!A:AL,8,FALSE)</f>
        <v>#VALUE!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1261</v>
      </c>
      <c r="B31" s="2" t="s">
        <v>915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1262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1264</v>
      </c>
      <c r="B33" s="2" t="s">
        <v>1173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1263</v>
      </c>
      <c r="B34" s="2" t="s">
        <v>917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1260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1265</v>
      </c>
      <c r="B36" s="2" t="s">
        <v>919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23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1278</v>
      </c>
      <c r="AP36" s="2" t="s">
        <v>1280</v>
      </c>
    </row>
    <row r="37" spans="1:64" s="2" customFormat="1" x14ac:dyDescent="0.2">
      <c r="A37" s="2" t="s">
        <v>1267</v>
      </c>
      <c r="B37" s="2" t="s">
        <v>921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1266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1269</v>
      </c>
      <c r="B39" s="2" t="s">
        <v>1175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63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1268</v>
      </c>
      <c r="B40" s="2" t="s">
        <v>1174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68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33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27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63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1</v>
      </c>
      <c r="AG40" s="49">
        <f>VLOOKUP(B40,'SegEnds_NonXtal_Prot#'!A:AL,13,FALSE)-VLOOKUP(B40,'SegEnds_NonXtal_Prot#'!A:AL,11,FALSE)</f>
        <v>2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34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1270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1271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1272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tr">
        <f t="shared" ref="A44:A69" si="0">CONCATENATE(B44,"__wt",)</f>
        <v>par2_human__wt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tr">
        <f t="shared" si="0"/>
        <v>calcr_human__wt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tr">
        <f t="shared" si="0"/>
        <v>crfr1_human__wt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tr">
        <f t="shared" si="0"/>
        <v>glr_human__wt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35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tr">
        <f t="shared" si="0"/>
        <v>glp1r_human__wt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tr">
        <f t="shared" si="0"/>
        <v>g1sgd4_rabit__wt</v>
      </c>
      <c r="B49" s="2" t="s">
        <v>1420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tr">
        <f t="shared" si="0"/>
        <v>grm5_human__wt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tr">
        <f t="shared" si="0"/>
        <v>grm1_human__wt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tr">
        <f t="shared" si="0"/>
        <v>smo_human__wt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56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41</v>
      </c>
      <c r="P52" s="2">
        <f>IFERROR(50+VLOOKUP($A52,'SegEnds_Xtal_Prot#'!$A:$AY,31,FALSE)-VLOOKUP($B52,'SegEnds_NonXtal_Prot#'!$A:$AL,22,FALSE),"-")</f>
        <v>64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20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2" t="str">
        <f t="shared" si="0"/>
        <v>q98sw5_xenla__wt</v>
      </c>
      <c r="B53" s="122" t="s">
        <v>1495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tr">
        <f t="shared" si="0"/>
        <v>q08bg4_danre__wt</v>
      </c>
      <c r="B54" s="2" t="s">
        <v>1440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tr">
        <f t="shared" si="0"/>
        <v>q9wtk1_cavpo__wt</v>
      </c>
      <c r="B55" s="2" t="s">
        <v>1451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tr">
        <f t="shared" si="0"/>
        <v>c5ar1_human__wt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tr">
        <f t="shared" si="0"/>
        <v>npy1r_human__wt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tr">
        <f t="shared" si="0"/>
        <v>ptafr_human__wt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tr">
        <f t="shared" si="0"/>
        <v>q80km9_hcmv__wt</v>
      </c>
      <c r="B59" s="2" t="s">
        <v>1507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tr">
        <f t="shared" si="0"/>
        <v>calrl_human__wt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tr">
        <f t="shared" si="0"/>
        <v>pd2r2_human__wt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tr">
        <f t="shared" si="0"/>
        <v>pth1r_human__wt</v>
      </c>
      <c r="B62" s="2" t="s">
        <v>409</v>
      </c>
      <c r="C62" s="2">
        <f>IFERROR(50+VLOOKUP($A62,'SegEnds_Xtal_Prot#'!$A:$AY,5,FALSE)-VLOOKUP($B62,'SegEnds_NonXtal_Prot#'!$A:$AL,4,FALSE),"-")</f>
        <v>21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37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tr">
        <f t="shared" si="0"/>
        <v>nk1r_human__wt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tr">
        <f t="shared" si="0"/>
        <v>pe2r3_human__wt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tr">
        <f t="shared" si="0"/>
        <v>pe2r4_human__wt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tr">
        <f t="shared" si="0"/>
        <v>ta2r_human__wt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tr">
        <f t="shared" si="0"/>
        <v>fzd4_human__wt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tr">
        <f t="shared" si="0"/>
        <v>cnr2_human__wt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tr">
        <f t="shared" si="0"/>
        <v>5ht2a_human__wt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2" t="str">
        <f t="shared" ref="A70:A76" si="1">CONCATENATE(B70,"__wt",)</f>
        <v>mtr1a_human__wt</v>
      </c>
      <c r="B70" s="2" t="s">
        <v>311</v>
      </c>
      <c r="C70" s="2">
        <f>IFERROR(50+VLOOKUP($A70,'SegEnds_Xtal_Prot#'!$A:$AY,5,FALSE)-VLOOKUP($B70,'SegEnds_NonXtal_Prot#'!$A:$AL,4,FALSE),"-")</f>
        <v>28</v>
      </c>
      <c r="D70" s="2">
        <f>IFERROR(50+VLOOKUP($A70,'SegEnds_Xtal_Prot#'!$A:$AY,7,FALSE)-VLOOKUP($B70,'SegEnds_NonXtal_Prot#'!$A:$AL,4,FALSE),"-")</f>
        <v>60</v>
      </c>
      <c r="E70" s="2">
        <f>IFERROR(50+VLOOKUP($A70,'SegEnds_Xtal_Prot#'!$A:$AY,9,FALSE)-VLOOKUP($B70,'SegEnds_NonXtal_Prot#'!$A:$AL,7,FALSE),"-")</f>
        <v>48</v>
      </c>
      <c r="F70" s="2">
        <f>IFERROR(50+VLOOKUP($A70,'SegEnds_Xtal_Prot#'!$A:$AY,11,FALSE)-VLOOKUP($B70,'SegEnds_NonXtal_Prot#'!$A:$AL,7,FALSE),"-")</f>
        <v>51</v>
      </c>
      <c r="G70" s="2">
        <f>IFERROR(50+VLOOKUP($A70,'SegEnds_Xtal_Prot#'!$A:$AY,13,FALSE)-VLOOKUP($B70,'SegEnds_NonXtal_Prot#'!$A:$AL,10,FALSE),"-")</f>
        <v>37</v>
      </c>
      <c r="H70" s="2">
        <f>IFERROR(50+VLOOKUP($A70,'SegEnds_Xtal_Prot#'!$A:$AY,15,FALSE)-VLOOKUP($B70,'SegEnds_NonXtal_Prot#'!$A:$AL,10,FALSE),"-")</f>
        <v>68</v>
      </c>
      <c r="I70" s="2">
        <f>IFERROR(50+VLOOKUP($A70,'SegEnds_Xtal_Prot#'!$A:$AY,17,FALSE)-VLOOKUP($B70,'SegEnds_NonXtal_Prot#'!$A:$AL,13,FALSE),"-")</f>
        <v>49</v>
      </c>
      <c r="J70" s="2">
        <f>IFERROR(50+VLOOKUP($A70,'SegEnds_Xtal_Prot#'!$A:$AY,19,FALSE)-VLOOKUP($B70,'SegEnds_NonXtal_Prot#'!$A:$AL,13,FALSE),"-")</f>
        <v>52</v>
      </c>
      <c r="K70" s="2">
        <f>IFERROR(50+VLOOKUP($A70,'SegEnds_Xtal_Prot#'!$A:$AY,21,FALSE)-VLOOKUP($B70,'SegEnds_NonXtal_Prot#'!$A:$AL,16,FALSE),"-")</f>
        <v>21</v>
      </c>
      <c r="L70" s="2">
        <f>IFERROR(50+VLOOKUP($A70,'SegEnds_Xtal_Prot#'!$A:$AY,23,FALSE)-VLOOKUP($B70,'SegEnds_NonXtal_Prot#'!$A:$AL,16,FALSE),"-")</f>
        <v>56</v>
      </c>
      <c r="M70" s="2">
        <f>IFERROR(50+VLOOKUP($A70,'SegEnds_Xtal_Prot#'!$A:$AY,25,FALSE)-VLOOKUP($B70,'SegEnds_NonXtal_Prot#'!$A:$AL,19,FALSE),"-")</f>
        <v>50</v>
      </c>
      <c r="N70" s="2">
        <f>IFERROR(50+VLOOKUP($A70,'SegEnds_Xtal_Prot#'!$A:$AY,27,FALSE)-VLOOKUP($B70,'SegEnds_NonXtal_Prot#'!$A:$AL,19,FALSE),"-")</f>
        <v>57</v>
      </c>
      <c r="O70" s="2">
        <f>IFERROR(50+VLOOKUP($A70,'SegEnds_Xtal_Prot#'!$A:$AY,29,FALSE)-VLOOKUP($B70,'SegEnds_NonXtal_Prot#'!$A:$AL,22,FALSE),"-")</f>
        <v>38</v>
      </c>
      <c r="P70" s="2">
        <f>IFERROR(50+VLOOKUP($A70,'SegEnds_Xtal_Prot#'!$A:$AY,31,FALSE)-VLOOKUP($B70,'SegEnds_NonXtal_Prot#'!$A:$AL,22,FALSE),"-")</f>
        <v>64</v>
      </c>
      <c r="Q70" s="2">
        <f>IFERROR(50+VLOOKUP($A70,'SegEnds_Xtal_Prot#'!$A:$AY,33,FALSE)-VLOOKUP($B70,'SegEnds_NonXtal_Prot#'!$A:$AL,25,FALSE),"-")</f>
        <v>50</v>
      </c>
      <c r="R70" s="2">
        <f>IFERROR(50+VLOOKUP($A70,'SegEnds_Xtal_Prot#'!$A:$AY,35,FALSE)-VLOOKUP($B70,'SegEnds_NonXtal_Prot#'!$A:$AL,25,FALSE),"-")</f>
        <v>52</v>
      </c>
      <c r="S70" s="2">
        <f>IFERROR(50+VLOOKUP($A70,'SegEnds_Xtal_Prot#'!$A:$AY,37,FALSE)-VLOOKUP($B70,'SegEnds_NonXtal_Prot#'!$A:$AL,28,FALSE),"-")</f>
        <v>35</v>
      </c>
      <c r="T70" s="2">
        <f>IFERROR(50+VLOOKUP($A70,'SegEnds_Xtal_Prot#'!$A:$AY,39,FALSE)-VLOOKUP($B70,'SegEnds_NonXtal_Prot#'!$A:$AL,28,FALSE),"-")</f>
        <v>72</v>
      </c>
      <c r="U70" s="2">
        <f>IFERROR(50+VLOOKUP($A70,'SegEnds_Xtal_Prot#'!$A:$AY,41,FALSE)-VLOOKUP($B70,'SegEnds_NonXtal_Prot#'!$A:$AL,31,FALSE),"-")</f>
        <v>24</v>
      </c>
      <c r="V70" s="2">
        <f>IFERROR(50+VLOOKUP($A70,'SegEnds_Xtal_Prot#'!$A:$AY,43,FALSE)-VLOOKUP($B70,'SegEnds_NonXtal_Prot#'!$A:$AL,31,FALSE),"-")</f>
        <v>61</v>
      </c>
      <c r="W70" s="2">
        <f>IFERROR(50+VLOOKUP($A70,'SegEnds_Xtal_Prot#'!$A:$AY,45,FALSE)-VLOOKUP($B70,'SegEnds_NonXtal_Prot#'!$A:$AL,34,FALSE),"-")</f>
        <v>31</v>
      </c>
      <c r="X70" s="2">
        <f>IFERROR(50+VLOOKUP($A70,'SegEnds_Xtal_Prot#'!$A:$AY,47,FALSE)-VLOOKUP($B70,'SegEnds_NonXtal_Prot#'!$A:$AL,34,FALSE),"-")</f>
        <v>56</v>
      </c>
      <c r="Y70" s="2">
        <f>IFERROR(50+VLOOKUP($A70,'SegEnds_Xtal_Prot#'!$A:$AY,49,FALSE)-VLOOKUP($B70,'SegEnds_NonXtal_Prot#'!$A:$AL,37,FALSE),"-")</f>
        <v>47</v>
      </c>
      <c r="Z70" s="2">
        <f>IFERROR(50+VLOOKUP($A70,'SegEnds_Xtal_Prot#'!$A:$AY,51,FALSE)-VLOOKUP($B70,'SegEnds_NonXtal_Prot#'!$A:$AL,37,FALSE),"-")</f>
        <v>63</v>
      </c>
      <c r="AA70" s="49" t="str">
        <f>VLOOKUP(B70,Classification!A:D,2,FALSE)</f>
        <v>A</v>
      </c>
      <c r="AB70" s="94" t="str">
        <f>VLOOKUP(B70,Classification!A:D,4,0)</f>
        <v>Melatonin</v>
      </c>
      <c r="AC70" s="49">
        <f>VLOOKUP(B70,'SegEnds_NonXtal_Prot#'!A:AL,6,FALSE)-VLOOKUP(B70,'SegEnds_NonXtal_Prot#'!A:AL,5,FALSE)</f>
        <v>1</v>
      </c>
      <c r="AD70" s="49">
        <f>VLOOKUP(B70,'SegEnds_NonXtal_Prot#'!A:AL,9,FALSE)-VLOOKUP(B70,'SegEnds_NonXtal_Prot#'!A:AL,8,FALSE)</f>
        <v>1</v>
      </c>
      <c r="AE70" s="49">
        <f>VLOOKUP(B70,'SegEnds_NonXtal_Prot#'!A:AL,13,FALSE)-VLOOKUP(B70,'SegEnds_NonXtal_Prot#'!A:AL,10,FALSE)</f>
        <v>20</v>
      </c>
      <c r="AF70" s="49">
        <f>VLOOKUP(B70,'SegEnds_NonXtal_Prot#'!A:AL,12,FALSE)-VLOOKUP(B70,'SegEnds_NonXtal_Prot#'!A:AL,11,FALSE)</f>
        <v>1</v>
      </c>
      <c r="AG70" s="49">
        <f>VLOOKUP(B70,'SegEnds_NonXtal_Prot#'!A:AL,13,FALSE)-VLOOKUP(B70,'SegEnds_NonXtal_Prot#'!A:AL,11,FALSE)</f>
        <v>2</v>
      </c>
      <c r="AH70" s="49">
        <f>VLOOKUP(B70,'SegEnds_NonXtal_Prot#'!A:AL,16,FALSE)-VLOOKUP(B70,'SegEnds_NonXtal_Prot#'!A:AL,10,FALSE)</f>
        <v>52</v>
      </c>
      <c r="AI70" s="49">
        <f>VLOOKUP(B70,'SegEnds_NonXtal_Prot#'!A:AL,16,FALSE)-VLOOKUP(B70,'SegEnds_NonXtal_Prot#'!A:AL,11,FALSE)</f>
        <v>34</v>
      </c>
      <c r="AJ70" s="49">
        <f>VLOOKUP(B70,'SegEnds_NonXtal_Prot#'!A:AL,22,FALSE)-VLOOKUP(B70,'SegEnds_NonXtal_Prot#'!A:AL,19,FALSE)</f>
        <v>20</v>
      </c>
      <c r="AK70" s="49">
        <f>VLOOKUP(B70,'SegEnds_NonXtal_Prot#'!A:AL,15,FALSE)-VLOOKUP(B70,'SegEnds_NonXtal_Prot#'!A:AL,14,FALSE)</f>
        <v>1</v>
      </c>
      <c r="AL70" s="49">
        <f>VLOOKUP(B70,'SegEnds_NonXtal_Prot#'!A:AL,18,FALSE)-VLOOKUP(B70,'SegEnds_NonXtal_Prot#'!A:AL,17,FALSE)</f>
        <v>1</v>
      </c>
      <c r="AM70" s="2">
        <f>VLOOKUP(B70,'SegEnds_NonXtal_Prot#'!A:AL,34,FALSE)-VLOOKUP(B70,'SegEnds_NonXtal_Prot#'!A:AL,31,FALSE)</f>
        <v>39</v>
      </c>
    </row>
    <row r="71" spans="1:64" x14ac:dyDescent="0.2">
      <c r="A71" s="2" t="str">
        <f t="shared" si="1"/>
        <v>mtr1b_human__wt</v>
      </c>
      <c r="B71" s="2" t="s">
        <v>312</v>
      </c>
      <c r="C71" s="2">
        <f>IFERROR(50+VLOOKUP($A71,'SegEnds_Xtal_Prot#'!$A:$AY,5,FALSE)-VLOOKUP($B71,'SegEnds_NonXtal_Prot#'!$A:$AL,4,FALSE),"-")</f>
        <v>30</v>
      </c>
      <c r="D71" s="2">
        <f>IFERROR(50+VLOOKUP($A71,'SegEnds_Xtal_Prot#'!$A:$AY,7,FALSE)-VLOOKUP($B71,'SegEnds_NonXtal_Prot#'!$A:$AL,4,FALSE),"-")</f>
        <v>60</v>
      </c>
      <c r="E71" s="2">
        <f>IFERROR(50+VLOOKUP($A71,'SegEnds_Xtal_Prot#'!$A:$AY,9,FALSE)-VLOOKUP($B71,'SegEnds_NonXtal_Prot#'!$A:$AL,7,FALSE),"-")</f>
        <v>48</v>
      </c>
      <c r="F71" s="2">
        <f>IFERROR(50+VLOOKUP($A71,'SegEnds_Xtal_Prot#'!$A:$AY,11,FALSE)-VLOOKUP($B71,'SegEnds_NonXtal_Prot#'!$A:$AL,7,FALSE),"-")</f>
        <v>51</v>
      </c>
      <c r="G71" s="2">
        <f>IFERROR(50+VLOOKUP($A71,'SegEnds_Xtal_Prot#'!$A:$AY,13,FALSE)-VLOOKUP($B71,'SegEnds_NonXtal_Prot#'!$A:$AL,10,FALSE),"-")</f>
        <v>37</v>
      </c>
      <c r="H71" s="2">
        <f>IFERROR(50+VLOOKUP($A71,'SegEnds_Xtal_Prot#'!$A:$AY,15,FALSE)-VLOOKUP($B71,'SegEnds_NonXtal_Prot#'!$A:$AL,10,FALSE),"-")</f>
        <v>68</v>
      </c>
      <c r="I71" s="2">
        <f>IFERROR(50+VLOOKUP($A71,'SegEnds_Xtal_Prot#'!$A:$AY,17,FALSE)-VLOOKUP($B71,'SegEnds_NonXtal_Prot#'!$A:$AL,13,FALSE),"-")</f>
        <v>49</v>
      </c>
      <c r="J71" s="2">
        <f>IFERROR(50+VLOOKUP($A71,'SegEnds_Xtal_Prot#'!$A:$AY,19,FALSE)-VLOOKUP($B71,'SegEnds_NonXtal_Prot#'!$A:$AL,13,FALSE),"-")</f>
        <v>52</v>
      </c>
      <c r="K71" s="2">
        <f>IFERROR(50+VLOOKUP($A71,'SegEnds_Xtal_Prot#'!$A:$AY,21,FALSE)-VLOOKUP($B71,'SegEnds_NonXtal_Prot#'!$A:$AL,16,FALSE),"-")</f>
        <v>21</v>
      </c>
      <c r="L71" s="2">
        <f>IFERROR(50+VLOOKUP($A71,'SegEnds_Xtal_Prot#'!$A:$AY,23,FALSE)-VLOOKUP($B71,'SegEnds_NonXtal_Prot#'!$A:$AL,16,FALSE),"-")</f>
        <v>56</v>
      </c>
      <c r="M71" s="2">
        <f>IFERROR(50+VLOOKUP($A71,'SegEnds_Xtal_Prot#'!$A:$AY,25,FALSE)-VLOOKUP($B71,'SegEnds_NonXtal_Prot#'!$A:$AL,19,FALSE),"-")</f>
        <v>50</v>
      </c>
      <c r="N71" s="2">
        <f>IFERROR(50+VLOOKUP($A71,'SegEnds_Xtal_Prot#'!$A:$AY,27,FALSE)-VLOOKUP($B71,'SegEnds_NonXtal_Prot#'!$A:$AL,19,FALSE),"-")</f>
        <v>57</v>
      </c>
      <c r="O71" s="2">
        <f>IFERROR(50+VLOOKUP($A71,'SegEnds_Xtal_Prot#'!$A:$AY,29,FALSE)-VLOOKUP($B71,'SegEnds_NonXtal_Prot#'!$A:$AL,22,FALSE),"-")</f>
        <v>38</v>
      </c>
      <c r="P71" s="2">
        <f>IFERROR(50+VLOOKUP($A71,'SegEnds_Xtal_Prot#'!$A:$AY,31,FALSE)-VLOOKUP($B71,'SegEnds_NonXtal_Prot#'!$A:$AL,22,FALSE),"-")</f>
        <v>64</v>
      </c>
      <c r="Q71" s="2">
        <f>IFERROR(50+VLOOKUP($A71,'SegEnds_Xtal_Prot#'!$A:$AY,33,FALSE)-VLOOKUP($B71,'SegEnds_NonXtal_Prot#'!$A:$AL,25,FALSE),"-")</f>
        <v>50</v>
      </c>
      <c r="R71" s="2">
        <f>IFERROR(50+VLOOKUP($A71,'SegEnds_Xtal_Prot#'!$A:$AY,35,FALSE)-VLOOKUP($B71,'SegEnds_NonXtal_Prot#'!$A:$AL,25,FALSE),"-")</f>
        <v>52</v>
      </c>
      <c r="S71" s="2">
        <f>IFERROR(50+VLOOKUP($A71,'SegEnds_Xtal_Prot#'!$A:$AY,37,FALSE)-VLOOKUP($B71,'SegEnds_NonXtal_Prot#'!$A:$AL,28,FALSE),"-")</f>
        <v>35</v>
      </c>
      <c r="T71" s="2">
        <f>IFERROR(50+VLOOKUP($A71,'SegEnds_Xtal_Prot#'!$A:$AY,39,FALSE)-VLOOKUP($B71,'SegEnds_NonXtal_Prot#'!$A:$AL,28,FALSE),"-")</f>
        <v>72</v>
      </c>
      <c r="U71" s="2">
        <f>IFERROR(50+VLOOKUP($A71,'SegEnds_Xtal_Prot#'!$A:$AY,41,FALSE)-VLOOKUP($B71,'SegEnds_NonXtal_Prot#'!$A:$AL,31,FALSE),"-")</f>
        <v>24</v>
      </c>
      <c r="V71" s="2">
        <f>IFERROR(50+VLOOKUP($A71,'SegEnds_Xtal_Prot#'!$A:$AY,43,FALSE)-VLOOKUP($B71,'SegEnds_NonXtal_Prot#'!$A:$AL,31,FALSE),"-")</f>
        <v>61</v>
      </c>
      <c r="W71" s="2">
        <f>IFERROR(50+VLOOKUP($A71,'SegEnds_Xtal_Prot#'!$A:$AY,45,FALSE)-VLOOKUP($B71,'SegEnds_NonXtal_Prot#'!$A:$AL,34,FALSE),"-")</f>
        <v>31</v>
      </c>
      <c r="X71" s="2">
        <f>IFERROR(50+VLOOKUP($A71,'SegEnds_Xtal_Prot#'!$A:$AY,47,FALSE)-VLOOKUP($B71,'SegEnds_NonXtal_Prot#'!$A:$AL,34,FALSE),"-")</f>
        <v>56</v>
      </c>
      <c r="Y71" s="2">
        <f>IFERROR(50+VLOOKUP($A71,'SegEnds_Xtal_Prot#'!$A:$AY,49,FALSE)-VLOOKUP($B71,'SegEnds_NonXtal_Prot#'!$A:$AL,37,FALSE),"-")</f>
        <v>47</v>
      </c>
      <c r="Z71" s="2">
        <f>IFERROR(50+VLOOKUP($A71,'SegEnds_Xtal_Prot#'!$A:$AY,51,FALSE)-VLOOKUP($B71,'SegEnds_NonXtal_Prot#'!$A:$AL,37,FALSE),"-")</f>
        <v>63</v>
      </c>
      <c r="AA71" s="49" t="str">
        <f>VLOOKUP(B71,Classification!A:D,2,FALSE)</f>
        <v>A</v>
      </c>
      <c r="AB71" s="94" t="str">
        <f>VLOOKUP(B71,Classification!A:D,4,0)</f>
        <v>Melatonin</v>
      </c>
      <c r="AC71" s="49">
        <f>VLOOKUP(B71,'SegEnds_NonXtal_Prot#'!A:AL,6,FALSE)-VLOOKUP(B71,'SegEnds_NonXtal_Prot#'!A:AL,5,FALSE)</f>
        <v>1</v>
      </c>
      <c r="AD71" s="49">
        <f>VLOOKUP(B71,'SegEnds_NonXtal_Prot#'!A:AL,9,FALSE)-VLOOKUP(B71,'SegEnds_NonXtal_Prot#'!A:AL,8,FALSE)</f>
        <v>1</v>
      </c>
      <c r="AE71" s="49">
        <f>VLOOKUP(B71,'SegEnds_NonXtal_Prot#'!A:AL,13,FALSE)-VLOOKUP(B71,'SegEnds_NonXtal_Prot#'!A:AL,10,FALSE)</f>
        <v>20</v>
      </c>
      <c r="AF71" s="49">
        <f>VLOOKUP(B71,'SegEnds_NonXtal_Prot#'!A:AL,12,FALSE)-VLOOKUP(B71,'SegEnds_NonXtal_Prot#'!A:AL,11,FALSE)</f>
        <v>1</v>
      </c>
      <c r="AG71" s="49">
        <f>VLOOKUP(B71,'SegEnds_NonXtal_Prot#'!A:AL,13,FALSE)-VLOOKUP(B71,'SegEnds_NonXtal_Prot#'!A:AL,11,FALSE)</f>
        <v>2</v>
      </c>
      <c r="AH71" s="49">
        <f>VLOOKUP(B71,'SegEnds_NonXtal_Prot#'!A:AL,16,FALSE)-VLOOKUP(B71,'SegEnds_NonXtal_Prot#'!A:AL,10,FALSE)</f>
        <v>52</v>
      </c>
      <c r="AI71" s="49">
        <f>VLOOKUP(B71,'SegEnds_NonXtal_Prot#'!A:AL,16,FALSE)-VLOOKUP(B71,'SegEnds_NonXtal_Prot#'!A:AL,11,FALSE)</f>
        <v>34</v>
      </c>
      <c r="AJ71" s="49">
        <f>VLOOKUP(B71,'SegEnds_NonXtal_Prot#'!A:AL,22,FALSE)-VLOOKUP(B71,'SegEnds_NonXtal_Prot#'!A:AL,19,FALSE)</f>
        <v>20</v>
      </c>
      <c r="AK71" s="49">
        <f>VLOOKUP(B71,'SegEnds_NonXtal_Prot#'!A:AL,15,FALSE)-VLOOKUP(B71,'SegEnds_NonXtal_Prot#'!A:AL,14,FALSE)</f>
        <v>1</v>
      </c>
      <c r="AL71" s="49">
        <f>VLOOKUP(B71,'SegEnds_NonXtal_Prot#'!A:AL,18,FALSE)-VLOOKUP(B71,'SegEnds_NonXtal_Prot#'!A:AL,17,FALSE)</f>
        <v>1</v>
      </c>
      <c r="AM71" s="2">
        <f>VLOOKUP(B71,'SegEnds_NonXtal_Prot#'!A:AL,34,FALSE)-VLOOKUP(B71,'SegEnds_NonXtal_Prot#'!A:AL,31,FALSE)</f>
        <v>39</v>
      </c>
    </row>
    <row r="72" spans="1:64" x14ac:dyDescent="0.2">
      <c r="A72" s="2" t="str">
        <f t="shared" si="1"/>
        <v>ntr1_human__wt</v>
      </c>
      <c r="B72" s="2" t="s">
        <v>127</v>
      </c>
      <c r="C72" s="2">
        <f>IFERROR(50+VLOOKUP($A72,'SegEnds_Xtal_Prot#'!$A:$AY,5,FALSE)-VLOOKUP($B72,'SegEnds_NonXtal_Prot#'!$A:$AL,4,FALSE),"-")</f>
        <v>28</v>
      </c>
      <c r="D72" s="2">
        <f>IFERROR(50+VLOOKUP($A72,'SegEnds_Xtal_Prot#'!$A:$AY,7,FALSE)-VLOOKUP($B72,'SegEnds_NonXtal_Prot#'!$A:$AL,4,FALSE),"-")</f>
        <v>60</v>
      </c>
      <c r="E72" s="2" t="str">
        <f>IFERROR(50+VLOOKUP($A72,'SegEnds_Xtal_Prot#'!$A:$AY,9,FALSE)-VLOOKUP($B72,'SegEnds_NonXtal_Prot#'!$A:$AL,7,FALSE),"-")</f>
        <v>-</v>
      </c>
      <c r="F72" s="2" t="str">
        <f>IFERROR(50+VLOOKUP($A72,'SegEnds_Xtal_Prot#'!$A:$AY,11,FALSE)-VLOOKUP($B72,'SegEnds_NonXtal_Prot#'!$A:$AL,7,FALSE),"-")</f>
        <v>-</v>
      </c>
      <c r="G72" s="2">
        <f>IFERROR(50+VLOOKUP($A72,'SegEnds_Xtal_Prot#'!$A:$AY,13,FALSE)-VLOOKUP($B72,'SegEnds_NonXtal_Prot#'!$A:$AL,10,FALSE),"-")</f>
        <v>34</v>
      </c>
      <c r="H72" s="2">
        <f>IFERROR(50+VLOOKUP($A72,'SegEnds_Xtal_Prot#'!$A:$AY,15,FALSE)-VLOOKUP($B72,'SegEnds_NonXtal_Prot#'!$A:$AL,10,FALSE),"-")</f>
        <v>68</v>
      </c>
      <c r="I72" s="2">
        <f>IFERROR(50+VLOOKUP($A72,'SegEnds_Xtal_Prot#'!$A:$AY,17,FALSE)-VLOOKUP($B72,'SegEnds_NonXtal_Prot#'!$A:$AL,13,FALSE),"-")</f>
        <v>49</v>
      </c>
      <c r="J72" s="2">
        <f>IFERROR(50+VLOOKUP($A72,'SegEnds_Xtal_Prot#'!$A:$AY,19,FALSE)-VLOOKUP($B72,'SegEnds_NonXtal_Prot#'!$A:$AL,13,FALSE),"-")</f>
        <v>52</v>
      </c>
      <c r="K72" s="2">
        <f>IFERROR(50+VLOOKUP($A72,'SegEnds_Xtal_Prot#'!$A:$AY,21,FALSE)-VLOOKUP($B72,'SegEnds_NonXtal_Prot#'!$A:$AL,16,FALSE),"-")</f>
        <v>21</v>
      </c>
      <c r="L72" s="2">
        <f>IFERROR(50+VLOOKUP($A72,'SegEnds_Xtal_Prot#'!$A:$AY,23,FALSE)-VLOOKUP($B72,'SegEnds_NonXtal_Prot#'!$A:$AL,16,FALSE),"-")</f>
        <v>56</v>
      </c>
      <c r="M72" s="2">
        <f>IFERROR(50+VLOOKUP($A72,'SegEnds_Xtal_Prot#'!$A:$AY,25,FALSE)-VLOOKUP($B72,'SegEnds_NonXtal_Prot#'!$A:$AL,19,FALSE),"-")</f>
        <v>50</v>
      </c>
      <c r="N72" s="2">
        <f>IFERROR(50+VLOOKUP($A72,'SegEnds_Xtal_Prot#'!$A:$AY,27,FALSE)-VLOOKUP($B72,'SegEnds_NonXtal_Prot#'!$A:$AL,19,FALSE),"-")</f>
        <v>57</v>
      </c>
      <c r="O72" s="2">
        <f>IFERROR(50+VLOOKUP($A72,'SegEnds_Xtal_Prot#'!$A:$AY,29,FALSE)-VLOOKUP($B72,'SegEnds_NonXtal_Prot#'!$A:$AL,22,FALSE),"-")</f>
        <v>38</v>
      </c>
      <c r="P72" s="2">
        <f>IFERROR(50+VLOOKUP($A72,'SegEnds_Xtal_Prot#'!$A:$AY,31,FALSE)-VLOOKUP($B72,'SegEnds_NonXtal_Prot#'!$A:$AL,22,FALSE),"-")</f>
        <v>64</v>
      </c>
      <c r="Q72" s="2">
        <f>IFERROR(50+VLOOKUP($A72,'SegEnds_Xtal_Prot#'!$A:$AY,33,FALSE)-VLOOKUP($B72,'SegEnds_NonXtal_Prot#'!$A:$AL,25,FALSE),"-")</f>
        <v>50</v>
      </c>
      <c r="R72" s="2">
        <f>IFERROR(50+VLOOKUP($A72,'SegEnds_Xtal_Prot#'!$A:$AY,35,FALSE)-VLOOKUP($B72,'SegEnds_NonXtal_Prot#'!$A:$AL,25,FALSE),"-")</f>
        <v>52</v>
      </c>
      <c r="S72" s="2">
        <f>IFERROR(50+VLOOKUP($A72,'SegEnds_Xtal_Prot#'!$A:$AY,37,FALSE)-VLOOKUP($B72,'SegEnds_NonXtal_Prot#'!$A:$AL,28,FALSE),"-")</f>
        <v>31</v>
      </c>
      <c r="T72" s="2">
        <f>IFERROR(50+VLOOKUP($A72,'SegEnds_Xtal_Prot#'!$A:$AY,39,FALSE)-VLOOKUP($B72,'SegEnds_NonXtal_Prot#'!$A:$AL,28,FALSE),"-")</f>
        <v>76</v>
      </c>
      <c r="U72" s="2">
        <f>IFERROR(50+VLOOKUP($A72,'SegEnds_Xtal_Prot#'!$A:$AY,41,FALSE)-VLOOKUP($B72,'SegEnds_NonXtal_Prot#'!$A:$AL,31,FALSE),"-")</f>
        <v>24</v>
      </c>
      <c r="V72" s="2">
        <f>IFERROR(50+VLOOKUP($A72,'SegEnds_Xtal_Prot#'!$A:$AY,43,FALSE)-VLOOKUP($B72,'SegEnds_NonXtal_Prot#'!$A:$AL,31,FALSE),"-")</f>
        <v>61</v>
      </c>
      <c r="W72" s="2">
        <f>IFERROR(50+VLOOKUP($A72,'SegEnds_Xtal_Prot#'!$A:$AY,45,FALSE)-VLOOKUP($B72,'SegEnds_NonXtal_Prot#'!$A:$AL,34,FALSE),"-")</f>
        <v>24</v>
      </c>
      <c r="X72" s="2">
        <f>IFERROR(50+VLOOKUP($A72,'SegEnds_Xtal_Prot#'!$A:$AY,47,FALSE)-VLOOKUP($B72,'SegEnds_NonXtal_Prot#'!$A:$AL,34,FALSE),"-")</f>
        <v>56</v>
      </c>
      <c r="Y72" s="2">
        <f>IFERROR(50+VLOOKUP($A72,'SegEnds_Xtal_Prot#'!$A:$AY,49,FALSE)-VLOOKUP($B72,'SegEnds_NonXtal_Prot#'!$A:$AL,37,FALSE),"-")</f>
        <v>47</v>
      </c>
      <c r="Z72" s="2">
        <f>IFERROR(50+VLOOKUP($A72,'SegEnds_Xtal_Prot#'!$A:$AY,51,FALSE)-VLOOKUP($B72,'SegEnds_NonXtal_Prot#'!$A:$AL,37,FALSE),"-")</f>
        <v>62</v>
      </c>
      <c r="AA72" s="49" t="str">
        <f>VLOOKUP(B72,Classification!A:D,2,FALSE)</f>
        <v>A</v>
      </c>
      <c r="AB72" s="94" t="str">
        <f>VLOOKUP(B72,Classification!A:D,4,0)</f>
        <v>Neurotensin</v>
      </c>
      <c r="AC72" s="49" t="e">
        <f>VLOOKUP(B72,'SegEnds_NonXtal_Prot#'!A:AL,6,FALSE)-VLOOKUP(B72,'SegEnds_NonXtal_Prot#'!A:AL,5,FALSE)</f>
        <v>#VALUE!</v>
      </c>
      <c r="AD72" s="49" t="e">
        <f>VLOOKUP(B72,'SegEnds_NonXtal_Prot#'!A:AL,9,FALSE)-VLOOKUP(B72,'SegEnds_NonXtal_Prot#'!A:AL,8,FALSE)</f>
        <v>#VALUE!</v>
      </c>
      <c r="AE72" s="49">
        <f>VLOOKUP(B72,'SegEnds_NonXtal_Prot#'!A:AL,13,FALSE)-VLOOKUP(B72,'SegEnds_NonXtal_Prot#'!A:AL,10,FALSE)</f>
        <v>22</v>
      </c>
      <c r="AF72" s="49">
        <f>VLOOKUP(B72,'SegEnds_NonXtal_Prot#'!A:AL,12,FALSE)-VLOOKUP(B72,'SegEnds_NonXtal_Prot#'!A:AL,11,FALSE)</f>
        <v>3</v>
      </c>
      <c r="AG72" s="49">
        <f>VLOOKUP(B72,'SegEnds_NonXtal_Prot#'!A:AL,13,FALSE)-VLOOKUP(B72,'SegEnds_NonXtal_Prot#'!A:AL,11,FALSE)</f>
        <v>4</v>
      </c>
      <c r="AH72" s="49">
        <f>VLOOKUP(B72,'SegEnds_NonXtal_Prot#'!A:AL,16,FALSE)-VLOOKUP(B72,'SegEnds_NonXtal_Prot#'!A:AL,10,FALSE)</f>
        <v>54</v>
      </c>
      <c r="AI72" s="49">
        <f>VLOOKUP(B72,'SegEnds_NonXtal_Prot#'!A:AL,16,FALSE)-VLOOKUP(B72,'SegEnds_NonXtal_Prot#'!A:AL,11,FALSE)</f>
        <v>36</v>
      </c>
      <c r="AJ72" s="49">
        <f>VLOOKUP(B72,'SegEnds_NonXtal_Prot#'!A:AL,22,FALSE)-VLOOKUP(B72,'SegEnds_NonXtal_Prot#'!A:AL,19,FALSE)</f>
        <v>20</v>
      </c>
      <c r="AK72" s="49">
        <f>VLOOKUP(B72,'SegEnds_NonXtal_Prot#'!A:AL,15,FALSE)-VLOOKUP(B72,'SegEnds_NonXtal_Prot#'!A:AL,14,FALSE)</f>
        <v>1</v>
      </c>
      <c r="AL72" s="49">
        <f>VLOOKUP(B72,'SegEnds_NonXtal_Prot#'!A:AL,18,FALSE)-VLOOKUP(B72,'SegEnds_NonXtal_Prot#'!A:AL,17,FALSE)</f>
        <v>1</v>
      </c>
      <c r="AM72" s="2">
        <f>VLOOKUP(B72,'SegEnds_NonXtal_Prot#'!A:AL,34,FALSE)-VLOOKUP(B72,'SegEnds_NonXtal_Prot#'!A:AL,31,FALSE)</f>
        <v>43</v>
      </c>
    </row>
    <row r="73" spans="1:64" x14ac:dyDescent="0.2">
      <c r="A73" s="2" t="str">
        <f t="shared" si="1"/>
        <v>ccr7_human__wt</v>
      </c>
      <c r="B73" s="2" t="s">
        <v>175</v>
      </c>
      <c r="C73" s="2">
        <f>IFERROR(50+VLOOKUP($A73,'SegEnds_Xtal_Prot#'!$A:$AY,5,FALSE)-VLOOKUP($B73,'SegEnds_NonXtal_Prot#'!$A:$AL,4,FALSE),"-")</f>
        <v>29</v>
      </c>
      <c r="D73" s="2">
        <f>IFERROR(50+VLOOKUP($A73,'SegEnds_Xtal_Prot#'!$A:$AY,7,FALSE)-VLOOKUP($B73,'SegEnds_NonXtal_Prot#'!$A:$AL,4,FALSE),"-")</f>
        <v>60</v>
      </c>
      <c r="E73" s="2">
        <f>IFERROR(50+VLOOKUP($A73,'SegEnds_Xtal_Prot#'!$A:$AY,9,FALSE)-VLOOKUP($B73,'SegEnds_NonXtal_Prot#'!$A:$AL,7,FALSE),"-")</f>
        <v>48</v>
      </c>
      <c r="F73" s="2">
        <f>IFERROR(50+VLOOKUP($A73,'SegEnds_Xtal_Prot#'!$A:$AY,11,FALSE)-VLOOKUP($B73,'SegEnds_NonXtal_Prot#'!$A:$AL,7,FALSE),"-")</f>
        <v>51</v>
      </c>
      <c r="G73" s="2">
        <f>IFERROR(50+VLOOKUP($A73,'SegEnds_Xtal_Prot#'!$A:$AY,13,FALSE)-VLOOKUP($B73,'SegEnds_NonXtal_Prot#'!$A:$AL,10,FALSE),"-")</f>
        <v>37</v>
      </c>
      <c r="H73" s="2">
        <f>IFERROR(50+VLOOKUP($A73,'SegEnds_Xtal_Prot#'!$A:$AY,15,FALSE)-VLOOKUP($B73,'SegEnds_NonXtal_Prot#'!$A:$AL,10,FALSE),"-")</f>
        <v>66</v>
      </c>
      <c r="I73" s="2">
        <f>IFERROR(50+VLOOKUP($A73,'SegEnds_Xtal_Prot#'!$A:$AY,17,FALSE)-VLOOKUP($B73,'SegEnds_NonXtal_Prot#'!$A:$AL,13,FALSE),"-")</f>
        <v>49</v>
      </c>
      <c r="J73" s="2">
        <f>IFERROR(50+VLOOKUP($A73,'SegEnds_Xtal_Prot#'!$A:$AY,19,FALSE)-VLOOKUP($B73,'SegEnds_NonXtal_Prot#'!$A:$AL,13,FALSE),"-")</f>
        <v>52</v>
      </c>
      <c r="K73" s="2">
        <f>IFERROR(50+VLOOKUP($A73,'SegEnds_Xtal_Prot#'!$A:$AY,21,FALSE)-VLOOKUP($B73,'SegEnds_NonXtal_Prot#'!$A:$AL,16,FALSE),"-")</f>
        <v>21</v>
      </c>
      <c r="L73" s="2">
        <f>IFERROR(50+VLOOKUP($A73,'SegEnds_Xtal_Prot#'!$A:$AY,23,FALSE)-VLOOKUP($B73,'SegEnds_NonXtal_Prot#'!$A:$AL,16,FALSE),"-")</f>
        <v>56</v>
      </c>
      <c r="M73" s="2">
        <f>IFERROR(50+VLOOKUP($A73,'SegEnds_Xtal_Prot#'!$A:$AY,25,FALSE)-VLOOKUP($B73,'SegEnds_NonXtal_Prot#'!$A:$AL,19,FALSE),"-")</f>
        <v>50</v>
      </c>
      <c r="N73" s="2">
        <f>IFERROR(50+VLOOKUP($A73,'SegEnds_Xtal_Prot#'!$A:$AY,27,FALSE)-VLOOKUP($B73,'SegEnds_NonXtal_Prot#'!$A:$AL,19,FALSE),"-")</f>
        <v>58</v>
      </c>
      <c r="O73" s="2">
        <f>IFERROR(50+VLOOKUP($A73,'SegEnds_Xtal_Prot#'!$A:$AY,29,FALSE)-VLOOKUP($B73,'SegEnds_NonXtal_Prot#'!$A:$AL,22,FALSE),"-")</f>
        <v>38</v>
      </c>
      <c r="P73" s="2">
        <f>IFERROR(50+VLOOKUP($A73,'SegEnds_Xtal_Prot#'!$A:$AY,31,FALSE)-VLOOKUP($B73,'SegEnds_NonXtal_Prot#'!$A:$AL,22,FALSE),"-")</f>
        <v>64</v>
      </c>
      <c r="Q73" s="2">
        <f>IFERROR(50+VLOOKUP($A73,'SegEnds_Xtal_Prot#'!$A:$AY,33,FALSE)-VLOOKUP($B73,'SegEnds_NonXtal_Prot#'!$A:$AL,25,FALSE),"-")</f>
        <v>50</v>
      </c>
      <c r="R73" s="2">
        <f>IFERROR(50+VLOOKUP($A73,'SegEnds_Xtal_Prot#'!$A:$AY,35,FALSE)-VLOOKUP($B73,'SegEnds_NonXtal_Prot#'!$A:$AL,25,FALSE),"-")</f>
        <v>52</v>
      </c>
      <c r="S73" s="2">
        <f>IFERROR(50+VLOOKUP($A73,'SegEnds_Xtal_Prot#'!$A:$AY,37,FALSE)-VLOOKUP($B73,'SegEnds_NonXtal_Prot#'!$A:$AL,28,FALSE),"-")</f>
        <v>33</v>
      </c>
      <c r="T73" s="2">
        <f>IFERROR(50+VLOOKUP($A73,'SegEnds_Xtal_Prot#'!$A:$AY,39,FALSE)-VLOOKUP($B73,'SegEnds_NonXtal_Prot#'!$A:$AL,28,FALSE),"-")</f>
        <v>68</v>
      </c>
      <c r="U73" s="2">
        <f>IFERROR(50+VLOOKUP($A73,'SegEnds_Xtal_Prot#'!$A:$AY,41,FALSE)-VLOOKUP($B73,'SegEnds_NonXtal_Prot#'!$A:$AL,31,FALSE),"-")</f>
        <v>30</v>
      </c>
      <c r="V73" s="2">
        <f>IFERROR(50+VLOOKUP($A73,'SegEnds_Xtal_Prot#'!$A:$AY,43,FALSE)-VLOOKUP($B73,'SegEnds_NonXtal_Prot#'!$A:$AL,31,FALSE),"-")</f>
        <v>65</v>
      </c>
      <c r="W73" s="2">
        <f>IFERROR(50+VLOOKUP($A73,'SegEnds_Xtal_Prot#'!$A:$AY,45,FALSE)-VLOOKUP($B73,'SegEnds_NonXtal_Prot#'!$A:$AL,34,FALSE),"-")</f>
        <v>24</v>
      </c>
      <c r="X73" s="2">
        <f>IFERROR(50+VLOOKUP($A73,'SegEnds_Xtal_Prot#'!$A:$AY,47,FALSE)-VLOOKUP($B73,'SegEnds_NonXtal_Prot#'!$A:$AL,34,FALSE),"-")</f>
        <v>56</v>
      </c>
      <c r="Y73" s="2">
        <f>IFERROR(50+VLOOKUP($A73,'SegEnds_Xtal_Prot#'!$A:$AY,49,FALSE)-VLOOKUP($B73,'SegEnds_NonXtal_Prot#'!$A:$AL,37,FALSE),"-")</f>
        <v>47</v>
      </c>
      <c r="Z73" s="2">
        <f>IFERROR(50+VLOOKUP($A73,'SegEnds_Xtal_Prot#'!$A:$AY,51,FALSE)-VLOOKUP($B73,'SegEnds_NonXtal_Prot#'!$A:$AL,37,FALSE),"-")</f>
        <v>59</v>
      </c>
      <c r="AA73" s="49" t="str">
        <f>VLOOKUP(B73,Classification!A:D,2,FALSE)</f>
        <v>A</v>
      </c>
      <c r="AB73" s="94" t="str">
        <f>VLOOKUP(B73,Classification!A:D,4,0)</f>
        <v>Chemokine</v>
      </c>
      <c r="AC73" s="49">
        <f>VLOOKUP(B73,'SegEnds_NonXtal_Prot#'!A:AL,6,FALSE)-VLOOKUP(B73,'SegEnds_NonXtal_Prot#'!A:AL,5,FALSE)</f>
        <v>1</v>
      </c>
      <c r="AD73" s="49">
        <f>VLOOKUP(B73,'SegEnds_NonXtal_Prot#'!A:AL,9,FALSE)-VLOOKUP(B73,'SegEnds_NonXtal_Prot#'!A:AL,8,FALSE)</f>
        <v>1</v>
      </c>
      <c r="AE73" s="49">
        <f>VLOOKUP(B73,'SegEnds_NonXtal_Prot#'!A:AL,13,FALSE)-VLOOKUP(B73,'SegEnds_NonXtal_Prot#'!A:AL,10,FALSE)</f>
        <v>18</v>
      </c>
      <c r="AF73" s="49">
        <f>VLOOKUP(B73,'SegEnds_NonXtal_Prot#'!A:AL,12,FALSE)-VLOOKUP(B73,'SegEnds_NonXtal_Prot#'!A:AL,11,FALSE)</f>
        <v>1</v>
      </c>
      <c r="AG73" s="49">
        <f>VLOOKUP(B73,'SegEnds_NonXtal_Prot#'!A:AL,13,FALSE)-VLOOKUP(B73,'SegEnds_NonXtal_Prot#'!A:AL,11,FALSE)</f>
        <v>2</v>
      </c>
      <c r="AH73" s="49">
        <f>VLOOKUP(B73,'SegEnds_NonXtal_Prot#'!A:AL,16,FALSE)-VLOOKUP(B73,'SegEnds_NonXtal_Prot#'!A:AL,10,FALSE)</f>
        <v>50</v>
      </c>
      <c r="AI73" s="49">
        <f>VLOOKUP(B73,'SegEnds_NonXtal_Prot#'!A:AL,16,FALSE)-VLOOKUP(B73,'SegEnds_NonXtal_Prot#'!A:AL,11,FALSE)</f>
        <v>34</v>
      </c>
      <c r="AJ73" s="49">
        <f>VLOOKUP(B73,'SegEnds_NonXtal_Prot#'!A:AL,22,FALSE)-VLOOKUP(B73,'SegEnds_NonXtal_Prot#'!A:AL,19,FALSE)</f>
        <v>22</v>
      </c>
      <c r="AK73" s="49">
        <f>VLOOKUP(B73,'SegEnds_NonXtal_Prot#'!A:AL,15,FALSE)-VLOOKUP(B73,'SegEnds_NonXtal_Prot#'!A:AL,14,FALSE)</f>
        <v>1</v>
      </c>
      <c r="AL73" s="49">
        <f>VLOOKUP(B73,'SegEnds_NonXtal_Prot#'!A:AL,18,FALSE)-VLOOKUP(B73,'SegEnds_NonXtal_Prot#'!A:AL,17,FALSE)</f>
        <v>1</v>
      </c>
      <c r="AM73" s="2">
        <f>VLOOKUP(B73,'SegEnds_NonXtal_Prot#'!A:AL,34,FALSE)-VLOOKUP(B73,'SegEnds_NonXtal_Prot#'!A:AL,31,FALSE)</f>
        <v>45</v>
      </c>
    </row>
    <row r="74" spans="1:64" x14ac:dyDescent="0.2">
      <c r="A74" s="2" t="str">
        <f t="shared" si="1"/>
        <v>smo_mouse__wt</v>
      </c>
      <c r="B74" s="2" t="s">
        <v>1594</v>
      </c>
      <c r="C74" s="2">
        <f>IFERROR(50+VLOOKUP($A74,'SegEnds_Xtal_Prot#'!$A:$AY,5,FALSE)-VLOOKUP($B74,'SegEnds_NonXtal_Prot#'!$A:$AL,4,FALSE),"-")</f>
        <v>28</v>
      </c>
      <c r="D74" s="2">
        <f>IFERROR(50+VLOOKUP($A74,'SegEnds_Xtal_Prot#'!$A:$AY,7,FALSE)-VLOOKUP($B74,'SegEnds_NonXtal_Prot#'!$A:$AL,4,FALSE),"-")</f>
        <v>60</v>
      </c>
      <c r="E74" s="2">
        <f>IFERROR(50+VLOOKUP($A74,'SegEnds_Xtal_Prot#'!$A:$AY,9,FALSE)-VLOOKUP($B74,'SegEnds_NonXtal_Prot#'!$A:$AL,7,FALSE),"-")</f>
        <v>47</v>
      </c>
      <c r="F74" s="2">
        <f>IFERROR(50+VLOOKUP($A74,'SegEnds_Xtal_Prot#'!$A:$AY,11,FALSE)-VLOOKUP($B74,'SegEnds_NonXtal_Prot#'!$A:$AL,7,FALSE),"-")</f>
        <v>51</v>
      </c>
      <c r="G74" s="2">
        <f>IFERROR(50+VLOOKUP($A74,'SegEnds_Xtal_Prot#'!$A:$AY,13,FALSE)-VLOOKUP($B74,'SegEnds_NonXtal_Prot#'!$A:$AL,10,FALSE),"-")</f>
        <v>39</v>
      </c>
      <c r="H74" s="2">
        <f>IFERROR(50+VLOOKUP($A74,'SegEnds_Xtal_Prot#'!$A:$AY,15,FALSE)-VLOOKUP($B74,'SegEnds_NonXtal_Prot#'!$A:$AL,10,FALSE),"-")</f>
        <v>63</v>
      </c>
      <c r="I74" s="2" t="str">
        <f>IFERROR(50+VLOOKUP($A74,'SegEnds_Xtal_Prot#'!$A:$AY,17,FALSE)-VLOOKUP($B74,'SegEnds_NonXtal_Prot#'!$A:$AL,13,FALSE),"-")</f>
        <v>-</v>
      </c>
      <c r="J74" s="2" t="str">
        <f>IFERROR(50+VLOOKUP($A74,'SegEnds_Xtal_Prot#'!$A:$AY,19,FALSE)-VLOOKUP($B74,'SegEnds_NonXtal_Prot#'!$A:$AL,13,FALSE),"-")</f>
        <v>-</v>
      </c>
      <c r="K74" s="2">
        <f>IFERROR(50+VLOOKUP($A74,'SegEnds_Xtal_Prot#'!$A:$AY,21,FALSE)-VLOOKUP($B74,'SegEnds_NonXtal_Prot#'!$A:$AL,16,FALSE),"-")</f>
        <v>23</v>
      </c>
      <c r="L74" s="2">
        <f>IFERROR(50+VLOOKUP($A74,'SegEnds_Xtal_Prot#'!$A:$AY,23,FALSE)-VLOOKUP($B74,'SegEnds_NonXtal_Prot#'!$A:$AL,16,FALSE),"-")</f>
        <v>56</v>
      </c>
      <c r="M74" s="2" t="str">
        <f>IFERROR(50+VLOOKUP($A74,'SegEnds_Xtal_Prot#'!$A:$AY,25,FALSE)-VLOOKUP($B74,'SegEnds_NonXtal_Prot#'!$A:$AL,19,FALSE),"-")</f>
        <v>-</v>
      </c>
      <c r="N74" s="2" t="str">
        <f>IFERROR(50+VLOOKUP($A74,'SegEnds_Xtal_Prot#'!$A:$AY,27,FALSE)-VLOOKUP($B74,'SegEnds_NonXtal_Prot#'!$A:$AL,19,FALSE),"-")</f>
        <v>-</v>
      </c>
      <c r="O74" s="2">
        <f>IFERROR(50+VLOOKUP($A74,'SegEnds_Xtal_Prot#'!$A:$AY,29,FALSE)-VLOOKUP($B74,'SegEnds_NonXtal_Prot#'!$A:$AL,22,FALSE),"-")</f>
        <v>41</v>
      </c>
      <c r="P74" s="2">
        <f>IFERROR(50+VLOOKUP($A74,'SegEnds_Xtal_Prot#'!$A:$AY,31,FALSE)-VLOOKUP($B74,'SegEnds_NonXtal_Prot#'!$A:$AL,22,FALSE),"-")</f>
        <v>64</v>
      </c>
      <c r="Q74" s="2">
        <f>IFERROR(50+VLOOKUP($A74,'SegEnds_Xtal_Prot#'!$A:$AY,33,FALSE)-VLOOKUP($B74,'SegEnds_NonXtal_Prot#'!$A:$AL,25,FALSE),"-")</f>
        <v>50</v>
      </c>
      <c r="R74" s="2">
        <f>IFERROR(50+VLOOKUP($A74,'SegEnds_Xtal_Prot#'!$A:$AY,35,FALSE)-VLOOKUP($B74,'SegEnds_NonXtal_Prot#'!$A:$AL,25,FALSE),"-")</f>
        <v>52</v>
      </c>
      <c r="S74" s="2">
        <f>IFERROR(50+VLOOKUP($A74,'SegEnds_Xtal_Prot#'!$A:$AY,37,FALSE)-VLOOKUP($B74,'SegEnds_NonXtal_Prot#'!$A:$AL,28,FALSE),"-")</f>
        <v>35</v>
      </c>
      <c r="T74" s="2">
        <f>IFERROR(50+VLOOKUP($A74,'SegEnds_Xtal_Prot#'!$A:$AY,39,FALSE)-VLOOKUP($B74,'SegEnds_NonXtal_Prot#'!$A:$AL,28,FALSE),"-")</f>
        <v>72</v>
      </c>
      <c r="U74" s="2">
        <f>IFERROR(50+VLOOKUP($A74,'SegEnds_Xtal_Prot#'!$A:$AY,41,FALSE)-VLOOKUP($B74,'SegEnds_NonXtal_Prot#'!$A:$AL,31,FALSE),"-")</f>
        <v>20</v>
      </c>
      <c r="V74" s="2">
        <f>IFERROR(50+VLOOKUP($A74,'SegEnds_Xtal_Prot#'!$A:$AY,43,FALSE)-VLOOKUP($B74,'SegEnds_NonXtal_Prot#'!$A:$AL,31,FALSE),"-")</f>
        <v>78</v>
      </c>
      <c r="W74" s="2">
        <f>IFERROR(50+VLOOKUP($A74,'SegEnds_Xtal_Prot#'!$A:$AY,45,FALSE)-VLOOKUP($B74,'SegEnds_NonXtal_Prot#'!$A:$AL,34,FALSE),"-")</f>
        <v>34</v>
      </c>
      <c r="X74" s="2">
        <f>IFERROR(50+VLOOKUP($A74,'SegEnds_Xtal_Prot#'!$A:$AY,47,FALSE)-VLOOKUP($B74,'SegEnds_NonXtal_Prot#'!$A:$AL,34,FALSE),"-")</f>
        <v>57</v>
      </c>
      <c r="Y74" s="2">
        <f>IFERROR(50+VLOOKUP($A74,'SegEnds_Xtal_Prot#'!$A:$AY,49,FALSE)-VLOOKUP($B74,'SegEnds_NonXtal_Prot#'!$A:$AL,37,FALSE),"-")</f>
        <v>47</v>
      </c>
      <c r="Z74" s="2">
        <f>IFERROR(50+VLOOKUP($A74,'SegEnds_Xtal_Prot#'!$A:$AY,51,FALSE)-VLOOKUP($B74,'SegEnds_NonXtal_Prot#'!$A:$AL,37,FALSE),"-")</f>
        <v>62</v>
      </c>
      <c r="AA74" s="49" t="str">
        <f>VLOOKUP(B74,Classification!A:D,2,FALSE)</f>
        <v>F</v>
      </c>
      <c r="AB74" s="94" t="str">
        <f>VLOOKUP(B74,Classification!A:D,4,0)</f>
        <v>Frizzled</v>
      </c>
      <c r="AC74" s="49">
        <f>VLOOKUP(B74,'SegEnds_NonXtal_Prot#'!A:AL,6,FALSE)-VLOOKUP(B74,'SegEnds_NonXtal_Prot#'!A:AL,5,FALSE)</f>
        <v>1</v>
      </c>
      <c r="AD74" s="49">
        <f>VLOOKUP(B74,'SegEnds_NonXtal_Prot#'!A:AL,9,FALSE)-VLOOKUP(B74,'SegEnds_NonXtal_Prot#'!A:AL,8,FALSE)</f>
        <v>1</v>
      </c>
      <c r="AE74" s="49" t="e">
        <f>VLOOKUP(B74,'SegEnds_NonXtal_Prot#'!A:AL,13,FALSE)-VLOOKUP(B74,'SegEnds_NonXtal_Prot#'!A:AL,10,FALSE)</f>
        <v>#VALUE!</v>
      </c>
      <c r="AF74" s="49" t="e">
        <f>VLOOKUP(B74,'SegEnds_NonXtal_Prot#'!A:AL,12,FALSE)-VLOOKUP(B74,'SegEnds_NonXtal_Prot#'!A:AL,11,FALSE)</f>
        <v>#VALUE!</v>
      </c>
      <c r="AG74" s="49" t="e">
        <f>VLOOKUP(B74,'SegEnds_NonXtal_Prot#'!A:AL,13,FALSE)-VLOOKUP(B74,'SegEnds_NonXtal_Prot#'!A:AL,11,FALSE)</f>
        <v>#VALUE!</v>
      </c>
      <c r="AH74" s="49">
        <f>VLOOKUP(B74,'SegEnds_NonXtal_Prot#'!A:AL,16,FALSE)-VLOOKUP(B74,'SegEnds_NonXtal_Prot#'!A:AL,10,FALSE)</f>
        <v>67</v>
      </c>
      <c r="AI74" s="49">
        <f>VLOOKUP(B74,'SegEnds_NonXtal_Prot#'!A:AL,16,FALSE)-VLOOKUP(B74,'SegEnds_NonXtal_Prot#'!A:AL,11,FALSE)</f>
        <v>54</v>
      </c>
      <c r="AJ74" s="49" t="e">
        <f>VLOOKUP(B74,'SegEnds_NonXtal_Prot#'!A:AL,22,FALSE)-VLOOKUP(B74,'SegEnds_NonXtal_Prot#'!A:AL,19,FALSE)</f>
        <v>#VALUE!</v>
      </c>
      <c r="AK74" s="49" t="e">
        <f>VLOOKUP(B74,'SegEnds_NonXtal_Prot#'!A:AL,15,FALSE)-VLOOKUP(B74,'SegEnds_NonXtal_Prot#'!A:AL,14,FALSE)</f>
        <v>#VALUE!</v>
      </c>
      <c r="AL74" s="49" t="e">
        <f>VLOOKUP(B74,'SegEnds_NonXtal_Prot#'!A:AL,18,FALSE)-VLOOKUP(B74,'SegEnds_NonXtal_Prot#'!A:AL,17,FALSE)</f>
        <v>#VALUE!</v>
      </c>
      <c r="AM74" s="2">
        <f>VLOOKUP(B74,'SegEnds_NonXtal_Prot#'!A:AL,34,FALSE)-VLOOKUP(B74,'SegEnds_NonXtal_Prot#'!A:AL,31,FALSE)</f>
        <v>62</v>
      </c>
    </row>
    <row r="75" spans="1:64" x14ac:dyDescent="0.2">
      <c r="A75" s="2" t="str">
        <f t="shared" si="1"/>
        <v>sucr1_rat__wt</v>
      </c>
      <c r="B75" s="2" t="s">
        <v>1597</v>
      </c>
      <c r="C75" s="2">
        <f>IFERROR(50+VLOOKUP($A75,'SegEnds_Xtal_Prot#'!$A:$AY,5,FALSE)-VLOOKUP($B75,'SegEnds_NonXtal_Prot#'!$A:$AL,4,FALSE),"-")</f>
        <v>20</v>
      </c>
      <c r="D75" s="2">
        <f>IFERROR(50+VLOOKUP($A75,'SegEnds_Xtal_Prot#'!$A:$AY,7,FALSE)-VLOOKUP($B75,'SegEnds_NonXtal_Prot#'!$A:$AL,4,FALSE),"-")</f>
        <v>61</v>
      </c>
      <c r="E75" s="2" t="str">
        <f>IFERROR(50+VLOOKUP($A75,'SegEnds_Xtal_Prot#'!$A:$AY,9,FALSE)-VLOOKUP($B75,'SegEnds_NonXtal_Prot#'!$A:$AL,7,FALSE),"-")</f>
        <v>-</v>
      </c>
      <c r="F75" s="2" t="str">
        <f>IFERROR(50+VLOOKUP($A75,'SegEnds_Xtal_Prot#'!$A:$AY,11,FALSE)-VLOOKUP($B75,'SegEnds_NonXtal_Prot#'!$A:$AL,7,FALSE),"-")</f>
        <v>-</v>
      </c>
      <c r="G75" s="2">
        <f>IFERROR(50+VLOOKUP($A75,'SegEnds_Xtal_Prot#'!$A:$AY,13,FALSE)-VLOOKUP($B75,'SegEnds_NonXtal_Prot#'!$A:$AL,10,FALSE),"-")</f>
        <v>37</v>
      </c>
      <c r="H75" s="2">
        <f>IFERROR(50+VLOOKUP($A75,'SegEnds_Xtal_Prot#'!$A:$AY,15,FALSE)-VLOOKUP($B75,'SegEnds_NonXtal_Prot#'!$A:$AL,10,FALSE),"-")</f>
        <v>67</v>
      </c>
      <c r="I75" s="2">
        <f>IFERROR(50+VLOOKUP($A75,'SegEnds_Xtal_Prot#'!$A:$AY,17,FALSE)-VLOOKUP($B75,'SegEnds_NonXtal_Prot#'!$A:$AL,13,FALSE),"-")</f>
        <v>49</v>
      </c>
      <c r="J75" s="2">
        <f>IFERROR(50+VLOOKUP($A75,'SegEnds_Xtal_Prot#'!$A:$AY,19,FALSE)-VLOOKUP($B75,'SegEnds_NonXtal_Prot#'!$A:$AL,13,FALSE),"-")</f>
        <v>52</v>
      </c>
      <c r="K75" s="2">
        <f>IFERROR(50+VLOOKUP($A75,'SegEnds_Xtal_Prot#'!$A:$AY,21,FALSE)-VLOOKUP($B75,'SegEnds_NonXtal_Prot#'!$A:$AL,16,FALSE),"-")</f>
        <v>21</v>
      </c>
      <c r="L75" s="2">
        <f>IFERROR(50+VLOOKUP($A75,'SegEnds_Xtal_Prot#'!$A:$AY,23,FALSE)-VLOOKUP($B75,'SegEnds_NonXtal_Prot#'!$A:$AL,16,FALSE),"-")</f>
        <v>56</v>
      </c>
      <c r="M75" s="2">
        <f>IFERROR(50+VLOOKUP($A75,'SegEnds_Xtal_Prot#'!$A:$AY,25,FALSE)-VLOOKUP($B75,'SegEnds_NonXtal_Prot#'!$A:$AL,19,FALSE),"-")</f>
        <v>50</v>
      </c>
      <c r="N75" s="2">
        <f>IFERROR(50+VLOOKUP($A75,'SegEnds_Xtal_Prot#'!$A:$AY,27,FALSE)-VLOOKUP($B75,'SegEnds_NonXtal_Prot#'!$A:$AL,19,FALSE),"-")</f>
        <v>57</v>
      </c>
      <c r="O75" s="2">
        <f>IFERROR(50+VLOOKUP($A75,'SegEnds_Xtal_Prot#'!$A:$AY,29,FALSE)-VLOOKUP($B75,'SegEnds_NonXtal_Prot#'!$A:$AL,22,FALSE),"-")</f>
        <v>38</v>
      </c>
      <c r="P75" s="2">
        <f>IFERROR(50+VLOOKUP($A75,'SegEnds_Xtal_Prot#'!$A:$AY,31,FALSE)-VLOOKUP($B75,'SegEnds_NonXtal_Prot#'!$A:$AL,22,FALSE),"-")</f>
        <v>67</v>
      </c>
      <c r="Q75" s="2">
        <f>IFERROR(50+VLOOKUP($A75,'SegEnds_Xtal_Prot#'!$A:$AY,33,FALSE)-VLOOKUP($B75,'SegEnds_NonXtal_Prot#'!$A:$AL,25,FALSE),"-")</f>
        <v>50</v>
      </c>
      <c r="R75" s="2">
        <f>IFERROR(50+VLOOKUP($A75,'SegEnds_Xtal_Prot#'!$A:$AY,35,FALSE)-VLOOKUP($B75,'SegEnds_NonXtal_Prot#'!$A:$AL,25,FALSE),"-")</f>
        <v>52</v>
      </c>
      <c r="S75" s="2">
        <f>IFERROR(50+VLOOKUP($A75,'SegEnds_Xtal_Prot#'!$A:$AY,37,FALSE)-VLOOKUP($B75,'SegEnds_NonXtal_Prot#'!$A:$AL,28,FALSE),"-")</f>
        <v>31</v>
      </c>
      <c r="T75" s="2">
        <f>IFERROR(50+VLOOKUP($A75,'SegEnds_Xtal_Prot#'!$A:$AY,39,FALSE)-VLOOKUP($B75,'SegEnds_NonXtal_Prot#'!$A:$AL,28,FALSE),"-")</f>
        <v>68</v>
      </c>
      <c r="U75" s="2">
        <f>IFERROR(50+VLOOKUP($A75,'SegEnds_Xtal_Prot#'!$A:$AY,41,FALSE)-VLOOKUP($B75,'SegEnds_NonXtal_Prot#'!$A:$AL,31,FALSE),"-")</f>
        <v>24</v>
      </c>
      <c r="V75" s="2">
        <f>IFERROR(50+VLOOKUP($A75,'SegEnds_Xtal_Prot#'!$A:$AY,43,FALSE)-VLOOKUP($B75,'SegEnds_NonXtal_Prot#'!$A:$AL,31,FALSE),"-")</f>
        <v>63</v>
      </c>
      <c r="W75" s="2">
        <f>IFERROR(50+VLOOKUP($A75,'SegEnds_Xtal_Prot#'!$A:$AY,45,FALSE)-VLOOKUP($B75,'SegEnds_NonXtal_Prot#'!$A:$AL,34,FALSE),"-")</f>
        <v>26</v>
      </c>
      <c r="X75" s="2">
        <f>IFERROR(50+VLOOKUP($A75,'SegEnds_Xtal_Prot#'!$A:$AY,47,FALSE)-VLOOKUP($B75,'SegEnds_NonXtal_Prot#'!$A:$AL,34,FALSE),"-")</f>
        <v>56</v>
      </c>
      <c r="Y75" s="2">
        <f>IFERROR(50+VLOOKUP($A75,'SegEnds_Xtal_Prot#'!$A:$AY,49,FALSE)-VLOOKUP($B75,'SegEnds_NonXtal_Prot#'!$A:$AL,37,FALSE),"-")</f>
        <v>47</v>
      </c>
      <c r="Z75" s="2">
        <f>IFERROR(50+VLOOKUP($A75,'SegEnds_Xtal_Prot#'!$A:$AY,51,FALSE)-VLOOKUP($B75,'SegEnds_NonXtal_Prot#'!$A:$AL,37,FALSE),"-")</f>
        <v>65</v>
      </c>
      <c r="AA75" s="49" t="str">
        <f>VLOOKUP(B75,Classification!A:D,2,FALSE)</f>
        <v>A</v>
      </c>
      <c r="AB75" s="94" t="str">
        <f>VLOOKUP(B75,Classification!A:D,4,0)</f>
        <v>Succinate</v>
      </c>
      <c r="AC75" s="49" t="e">
        <f>VLOOKUP(B75,'SegEnds_NonXtal_Prot#'!A:AL,6,FALSE)-VLOOKUP(B75,'SegEnds_NonXtal_Prot#'!A:AL,5,FALSE)</f>
        <v>#VALUE!</v>
      </c>
      <c r="AD75" s="49" t="e">
        <f>VLOOKUP(B75,'SegEnds_NonXtal_Prot#'!A:AL,9,FALSE)-VLOOKUP(B75,'SegEnds_NonXtal_Prot#'!A:AL,8,FALSE)</f>
        <v>#VALUE!</v>
      </c>
      <c r="AE75" s="49">
        <f>VLOOKUP(B75,'SegEnds_NonXtal_Prot#'!A:AL,13,FALSE)-VLOOKUP(B75,'SegEnds_NonXtal_Prot#'!A:AL,10,FALSE)</f>
        <v>19</v>
      </c>
      <c r="AF75" s="49">
        <f>VLOOKUP(B75,'SegEnds_NonXtal_Prot#'!A:AL,12,FALSE)-VLOOKUP(B75,'SegEnds_NonXtal_Prot#'!A:AL,11,FALSE)</f>
        <v>1</v>
      </c>
      <c r="AG75" s="49">
        <f>VLOOKUP(B75,'SegEnds_NonXtal_Prot#'!A:AL,13,FALSE)-VLOOKUP(B75,'SegEnds_NonXtal_Prot#'!A:AL,11,FALSE)</f>
        <v>2</v>
      </c>
      <c r="AH75" s="49">
        <f>VLOOKUP(B75,'SegEnds_NonXtal_Prot#'!A:AL,16,FALSE)-VLOOKUP(B75,'SegEnds_NonXtal_Prot#'!A:AL,10,FALSE)</f>
        <v>51</v>
      </c>
      <c r="AI75" s="49">
        <f>VLOOKUP(B75,'SegEnds_NonXtal_Prot#'!A:AL,16,FALSE)-VLOOKUP(B75,'SegEnds_NonXtal_Prot#'!A:AL,11,FALSE)</f>
        <v>34</v>
      </c>
      <c r="AJ75" s="49">
        <f>VLOOKUP(B75,'SegEnds_NonXtal_Prot#'!A:AL,22,FALSE)-VLOOKUP(B75,'SegEnds_NonXtal_Prot#'!A:AL,19,FALSE)</f>
        <v>20</v>
      </c>
      <c r="AK75" s="49">
        <f>VLOOKUP(B75,'SegEnds_NonXtal_Prot#'!A:AL,15,FALSE)-VLOOKUP(B75,'SegEnds_NonXtal_Prot#'!A:AL,14,FALSE)</f>
        <v>1</v>
      </c>
      <c r="AL75" s="49">
        <f>VLOOKUP(B75,'SegEnds_NonXtal_Prot#'!A:AL,18,FALSE)-VLOOKUP(B75,'SegEnds_NonXtal_Prot#'!A:AL,17,FALSE)</f>
        <v>1</v>
      </c>
      <c r="AM75" s="2">
        <f>VLOOKUP(B75,'SegEnds_NonXtal_Prot#'!A:AL,34,FALSE)-VLOOKUP(B75,'SegEnds_NonXtal_Prot#'!A:AL,31,FALSE)</f>
        <v>44</v>
      </c>
    </row>
    <row r="76" spans="1:64" x14ac:dyDescent="0.2">
      <c r="A76" s="2" t="str">
        <f t="shared" si="1"/>
        <v>cltr1_human__wt</v>
      </c>
      <c r="B76" s="2" t="s">
        <v>179</v>
      </c>
      <c r="C76" s="2">
        <f>IFERROR(50+VLOOKUP($A76,'SegEnds_Xtal_Prot#'!$A:$AY,5,FALSE)-VLOOKUP($B76,'SegEnds_NonXtal_Prot#'!$A:$AL,4,FALSE),"-")</f>
        <v>20</v>
      </c>
      <c r="D76" s="2">
        <f>IFERROR(50+VLOOKUP($A76,'SegEnds_Xtal_Prot#'!$A:$AY,7,FALSE)-VLOOKUP($B76,'SegEnds_NonXtal_Prot#'!$A:$AL,4,FALSE),"-")</f>
        <v>60</v>
      </c>
      <c r="E76" s="2" t="str">
        <f>IFERROR(50+VLOOKUP($A76,'SegEnds_Xtal_Prot#'!$A:$AY,9,FALSE)-VLOOKUP($B76,'SegEnds_NonXtal_Prot#'!$A:$AL,7,FALSE),"-")</f>
        <v>-</v>
      </c>
      <c r="F76" s="2" t="str">
        <f>IFERROR(50+VLOOKUP($A76,'SegEnds_Xtal_Prot#'!$A:$AY,11,FALSE)-VLOOKUP($B76,'SegEnds_NonXtal_Prot#'!$A:$AL,7,FALSE),"-")</f>
        <v>-</v>
      </c>
      <c r="G76" s="2">
        <f>IFERROR(50+VLOOKUP($A76,'SegEnds_Xtal_Prot#'!$A:$AY,13,FALSE)-VLOOKUP($B76,'SegEnds_NonXtal_Prot#'!$A:$AL,10,FALSE),"-")</f>
        <v>37</v>
      </c>
      <c r="H76" s="2">
        <f>IFERROR(50+VLOOKUP($A76,'SegEnds_Xtal_Prot#'!$A:$AY,15,FALSE)-VLOOKUP($B76,'SegEnds_NonXtal_Prot#'!$A:$AL,10,FALSE),"-")</f>
        <v>67</v>
      </c>
      <c r="I76" s="2">
        <f>IFERROR(50+VLOOKUP($A76,'SegEnds_Xtal_Prot#'!$A:$AY,17,FALSE)-VLOOKUP($B76,'SegEnds_NonXtal_Prot#'!$A:$AL,13,FALSE),"-")</f>
        <v>49</v>
      </c>
      <c r="J76" s="2">
        <f>IFERROR(50+VLOOKUP($A76,'SegEnds_Xtal_Prot#'!$A:$AY,19,FALSE)-VLOOKUP($B76,'SegEnds_NonXtal_Prot#'!$A:$AL,13,FALSE),"-")</f>
        <v>52</v>
      </c>
      <c r="K76" s="2">
        <f>IFERROR(50+VLOOKUP($A76,'SegEnds_Xtal_Prot#'!$A:$AY,21,FALSE)-VLOOKUP($B76,'SegEnds_NonXtal_Prot#'!$A:$AL,16,FALSE),"-")</f>
        <v>21</v>
      </c>
      <c r="L76" s="2">
        <f>IFERROR(50+VLOOKUP($A76,'SegEnds_Xtal_Prot#'!$A:$AY,23,FALSE)-VLOOKUP($B76,'SegEnds_NonXtal_Prot#'!$A:$AL,16,FALSE),"-")</f>
        <v>56</v>
      </c>
      <c r="M76" s="2">
        <f>IFERROR(50+VLOOKUP($A76,'SegEnds_Xtal_Prot#'!$A:$AY,25,FALSE)-VLOOKUP($B76,'SegEnds_NonXtal_Prot#'!$A:$AL,19,FALSE),"-")</f>
        <v>50</v>
      </c>
      <c r="N76" s="2">
        <f>IFERROR(50+VLOOKUP($A76,'SegEnds_Xtal_Prot#'!$A:$AY,27,FALSE)-VLOOKUP($B76,'SegEnds_NonXtal_Prot#'!$A:$AL,19,FALSE),"-")</f>
        <v>57</v>
      </c>
      <c r="O76" s="2">
        <f>IFERROR(50+VLOOKUP($A76,'SegEnds_Xtal_Prot#'!$A:$AY,29,FALSE)-VLOOKUP($B76,'SegEnds_NonXtal_Prot#'!$A:$AL,22,FALSE),"-")</f>
        <v>38</v>
      </c>
      <c r="P76" s="2">
        <f>IFERROR(50+VLOOKUP($A76,'SegEnds_Xtal_Prot#'!$A:$AY,31,FALSE)-VLOOKUP($B76,'SegEnds_NonXtal_Prot#'!$A:$AL,22,FALSE),"-")</f>
        <v>63</v>
      </c>
      <c r="Q76" s="2">
        <f>IFERROR(50+VLOOKUP($A76,'SegEnds_Xtal_Prot#'!$A:$AY,33,FALSE)-VLOOKUP($B76,'SegEnds_NonXtal_Prot#'!$A:$AL,25,FALSE),"-")</f>
        <v>50</v>
      </c>
      <c r="R76" s="2">
        <f>IFERROR(50+VLOOKUP($A76,'SegEnds_Xtal_Prot#'!$A:$AY,35,FALSE)-VLOOKUP($B76,'SegEnds_NonXtal_Prot#'!$A:$AL,25,FALSE),"-")</f>
        <v>52</v>
      </c>
      <c r="S76" s="2">
        <f>IFERROR(50+VLOOKUP($A76,'SegEnds_Xtal_Prot#'!$A:$AY,37,FALSE)-VLOOKUP($B76,'SegEnds_NonXtal_Prot#'!$A:$AL,28,FALSE),"-")</f>
        <v>28</v>
      </c>
      <c r="T76" s="2">
        <f>IFERROR(50+VLOOKUP($A76,'SegEnds_Xtal_Prot#'!$A:$AY,39,FALSE)-VLOOKUP($B76,'SegEnds_NonXtal_Prot#'!$A:$AL,28,FALSE),"-")</f>
        <v>67</v>
      </c>
      <c r="U76" s="2">
        <f>IFERROR(50+VLOOKUP($A76,'SegEnds_Xtal_Prot#'!$A:$AY,41,FALSE)-VLOOKUP($B76,'SegEnds_NonXtal_Prot#'!$A:$AL,31,FALSE),"-")</f>
        <v>26</v>
      </c>
      <c r="V76" s="2">
        <f>IFERROR(50+VLOOKUP($A76,'SegEnds_Xtal_Prot#'!$A:$AY,43,FALSE)-VLOOKUP($B76,'SegEnds_NonXtal_Prot#'!$A:$AL,31,FALSE),"-")</f>
        <v>64</v>
      </c>
      <c r="W76" s="2">
        <f>IFERROR(50+VLOOKUP($A76,'SegEnds_Xtal_Prot#'!$A:$AY,45,FALSE)-VLOOKUP($B76,'SegEnds_NonXtal_Prot#'!$A:$AL,34,FALSE),"-")</f>
        <v>24</v>
      </c>
      <c r="X76" s="2">
        <f>IFERROR(50+VLOOKUP($A76,'SegEnds_Xtal_Prot#'!$A:$AY,47,FALSE)-VLOOKUP($B76,'SegEnds_NonXtal_Prot#'!$A:$AL,34,FALSE),"-")</f>
        <v>56</v>
      </c>
      <c r="Y76" s="2">
        <f>IFERROR(50+VLOOKUP($A76,'SegEnds_Xtal_Prot#'!$A:$AY,49,FALSE)-VLOOKUP($B76,'SegEnds_NonXtal_Prot#'!$A:$AL,37,FALSE),"-")</f>
        <v>47</v>
      </c>
      <c r="Z76" s="2">
        <f>IFERROR(50+VLOOKUP($A76,'SegEnds_Xtal_Prot#'!$A:$AY,51,FALSE)-VLOOKUP($B76,'SegEnds_NonXtal_Prot#'!$A:$AL,37,FALSE),"-")</f>
        <v>59</v>
      </c>
      <c r="AA76" s="49" t="str">
        <f>VLOOKUP(B76,Classification!A:D,2,FALSE)</f>
        <v>A</v>
      </c>
      <c r="AB76" s="94" t="str">
        <f>VLOOKUP(B76,Classification!A:D,4,0)</f>
        <v>Leukotriene</v>
      </c>
      <c r="AC76" s="49" t="e">
        <f>VLOOKUP(B76,'SegEnds_NonXtal_Prot#'!A:AL,6,FALSE)-VLOOKUP(B76,'SegEnds_NonXtal_Prot#'!A:AL,5,FALSE)</f>
        <v>#VALUE!</v>
      </c>
      <c r="AD76" s="49" t="e">
        <f>VLOOKUP(B76,'SegEnds_NonXtal_Prot#'!A:AL,9,FALSE)-VLOOKUP(B76,'SegEnds_NonXtal_Prot#'!A:AL,8,FALSE)</f>
        <v>#VALUE!</v>
      </c>
      <c r="AE76" s="49">
        <f>VLOOKUP(B76,'SegEnds_NonXtal_Prot#'!A:AL,13,FALSE)-VLOOKUP(B76,'SegEnds_NonXtal_Prot#'!A:AL,10,FALSE)</f>
        <v>20</v>
      </c>
      <c r="AF76" s="49">
        <f>VLOOKUP(B76,'SegEnds_NonXtal_Prot#'!A:AL,12,FALSE)-VLOOKUP(B76,'SegEnds_NonXtal_Prot#'!A:AL,11,FALSE)</f>
        <v>2</v>
      </c>
      <c r="AG76" s="49">
        <f>VLOOKUP(B76,'SegEnds_NonXtal_Prot#'!A:AL,13,FALSE)-VLOOKUP(B76,'SegEnds_NonXtal_Prot#'!A:AL,11,FALSE)</f>
        <v>3</v>
      </c>
      <c r="AH76" s="49">
        <f>VLOOKUP(B76,'SegEnds_NonXtal_Prot#'!A:AL,16,FALSE)-VLOOKUP(B76,'SegEnds_NonXtal_Prot#'!A:AL,10,FALSE)</f>
        <v>52</v>
      </c>
      <c r="AI76" s="49">
        <f>VLOOKUP(B76,'SegEnds_NonXtal_Prot#'!A:AL,16,FALSE)-VLOOKUP(B76,'SegEnds_NonXtal_Prot#'!A:AL,11,FALSE)</f>
        <v>35</v>
      </c>
      <c r="AJ76" s="49">
        <f>VLOOKUP(B76,'SegEnds_NonXtal_Prot#'!A:AL,22,FALSE)-VLOOKUP(B76,'SegEnds_NonXtal_Prot#'!A:AL,19,FALSE)</f>
        <v>20</v>
      </c>
      <c r="AK76" s="49">
        <f>VLOOKUP(B76,'SegEnds_NonXtal_Prot#'!A:AL,15,FALSE)-VLOOKUP(B76,'SegEnds_NonXtal_Prot#'!A:AL,14,FALSE)</f>
        <v>1</v>
      </c>
      <c r="AL76" s="49">
        <f>VLOOKUP(B76,'SegEnds_NonXtal_Prot#'!A:AL,18,FALSE)-VLOOKUP(B76,'SegEnds_NonXtal_Prot#'!A:AL,17,FALSE)</f>
        <v>1</v>
      </c>
      <c r="AM76" s="2">
        <f>VLOOKUP(B76,'SegEnds_NonXtal_Prot#'!A:AL,34,FALSE)-VLOOKUP(B76,'SegEnds_NonXtal_Prot#'!A:AL,31,FALSE)</f>
        <v>44</v>
      </c>
    </row>
    <row r="77" spans="1:64" x14ac:dyDescent="0.2">
      <c r="A77" s="2" t="str">
        <f t="shared" ref="A77" si="2">CONCATENATE(B77,"__wt",)</f>
        <v>cltr2_human__wt</v>
      </c>
      <c r="B77" s="2" t="s">
        <v>180</v>
      </c>
      <c r="C77" s="2">
        <f>IFERROR(50+VLOOKUP($A77,'SegEnds_Xtal_Prot#'!$A:$AY,5,FALSE)-VLOOKUP($B77,'SegEnds_NonXtal_Prot#'!$A:$AL,4,FALSE),"-")</f>
        <v>25</v>
      </c>
      <c r="D77" s="2">
        <f>IFERROR(50+VLOOKUP($A77,'SegEnds_Xtal_Prot#'!$A:$AY,7,FALSE)-VLOOKUP($B77,'SegEnds_NonXtal_Prot#'!$A:$AL,4,FALSE),"-")</f>
        <v>60</v>
      </c>
      <c r="E77" s="2" t="str">
        <f>IFERROR(50+VLOOKUP($A77,'SegEnds_Xtal_Prot#'!$A:$AY,9,FALSE)-VLOOKUP($B77,'SegEnds_NonXtal_Prot#'!$A:$AL,7,FALSE),"-")</f>
        <v>-</v>
      </c>
      <c r="F77" s="2" t="str">
        <f>IFERROR(50+VLOOKUP($A77,'SegEnds_Xtal_Prot#'!$A:$AY,11,FALSE)-VLOOKUP($B77,'SegEnds_NonXtal_Prot#'!$A:$AL,7,FALSE),"-")</f>
        <v>-</v>
      </c>
      <c r="G77" s="2">
        <f>IFERROR(50+VLOOKUP($A77,'SegEnds_Xtal_Prot#'!$A:$AY,13,FALSE)-VLOOKUP($B77,'SegEnds_NonXtal_Prot#'!$A:$AL,10,FALSE),"-")</f>
        <v>37</v>
      </c>
      <c r="H77" s="2">
        <f>IFERROR(50+VLOOKUP($A77,'SegEnds_Xtal_Prot#'!$A:$AY,15,FALSE)-VLOOKUP($B77,'SegEnds_NonXtal_Prot#'!$A:$AL,10,FALSE),"-")</f>
        <v>67</v>
      </c>
      <c r="I77" s="2">
        <f>IFERROR(50+VLOOKUP($A77,'SegEnds_Xtal_Prot#'!$A:$AY,17,FALSE)-VLOOKUP($B77,'SegEnds_NonXtal_Prot#'!$A:$AL,13,FALSE),"-")</f>
        <v>49</v>
      </c>
      <c r="J77" s="2">
        <f>IFERROR(50+VLOOKUP($A77,'SegEnds_Xtal_Prot#'!$A:$AY,19,FALSE)-VLOOKUP($B77,'SegEnds_NonXtal_Prot#'!$A:$AL,13,FALSE),"-")</f>
        <v>52</v>
      </c>
      <c r="K77" s="2">
        <f>IFERROR(50+VLOOKUP($A77,'SegEnds_Xtal_Prot#'!$A:$AY,21,FALSE)-VLOOKUP($B77,'SegEnds_NonXtal_Prot#'!$A:$AL,16,FALSE),"-")</f>
        <v>21</v>
      </c>
      <c r="L77" s="2">
        <f>IFERROR(50+VLOOKUP($A77,'SegEnds_Xtal_Prot#'!$A:$AY,23,FALSE)-VLOOKUP($B77,'SegEnds_NonXtal_Prot#'!$A:$AL,16,FALSE),"-")</f>
        <v>56</v>
      </c>
      <c r="M77" s="2">
        <f>IFERROR(50+VLOOKUP($A77,'SegEnds_Xtal_Prot#'!$A:$AY,25,FALSE)-VLOOKUP($B77,'SegEnds_NonXtal_Prot#'!$A:$AL,19,FALSE),"-")</f>
        <v>50</v>
      </c>
      <c r="N77" s="2">
        <f>IFERROR(50+VLOOKUP($A77,'SegEnds_Xtal_Prot#'!$A:$AY,27,FALSE)-VLOOKUP($B77,'SegEnds_NonXtal_Prot#'!$A:$AL,19,FALSE),"-")</f>
        <v>57</v>
      </c>
      <c r="O77" s="2">
        <f>IFERROR(50+VLOOKUP($A77,'SegEnds_Xtal_Prot#'!$A:$AY,29,FALSE)-VLOOKUP($B77,'SegEnds_NonXtal_Prot#'!$A:$AL,22,FALSE),"-")</f>
        <v>38</v>
      </c>
      <c r="P77" s="2">
        <f>IFERROR(50+VLOOKUP($A77,'SegEnds_Xtal_Prot#'!$A:$AY,31,FALSE)-VLOOKUP($B77,'SegEnds_NonXtal_Prot#'!$A:$AL,22,FALSE),"-")</f>
        <v>63</v>
      </c>
      <c r="Q77" s="2">
        <f>IFERROR(50+VLOOKUP($A77,'SegEnds_Xtal_Prot#'!$A:$AY,33,FALSE)-VLOOKUP($B77,'SegEnds_NonXtal_Prot#'!$A:$AL,25,FALSE),"-")</f>
        <v>50</v>
      </c>
      <c r="R77" s="2">
        <f>IFERROR(50+VLOOKUP($A77,'SegEnds_Xtal_Prot#'!$A:$AY,35,FALSE)-VLOOKUP($B77,'SegEnds_NonXtal_Prot#'!$A:$AL,25,FALSE),"-")</f>
        <v>52</v>
      </c>
      <c r="S77" s="2">
        <f>IFERROR(50+VLOOKUP($A77,'SegEnds_Xtal_Prot#'!$A:$AY,37,FALSE)-VLOOKUP($B77,'SegEnds_NonXtal_Prot#'!$A:$AL,28,FALSE),"-")</f>
        <v>32</v>
      </c>
      <c r="T77" s="2">
        <f>IFERROR(50+VLOOKUP($A77,'SegEnds_Xtal_Prot#'!$A:$AY,39,FALSE)-VLOOKUP($B77,'SegEnds_NonXtal_Prot#'!$A:$AL,28,FALSE),"-")</f>
        <v>68</v>
      </c>
      <c r="U77" s="2">
        <f>IFERROR(50+VLOOKUP($A77,'SegEnds_Xtal_Prot#'!$A:$AY,41,FALSE)-VLOOKUP($B77,'SegEnds_NonXtal_Prot#'!$A:$AL,31,FALSE),"-")</f>
        <v>24</v>
      </c>
      <c r="V77" s="2">
        <f>IFERROR(50+VLOOKUP($A77,'SegEnds_Xtal_Prot#'!$A:$AY,43,FALSE)-VLOOKUP($B77,'SegEnds_NonXtal_Prot#'!$A:$AL,31,FALSE),"-")</f>
        <v>62</v>
      </c>
      <c r="W77" s="2">
        <f>IFERROR(50+VLOOKUP($A77,'SegEnds_Xtal_Prot#'!$A:$AY,45,FALSE)-VLOOKUP($B77,'SegEnds_NonXtal_Prot#'!$A:$AL,34,FALSE),"-")</f>
        <v>28</v>
      </c>
      <c r="X77" s="2">
        <f>IFERROR(50+VLOOKUP($A77,'SegEnds_Xtal_Prot#'!$A:$AY,47,FALSE)-VLOOKUP($B77,'SegEnds_NonXtal_Prot#'!$A:$AL,34,FALSE),"-")</f>
        <v>56</v>
      </c>
      <c r="Y77" s="2">
        <f>IFERROR(50+VLOOKUP($A77,'SegEnds_Xtal_Prot#'!$A:$AY,49,FALSE)-VLOOKUP($B77,'SegEnds_NonXtal_Prot#'!$A:$AL,37,FALSE),"-")</f>
        <v>47</v>
      </c>
      <c r="Z77" s="2">
        <f>IFERROR(50+VLOOKUP($A77,'SegEnds_Xtal_Prot#'!$A:$AY,51,FALSE)-VLOOKUP($B77,'SegEnds_NonXtal_Prot#'!$A:$AL,37,FALSE),"-")</f>
        <v>60</v>
      </c>
      <c r="AA77" s="49" t="str">
        <f>VLOOKUP(B77,Classification!A:D,2,FALSE)</f>
        <v>A</v>
      </c>
      <c r="AB77" s="94" t="str">
        <f>VLOOKUP(B77,Classification!A:D,4,0)</f>
        <v>Leukotriene</v>
      </c>
      <c r="AC77" s="49" t="e">
        <f>VLOOKUP(B77,'SegEnds_NonXtal_Prot#'!A:AL,6,FALSE)-VLOOKUP(B77,'SegEnds_NonXtal_Prot#'!A:AL,5,FALSE)</f>
        <v>#VALUE!</v>
      </c>
      <c r="AD77" s="49" t="e">
        <f>VLOOKUP(B77,'SegEnds_NonXtal_Prot#'!A:AL,9,FALSE)-VLOOKUP(B77,'SegEnds_NonXtal_Prot#'!A:AL,8,FALSE)</f>
        <v>#VALUE!</v>
      </c>
      <c r="AE77" s="49">
        <f>VLOOKUP(B77,'SegEnds_NonXtal_Prot#'!A:AL,13,FALSE)-VLOOKUP(B77,'SegEnds_NonXtal_Prot#'!A:AL,10,FALSE)</f>
        <v>20</v>
      </c>
      <c r="AF77" s="49">
        <f>VLOOKUP(B77,'SegEnds_NonXtal_Prot#'!A:AL,12,FALSE)-VLOOKUP(B77,'SegEnds_NonXtal_Prot#'!A:AL,11,FALSE)</f>
        <v>2</v>
      </c>
      <c r="AG77" s="49">
        <f>VLOOKUP(B77,'SegEnds_NonXtal_Prot#'!A:AL,13,FALSE)-VLOOKUP(B77,'SegEnds_NonXtal_Prot#'!A:AL,11,FALSE)</f>
        <v>3</v>
      </c>
      <c r="AH77" s="49">
        <f>VLOOKUP(B77,'SegEnds_NonXtal_Prot#'!A:AL,16,FALSE)-VLOOKUP(B77,'SegEnds_NonXtal_Prot#'!A:AL,10,FALSE)</f>
        <v>52</v>
      </c>
      <c r="AI77" s="49">
        <f>VLOOKUP(B77,'SegEnds_NonXtal_Prot#'!A:AL,16,FALSE)-VLOOKUP(B77,'SegEnds_NonXtal_Prot#'!A:AL,11,FALSE)</f>
        <v>35</v>
      </c>
      <c r="AJ77" s="49">
        <f>VLOOKUP(B77,'SegEnds_NonXtal_Prot#'!A:AL,22,FALSE)-VLOOKUP(B77,'SegEnds_NonXtal_Prot#'!A:AL,19,FALSE)</f>
        <v>20</v>
      </c>
      <c r="AK77" s="49">
        <f>VLOOKUP(B77,'SegEnds_NonXtal_Prot#'!A:AL,15,FALSE)-VLOOKUP(B77,'SegEnds_NonXtal_Prot#'!A:AL,14,FALSE)</f>
        <v>1</v>
      </c>
      <c r="AL77" s="49">
        <f>VLOOKUP(B77,'SegEnds_NonXtal_Prot#'!A:AL,18,FALSE)-VLOOKUP(B77,'SegEnds_NonXtal_Prot#'!A:AL,17,FALSE)</f>
        <v>1</v>
      </c>
      <c r="AM77" s="2">
        <f>VLOOKUP(B77,'SegEnds_NonXtal_Prot#'!A:AL,34,FALSE)-VLOOKUP(B77,'SegEnds_NonXtal_Prot#'!A:AL,31,FALSE)</f>
        <v>40</v>
      </c>
    </row>
    <row r="78" spans="1:64" x14ac:dyDescent="0.2">
      <c r="A78" s="2" t="str">
        <f t="shared" ref="A78" si="3">CONCATENATE(B78,"__wt",)</f>
        <v>acm5_human__wt</v>
      </c>
      <c r="B78" s="2" t="s">
        <v>150</v>
      </c>
      <c r="C78" s="2">
        <f>IFERROR(50+VLOOKUP($A78,'SegEnds_Xtal_Prot#'!$A:$AY,5,FALSE)-VLOOKUP($B78,'SegEnds_NonXtal_Prot#'!$A:$AL,4,FALSE),"-")</f>
        <v>28</v>
      </c>
      <c r="D78" s="2">
        <f>IFERROR(50+VLOOKUP($A78,'SegEnds_Xtal_Prot#'!$A:$AY,7,FALSE)-VLOOKUP($B78,'SegEnds_NonXtal_Prot#'!$A:$AL,4,FALSE),"-")</f>
        <v>60</v>
      </c>
      <c r="E78" s="2">
        <f>IFERROR(50+VLOOKUP($A78,'SegEnds_Xtal_Prot#'!$A:$AY,9,FALSE)-VLOOKUP($B78,'SegEnds_NonXtal_Prot#'!$A:$AL,7,FALSE),"-")</f>
        <v>48</v>
      </c>
      <c r="F78" s="2">
        <f>IFERROR(50+VLOOKUP($A78,'SegEnds_Xtal_Prot#'!$A:$AY,11,FALSE)-VLOOKUP($B78,'SegEnds_NonXtal_Prot#'!$A:$AL,7,FALSE),"-")</f>
        <v>51</v>
      </c>
      <c r="G78" s="2">
        <f>IFERROR(50+VLOOKUP($A78,'SegEnds_Xtal_Prot#'!$A:$AY,13,FALSE)-VLOOKUP($B78,'SegEnds_NonXtal_Prot#'!$A:$AL,10,FALSE),"-")</f>
        <v>37</v>
      </c>
      <c r="H78" s="2">
        <f>IFERROR(50+VLOOKUP($A78,'SegEnds_Xtal_Prot#'!$A:$AY,15,FALSE)-VLOOKUP($B78,'SegEnds_NonXtal_Prot#'!$A:$AL,10,FALSE),"-")</f>
        <v>68</v>
      </c>
      <c r="I78" s="2">
        <f>IFERROR(50+VLOOKUP($A78,'SegEnds_Xtal_Prot#'!$A:$AY,17,FALSE)-VLOOKUP($B78,'SegEnds_NonXtal_Prot#'!$A:$AL,13,FALSE),"-")</f>
        <v>49</v>
      </c>
      <c r="J78" s="2">
        <f>IFERROR(50+VLOOKUP($A78,'SegEnds_Xtal_Prot#'!$A:$AY,19,FALSE)-VLOOKUP($B78,'SegEnds_NonXtal_Prot#'!$A:$AL,13,FALSE),"-")</f>
        <v>52</v>
      </c>
      <c r="K78" s="2">
        <f>IFERROR(50+VLOOKUP($A78,'SegEnds_Xtal_Prot#'!$A:$AY,21,FALSE)-VLOOKUP($B78,'SegEnds_NonXtal_Prot#'!$A:$AL,16,FALSE),"-")</f>
        <v>21</v>
      </c>
      <c r="L78" s="2">
        <f>IFERROR(50+VLOOKUP($A78,'SegEnds_Xtal_Prot#'!$A:$AY,23,FALSE)-VLOOKUP($B78,'SegEnds_NonXtal_Prot#'!$A:$AL,16,FALSE),"-")</f>
        <v>56</v>
      </c>
      <c r="M78" s="2">
        <f>IFERROR(50+VLOOKUP($A78,'SegEnds_Xtal_Prot#'!$A:$AY,25,FALSE)-VLOOKUP($B78,'SegEnds_NonXtal_Prot#'!$A:$AL,19,FALSE),"-")</f>
        <v>50</v>
      </c>
      <c r="N78" s="2">
        <f>IFERROR(50+VLOOKUP($A78,'SegEnds_Xtal_Prot#'!$A:$AY,27,FALSE)-VLOOKUP($B78,'SegEnds_NonXtal_Prot#'!$A:$AL,19,FALSE),"-")</f>
        <v>57</v>
      </c>
      <c r="O78" s="2">
        <f>IFERROR(50+VLOOKUP($A78,'SegEnds_Xtal_Prot#'!$A:$AY,29,FALSE)-VLOOKUP($B78,'SegEnds_NonXtal_Prot#'!$A:$AL,22,FALSE),"-")</f>
        <v>38</v>
      </c>
      <c r="P78" s="2">
        <f>IFERROR(50+VLOOKUP($A78,'SegEnds_Xtal_Prot#'!$A:$AY,31,FALSE)-VLOOKUP($B78,'SegEnds_NonXtal_Prot#'!$A:$AL,22,FALSE),"-")</f>
        <v>69</v>
      </c>
      <c r="Q78" s="2">
        <f>IFERROR(50+VLOOKUP($A78,'SegEnds_Xtal_Prot#'!$A:$AY,33,FALSE)-VLOOKUP($B78,'SegEnds_NonXtal_Prot#'!$A:$AL,25,FALSE),"-")</f>
        <v>50</v>
      </c>
      <c r="R78" s="2">
        <f>IFERROR(50+VLOOKUP($A78,'SegEnds_Xtal_Prot#'!$A:$AY,35,FALSE)-VLOOKUP($B78,'SegEnds_NonXtal_Prot#'!$A:$AL,25,FALSE),"-")</f>
        <v>52</v>
      </c>
      <c r="S78" s="2">
        <f>IFERROR(50+VLOOKUP($A78,'SegEnds_Xtal_Prot#'!$A:$AY,37,FALSE)-VLOOKUP($B78,'SegEnds_NonXtal_Prot#'!$A:$AL,28,FALSE),"-")</f>
        <v>35</v>
      </c>
      <c r="T78" s="2">
        <f>IFERROR(50+VLOOKUP($A78,'SegEnds_Xtal_Prot#'!$A:$AY,39,FALSE)-VLOOKUP($B78,'SegEnds_NonXtal_Prot#'!$A:$AL,28,FALSE),"-")</f>
        <v>75</v>
      </c>
      <c r="U78" s="2">
        <f>IFERROR(50+VLOOKUP($A78,'SegEnds_Xtal_Prot#'!$A:$AY,41,FALSE)-VLOOKUP($B78,'SegEnds_NonXtal_Prot#'!$A:$AL,31,FALSE),"-")</f>
        <v>24</v>
      </c>
      <c r="V78" s="2">
        <f>IFERROR(50+VLOOKUP($A78,'SegEnds_Xtal_Prot#'!$A:$AY,43,FALSE)-VLOOKUP($B78,'SegEnds_NonXtal_Prot#'!$A:$AL,31,FALSE),"-")</f>
        <v>61</v>
      </c>
      <c r="W78" s="2">
        <f>IFERROR(50+VLOOKUP($A78,'SegEnds_Xtal_Prot#'!$A:$AY,45,FALSE)-VLOOKUP($B78,'SegEnds_NonXtal_Prot#'!$A:$AL,34,FALSE),"-")</f>
        <v>31</v>
      </c>
      <c r="X78" s="2">
        <f>IFERROR(50+VLOOKUP($A78,'SegEnds_Xtal_Prot#'!$A:$AY,47,FALSE)-VLOOKUP($B78,'SegEnds_NonXtal_Prot#'!$A:$AL,34,FALSE),"-")</f>
        <v>56</v>
      </c>
      <c r="Y78" s="2">
        <f>IFERROR(50+VLOOKUP($A78,'SegEnds_Xtal_Prot#'!$A:$AY,49,FALSE)-VLOOKUP($B78,'SegEnds_NonXtal_Prot#'!$A:$AL,37,FALSE),"-")</f>
        <v>47</v>
      </c>
      <c r="Z78" s="2">
        <f>IFERROR(50+VLOOKUP($A78,'SegEnds_Xtal_Prot#'!$A:$AY,51,FALSE)-VLOOKUP($B78,'SegEnds_NonXtal_Prot#'!$A:$AL,37,FALSE),"-")</f>
        <v>59</v>
      </c>
      <c r="AA78" s="49" t="str">
        <f>VLOOKUP(B78,Classification!A:D,2,FALSE)</f>
        <v>A</v>
      </c>
      <c r="AB78" s="94" t="str">
        <f>VLOOKUP(B78,Classification!A:D,4,0)</f>
        <v>Acetylcholine(muscarinic)</v>
      </c>
      <c r="AC78" s="49">
        <f>VLOOKUP(B78,'SegEnds_NonXtal_Prot#'!A:AL,6,FALSE)-VLOOKUP(B78,'SegEnds_NonXtal_Prot#'!A:AL,5,FALSE)</f>
        <v>1</v>
      </c>
      <c r="AD78" s="49">
        <f>VLOOKUP(B78,'SegEnds_NonXtal_Prot#'!A:AL,9,FALSE)-VLOOKUP(B78,'SegEnds_NonXtal_Prot#'!A:AL,8,FALSE)</f>
        <v>1</v>
      </c>
      <c r="AE78" s="49">
        <f>VLOOKUP(B78,'SegEnds_NonXtal_Prot#'!A:AL,13,FALSE)-VLOOKUP(B78,'SegEnds_NonXtal_Prot#'!A:AL,10,FALSE)</f>
        <v>20</v>
      </c>
      <c r="AF78" s="49">
        <f>VLOOKUP(B78,'SegEnds_NonXtal_Prot#'!A:AL,12,FALSE)-VLOOKUP(B78,'SegEnds_NonXtal_Prot#'!A:AL,11,FALSE)</f>
        <v>1</v>
      </c>
      <c r="AG78" s="49">
        <f>VLOOKUP(B78,'SegEnds_NonXtal_Prot#'!A:AL,13,FALSE)-VLOOKUP(B78,'SegEnds_NonXtal_Prot#'!A:AL,11,FALSE)</f>
        <v>2</v>
      </c>
      <c r="AH78" s="49">
        <f>VLOOKUP(B78,'SegEnds_NonXtal_Prot#'!A:AL,16,FALSE)-VLOOKUP(B78,'SegEnds_NonXtal_Prot#'!A:AL,10,FALSE)</f>
        <v>52</v>
      </c>
      <c r="AI78" s="49">
        <f>VLOOKUP(B78,'SegEnds_NonXtal_Prot#'!A:AL,16,FALSE)-VLOOKUP(B78,'SegEnds_NonXtal_Prot#'!A:AL,11,FALSE)</f>
        <v>34</v>
      </c>
      <c r="AJ78" s="49">
        <f>VLOOKUP(B78,'SegEnds_NonXtal_Prot#'!A:AL,22,FALSE)-VLOOKUP(B78,'SegEnds_NonXtal_Prot#'!A:AL,19,FALSE)</f>
        <v>20</v>
      </c>
      <c r="AK78" s="49">
        <f>VLOOKUP(B78,'SegEnds_NonXtal_Prot#'!A:AL,15,FALSE)-VLOOKUP(B78,'SegEnds_NonXtal_Prot#'!A:AL,14,FALSE)</f>
        <v>1</v>
      </c>
      <c r="AL78" s="49">
        <f>VLOOKUP(B78,'SegEnds_NonXtal_Prot#'!A:AL,18,FALSE)-VLOOKUP(B78,'SegEnds_NonXtal_Prot#'!A:AL,17,FALSE)</f>
        <v>1</v>
      </c>
      <c r="AM78" s="2">
        <f>VLOOKUP(B78,'SegEnds_NonXtal_Prot#'!A:AL,34,FALSE)-VLOOKUP(B78,'SegEnds_NonXtal_Prot#'!A:AL,31,FALSE)</f>
        <v>35</v>
      </c>
    </row>
    <row r="79" spans="1:64" x14ac:dyDescent="0.2">
      <c r="A79" s="4"/>
      <c r="B79" s="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49"/>
      <c r="AB79" s="96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2"/>
      <c r="AN79" s="38"/>
      <c r="AO79" s="30" t="s">
        <v>1060</v>
      </c>
      <c r="AP79" s="30" t="s">
        <v>1061</v>
      </c>
      <c r="AQ79" s="30" t="s">
        <v>1077</v>
      </c>
      <c r="AR79" s="30" t="s">
        <v>1078</v>
      </c>
      <c r="AS79" s="30" t="s">
        <v>1062</v>
      </c>
      <c r="AT79" s="30" t="s">
        <v>1063</v>
      </c>
      <c r="AU79" s="30" t="s">
        <v>1079</v>
      </c>
      <c r="AV79" s="30" t="s">
        <v>1080</v>
      </c>
      <c r="AW79" s="30" t="s">
        <v>1064</v>
      </c>
      <c r="AX79" s="30" t="s">
        <v>1065</v>
      </c>
      <c r="AY79" s="30" t="s">
        <v>1092</v>
      </c>
      <c r="AZ79" s="30" t="s">
        <v>1093</v>
      </c>
      <c r="BA79" s="30" t="s">
        <v>1066</v>
      </c>
      <c r="BB79" s="30" t="s">
        <v>1067</v>
      </c>
      <c r="BC79" s="30" t="s">
        <v>1095</v>
      </c>
      <c r="BD79" s="30" t="s">
        <v>1096</v>
      </c>
      <c r="BE79" s="30" t="s">
        <v>1068</v>
      </c>
      <c r="BF79" s="30" t="s">
        <v>1069</v>
      </c>
      <c r="BG79" s="30" t="s">
        <v>1070</v>
      </c>
      <c r="BH79" s="30" t="s">
        <v>1071</v>
      </c>
      <c r="BI79" s="30" t="s">
        <v>1072</v>
      </c>
      <c r="BJ79" s="30" t="s">
        <v>1073</v>
      </c>
      <c r="BK79" s="30" t="s">
        <v>1074</v>
      </c>
      <c r="BL79" s="30" t="s">
        <v>1075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1</v>
      </c>
      <c r="AO80" s="4">
        <f t="shared" ref="AO80:BL80" si="4">MAX(C2:C42)</f>
        <v>34</v>
      </c>
      <c r="AP80" s="4">
        <f t="shared" si="4"/>
        <v>64</v>
      </c>
      <c r="AQ80" s="4">
        <f t="shared" si="4"/>
        <v>48</v>
      </c>
      <c r="AR80" s="4">
        <f t="shared" si="4"/>
        <v>52</v>
      </c>
      <c r="AS80" s="4">
        <f t="shared" si="4"/>
        <v>38</v>
      </c>
      <c r="AT80" s="4">
        <f t="shared" si="4"/>
        <v>69</v>
      </c>
      <c r="AU80" s="4">
        <f t="shared" si="4"/>
        <v>50</v>
      </c>
      <c r="AV80" s="4">
        <f t="shared" si="4"/>
        <v>53</v>
      </c>
      <c r="AW80" s="4">
        <f t="shared" si="4"/>
        <v>21</v>
      </c>
      <c r="AX80" s="4">
        <f t="shared" si="4"/>
        <v>56</v>
      </c>
      <c r="AY80" s="4">
        <f t="shared" si="4"/>
        <v>50</v>
      </c>
      <c r="AZ80" s="4">
        <f t="shared" si="4"/>
        <v>58</v>
      </c>
      <c r="BA80" s="4">
        <f t="shared" si="4"/>
        <v>38</v>
      </c>
      <c r="BB80" s="4">
        <f t="shared" si="4"/>
        <v>69</v>
      </c>
      <c r="BC80" s="4">
        <f t="shared" si="4"/>
        <v>50</v>
      </c>
      <c r="BD80" s="4">
        <f t="shared" si="4"/>
        <v>52</v>
      </c>
      <c r="BE80" s="4">
        <f t="shared" si="4"/>
        <v>36</v>
      </c>
      <c r="BF80" s="4">
        <f t="shared" si="4"/>
        <v>77</v>
      </c>
      <c r="BG80" s="4">
        <f t="shared" si="4"/>
        <v>30</v>
      </c>
      <c r="BH80" s="4">
        <f t="shared" si="4"/>
        <v>65</v>
      </c>
      <c r="BI80" s="4">
        <f t="shared" si="4"/>
        <v>32</v>
      </c>
      <c r="BJ80" s="4">
        <f t="shared" si="4"/>
        <v>56</v>
      </c>
      <c r="BK80" s="4">
        <f t="shared" si="4"/>
        <v>47</v>
      </c>
      <c r="BL80" s="4">
        <f t="shared" si="4"/>
        <v>69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5">MIN(C2:C42)</f>
        <v>22</v>
      </c>
      <c r="AP81" s="4">
        <f t="shared" si="5"/>
        <v>60</v>
      </c>
      <c r="AQ81" s="4">
        <f t="shared" si="5"/>
        <v>48</v>
      </c>
      <c r="AR81" s="4">
        <f t="shared" si="5"/>
        <v>51</v>
      </c>
      <c r="AS81" s="4">
        <f t="shared" si="5"/>
        <v>34</v>
      </c>
      <c r="AT81" s="4">
        <f t="shared" si="5"/>
        <v>63</v>
      </c>
      <c r="AU81" s="4">
        <f t="shared" si="5"/>
        <v>47</v>
      </c>
      <c r="AV81" s="4">
        <f t="shared" si="5"/>
        <v>52</v>
      </c>
      <c r="AW81" s="4">
        <f t="shared" si="5"/>
        <v>18</v>
      </c>
      <c r="AX81" s="4">
        <f t="shared" si="5"/>
        <v>55</v>
      </c>
      <c r="AY81" s="4">
        <f t="shared" si="5"/>
        <v>50</v>
      </c>
      <c r="AZ81" s="4">
        <f t="shared" si="5"/>
        <v>53</v>
      </c>
      <c r="BA81" s="4">
        <f t="shared" si="5"/>
        <v>35</v>
      </c>
      <c r="BB81" s="4">
        <f t="shared" si="5"/>
        <v>62</v>
      </c>
      <c r="BC81" s="4">
        <f t="shared" si="5"/>
        <v>50</v>
      </c>
      <c r="BD81" s="4">
        <f t="shared" si="5"/>
        <v>52</v>
      </c>
      <c r="BE81" s="4">
        <f t="shared" si="5"/>
        <v>28</v>
      </c>
      <c r="BF81" s="4">
        <f t="shared" si="5"/>
        <v>67</v>
      </c>
      <c r="BG81" s="4">
        <f t="shared" si="5"/>
        <v>18</v>
      </c>
      <c r="BH81" s="4">
        <f t="shared" si="5"/>
        <v>60</v>
      </c>
      <c r="BI81" s="4">
        <f t="shared" si="5"/>
        <v>24</v>
      </c>
      <c r="BJ81" s="4">
        <f t="shared" si="5"/>
        <v>55</v>
      </c>
      <c r="BK81" s="4">
        <f t="shared" si="5"/>
        <v>47</v>
      </c>
      <c r="BL81" s="4">
        <f t="shared" si="5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6">AO80-AO81</f>
        <v>12</v>
      </c>
      <c r="AP82" s="4">
        <f t="shared" si="6"/>
        <v>4</v>
      </c>
      <c r="AQ82" s="4">
        <f t="shared" si="6"/>
        <v>0</v>
      </c>
      <c r="AR82" s="4">
        <f t="shared" si="6"/>
        <v>1</v>
      </c>
      <c r="AS82" s="4">
        <f t="shared" si="6"/>
        <v>4</v>
      </c>
      <c r="AT82" s="4">
        <f t="shared" si="6"/>
        <v>6</v>
      </c>
      <c r="AU82" s="4">
        <f t="shared" si="6"/>
        <v>3</v>
      </c>
      <c r="AV82" s="4">
        <f t="shared" si="6"/>
        <v>1</v>
      </c>
      <c r="AW82" s="4">
        <f t="shared" si="6"/>
        <v>3</v>
      </c>
      <c r="AX82" s="4">
        <f t="shared" si="6"/>
        <v>1</v>
      </c>
      <c r="AY82" s="4">
        <f t="shared" si="6"/>
        <v>0</v>
      </c>
      <c r="AZ82" s="4">
        <f t="shared" si="6"/>
        <v>5</v>
      </c>
      <c r="BA82" s="4">
        <f t="shared" si="6"/>
        <v>3</v>
      </c>
      <c r="BB82" s="4">
        <f t="shared" si="6"/>
        <v>7</v>
      </c>
      <c r="BC82" s="4">
        <f t="shared" si="6"/>
        <v>0</v>
      </c>
      <c r="BD82" s="4">
        <f t="shared" si="6"/>
        <v>0</v>
      </c>
      <c r="BE82" s="4">
        <f t="shared" si="6"/>
        <v>8</v>
      </c>
      <c r="BF82" s="4">
        <f t="shared" si="6"/>
        <v>10</v>
      </c>
      <c r="BG82" s="4">
        <f t="shared" si="6"/>
        <v>12</v>
      </c>
      <c r="BH82" s="4">
        <f t="shared" si="6"/>
        <v>5</v>
      </c>
      <c r="BI82" s="4">
        <f t="shared" si="6"/>
        <v>8</v>
      </c>
      <c r="BJ82" s="4">
        <f t="shared" si="6"/>
        <v>1</v>
      </c>
      <c r="BK82" s="4">
        <f t="shared" si="6"/>
        <v>0</v>
      </c>
      <c r="BL82" s="4">
        <f t="shared" si="6"/>
        <v>12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N83" s="38" t="s">
        <v>1281</v>
      </c>
      <c r="AO83" s="4">
        <f t="shared" ref="AO83:BL83" si="7">MAX(C43:C46)</f>
        <v>29</v>
      </c>
      <c r="AP83" s="4">
        <f t="shared" si="7"/>
        <v>60</v>
      </c>
      <c r="AQ83" s="4">
        <f t="shared" si="7"/>
        <v>48</v>
      </c>
      <c r="AR83" s="4">
        <f t="shared" si="7"/>
        <v>51</v>
      </c>
      <c r="AS83" s="4">
        <f t="shared" si="7"/>
        <v>37</v>
      </c>
      <c r="AT83" s="4">
        <f t="shared" si="7"/>
        <v>66</v>
      </c>
      <c r="AU83" s="4">
        <f t="shared" si="7"/>
        <v>49</v>
      </c>
      <c r="AV83" s="4">
        <f t="shared" si="7"/>
        <v>52</v>
      </c>
      <c r="AW83" s="4">
        <f t="shared" si="7"/>
        <v>23</v>
      </c>
      <c r="AX83" s="4">
        <f t="shared" si="7"/>
        <v>56</v>
      </c>
      <c r="AY83" s="4">
        <f t="shared" si="7"/>
        <v>50</v>
      </c>
      <c r="AZ83" s="4">
        <f t="shared" si="7"/>
        <v>57</v>
      </c>
      <c r="BA83" s="4">
        <f t="shared" si="7"/>
        <v>41</v>
      </c>
      <c r="BB83" s="4">
        <f t="shared" si="7"/>
        <v>68</v>
      </c>
      <c r="BC83" s="4">
        <f t="shared" si="7"/>
        <v>50</v>
      </c>
      <c r="BD83" s="4">
        <f t="shared" si="7"/>
        <v>52</v>
      </c>
      <c r="BE83" s="4">
        <f t="shared" si="7"/>
        <v>40</v>
      </c>
      <c r="BF83" s="4">
        <f t="shared" si="7"/>
        <v>70</v>
      </c>
      <c r="BG83" s="4">
        <f t="shared" si="7"/>
        <v>30</v>
      </c>
      <c r="BH83" s="4">
        <f t="shared" si="7"/>
        <v>65</v>
      </c>
      <c r="BI83" s="4">
        <f t="shared" si="7"/>
        <v>31</v>
      </c>
      <c r="BJ83" s="4">
        <f t="shared" si="7"/>
        <v>56</v>
      </c>
      <c r="BK83" s="4">
        <f t="shared" si="7"/>
        <v>47</v>
      </c>
      <c r="BL83" s="4">
        <f t="shared" si="7"/>
        <v>72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O84" s="4">
        <f t="shared" ref="AO84:BL84" si="8">MIN(C43:C46)</f>
        <v>19</v>
      </c>
      <c r="AP84" s="4">
        <f t="shared" si="8"/>
        <v>60</v>
      </c>
      <c r="AQ84" s="4">
        <f t="shared" si="8"/>
        <v>48</v>
      </c>
      <c r="AR84" s="4">
        <f t="shared" si="8"/>
        <v>51</v>
      </c>
      <c r="AS84" s="4">
        <f t="shared" si="8"/>
        <v>37</v>
      </c>
      <c r="AT84" s="4">
        <f t="shared" si="8"/>
        <v>63</v>
      </c>
      <c r="AU84" s="4">
        <f t="shared" si="8"/>
        <v>47</v>
      </c>
      <c r="AV84" s="4">
        <f t="shared" si="8"/>
        <v>52</v>
      </c>
      <c r="AW84" s="4">
        <f t="shared" si="8"/>
        <v>21</v>
      </c>
      <c r="AX84" s="4">
        <f t="shared" si="8"/>
        <v>56</v>
      </c>
      <c r="AY84" s="4">
        <f t="shared" si="8"/>
        <v>50</v>
      </c>
      <c r="AZ84" s="4">
        <f t="shared" si="8"/>
        <v>56</v>
      </c>
      <c r="BA84" s="4">
        <f t="shared" si="8"/>
        <v>38</v>
      </c>
      <c r="BB84" s="4">
        <f t="shared" si="8"/>
        <v>62</v>
      </c>
      <c r="BC84" s="4">
        <f t="shared" si="8"/>
        <v>50</v>
      </c>
      <c r="BD84" s="4">
        <f t="shared" si="8"/>
        <v>52</v>
      </c>
      <c r="BE84" s="4">
        <f t="shared" si="8"/>
        <v>31</v>
      </c>
      <c r="BF84" s="4">
        <f t="shared" si="8"/>
        <v>67</v>
      </c>
      <c r="BG84" s="4">
        <f t="shared" si="8"/>
        <v>25</v>
      </c>
      <c r="BH84" s="4">
        <f t="shared" si="8"/>
        <v>53</v>
      </c>
      <c r="BI84" s="4">
        <f t="shared" si="8"/>
        <v>28</v>
      </c>
      <c r="BJ84" s="4">
        <f t="shared" si="8"/>
        <v>56</v>
      </c>
      <c r="BK84" s="4">
        <f t="shared" si="8"/>
        <v>47</v>
      </c>
      <c r="BL84" s="4">
        <f t="shared" si="8"/>
        <v>61</v>
      </c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O85" s="4">
        <f t="shared" ref="AO85:BL85" si="9">AO83-AO84</f>
        <v>10</v>
      </c>
      <c r="AP85" s="4">
        <f t="shared" si="9"/>
        <v>0</v>
      </c>
      <c r="AQ85" s="4">
        <f t="shared" si="9"/>
        <v>0</v>
      </c>
      <c r="AR85" s="4">
        <f t="shared" si="9"/>
        <v>0</v>
      </c>
      <c r="AS85" s="4">
        <f t="shared" si="9"/>
        <v>0</v>
      </c>
      <c r="AT85" s="4">
        <f t="shared" si="9"/>
        <v>3</v>
      </c>
      <c r="AU85" s="4">
        <f t="shared" si="9"/>
        <v>2</v>
      </c>
      <c r="AV85" s="4">
        <f t="shared" si="9"/>
        <v>0</v>
      </c>
      <c r="AW85" s="4">
        <f t="shared" si="9"/>
        <v>2</v>
      </c>
      <c r="AX85" s="4">
        <f t="shared" si="9"/>
        <v>0</v>
      </c>
      <c r="AY85" s="4">
        <f t="shared" si="9"/>
        <v>0</v>
      </c>
      <c r="AZ85" s="4">
        <f t="shared" si="9"/>
        <v>1</v>
      </c>
      <c r="BA85" s="4">
        <f t="shared" si="9"/>
        <v>3</v>
      </c>
      <c r="BB85" s="4">
        <f t="shared" si="9"/>
        <v>6</v>
      </c>
      <c r="BC85" s="4">
        <f t="shared" si="9"/>
        <v>0</v>
      </c>
      <c r="BD85" s="4">
        <f t="shared" si="9"/>
        <v>0</v>
      </c>
      <c r="BE85" s="4">
        <f t="shared" si="9"/>
        <v>9</v>
      </c>
      <c r="BF85" s="4">
        <f t="shared" si="9"/>
        <v>3</v>
      </c>
      <c r="BG85" s="4">
        <f t="shared" si="9"/>
        <v>5</v>
      </c>
      <c r="BH85" s="4">
        <f t="shared" si="9"/>
        <v>12</v>
      </c>
      <c r="BI85" s="4">
        <f t="shared" si="9"/>
        <v>3</v>
      </c>
      <c r="BJ85" s="4">
        <f t="shared" si="9"/>
        <v>0</v>
      </c>
      <c r="BK85" s="4">
        <f t="shared" si="9"/>
        <v>0</v>
      </c>
      <c r="BL85" s="4">
        <f t="shared" si="9"/>
        <v>11</v>
      </c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N86" s="38" t="s">
        <v>27</v>
      </c>
      <c r="AO86" s="4">
        <f t="shared" ref="AO86:BL86" si="10">MAX(C47:C50)</f>
        <v>34</v>
      </c>
      <c r="AP86" s="4">
        <f t="shared" si="10"/>
        <v>60</v>
      </c>
      <c r="AQ86" s="4">
        <f t="shared" si="10"/>
        <v>48</v>
      </c>
      <c r="AR86" s="4">
        <f t="shared" si="10"/>
        <v>53</v>
      </c>
      <c r="AS86" s="4">
        <f t="shared" si="10"/>
        <v>39</v>
      </c>
      <c r="AT86" s="4">
        <f t="shared" si="10"/>
        <v>74</v>
      </c>
      <c r="AU86" s="4">
        <f t="shared" si="10"/>
        <v>0</v>
      </c>
      <c r="AV86" s="4">
        <f t="shared" si="10"/>
        <v>0</v>
      </c>
      <c r="AW86" s="4">
        <f t="shared" si="10"/>
        <v>23</v>
      </c>
      <c r="AX86" s="4">
        <f t="shared" si="10"/>
        <v>56</v>
      </c>
      <c r="AY86" s="4">
        <f t="shared" si="10"/>
        <v>0</v>
      </c>
      <c r="AZ86" s="4">
        <f t="shared" si="10"/>
        <v>0</v>
      </c>
      <c r="BA86" s="4">
        <f t="shared" si="10"/>
        <v>40</v>
      </c>
      <c r="BB86" s="4">
        <f t="shared" si="10"/>
        <v>68</v>
      </c>
      <c r="BC86" s="4">
        <f t="shared" si="10"/>
        <v>50</v>
      </c>
      <c r="BD86" s="4">
        <f t="shared" si="10"/>
        <v>52</v>
      </c>
      <c r="BE86" s="4">
        <f t="shared" si="10"/>
        <v>36</v>
      </c>
      <c r="BF86" s="4">
        <f t="shared" si="10"/>
        <v>71</v>
      </c>
      <c r="BG86" s="4">
        <f t="shared" si="10"/>
        <v>33</v>
      </c>
      <c r="BH86" s="4">
        <f t="shared" si="10"/>
        <v>57</v>
      </c>
      <c r="BI86" s="4">
        <f t="shared" si="10"/>
        <v>33</v>
      </c>
      <c r="BJ86" s="4">
        <f t="shared" si="10"/>
        <v>64</v>
      </c>
      <c r="BK86" s="4">
        <f t="shared" si="10"/>
        <v>47</v>
      </c>
      <c r="BL86" s="4">
        <f t="shared" si="10"/>
        <v>72</v>
      </c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O87" s="4">
        <f t="shared" ref="AO87:BL87" si="11">MIN(C47:C50)</f>
        <v>25</v>
      </c>
      <c r="AP87" s="4">
        <f t="shared" si="11"/>
        <v>60</v>
      </c>
      <c r="AQ87" s="4">
        <f t="shared" si="11"/>
        <v>47</v>
      </c>
      <c r="AR87" s="4">
        <f t="shared" si="11"/>
        <v>51</v>
      </c>
      <c r="AS87" s="4">
        <f t="shared" si="11"/>
        <v>37</v>
      </c>
      <c r="AT87" s="4">
        <f t="shared" si="11"/>
        <v>61</v>
      </c>
      <c r="AU87" s="4">
        <f t="shared" si="11"/>
        <v>0</v>
      </c>
      <c r="AV87" s="4">
        <f t="shared" si="11"/>
        <v>0</v>
      </c>
      <c r="AW87" s="4">
        <f t="shared" si="11"/>
        <v>21</v>
      </c>
      <c r="AX87" s="4">
        <f t="shared" si="11"/>
        <v>54</v>
      </c>
      <c r="AY87" s="4">
        <f t="shared" si="11"/>
        <v>0</v>
      </c>
      <c r="AZ87" s="4">
        <f t="shared" si="11"/>
        <v>0</v>
      </c>
      <c r="BA87" s="4">
        <f t="shared" si="11"/>
        <v>37</v>
      </c>
      <c r="BB87" s="4">
        <f t="shared" si="11"/>
        <v>64</v>
      </c>
      <c r="BC87" s="4">
        <f t="shared" si="11"/>
        <v>50</v>
      </c>
      <c r="BD87" s="4">
        <f t="shared" si="11"/>
        <v>52</v>
      </c>
      <c r="BE87" s="4">
        <f t="shared" si="11"/>
        <v>35</v>
      </c>
      <c r="BF87" s="4">
        <f t="shared" si="11"/>
        <v>61</v>
      </c>
      <c r="BG87" s="4">
        <f t="shared" si="11"/>
        <v>28</v>
      </c>
      <c r="BH87" s="4">
        <f t="shared" si="11"/>
        <v>53</v>
      </c>
      <c r="BI87" s="4">
        <f t="shared" si="11"/>
        <v>27</v>
      </c>
      <c r="BJ87" s="4">
        <f t="shared" si="11"/>
        <v>56</v>
      </c>
      <c r="BK87" s="4">
        <f t="shared" si="11"/>
        <v>46</v>
      </c>
      <c r="BL87" s="4">
        <f t="shared" si="11"/>
        <v>57</v>
      </c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O88" s="4">
        <f t="shared" ref="AO88:BL88" si="12">AO86-AO87</f>
        <v>9</v>
      </c>
      <c r="AP88" s="4">
        <f t="shared" si="12"/>
        <v>0</v>
      </c>
      <c r="AQ88" s="4">
        <f t="shared" si="12"/>
        <v>1</v>
      </c>
      <c r="AR88" s="4">
        <f t="shared" si="12"/>
        <v>2</v>
      </c>
      <c r="AS88" s="4">
        <f t="shared" si="12"/>
        <v>2</v>
      </c>
      <c r="AT88" s="4">
        <f t="shared" si="12"/>
        <v>13</v>
      </c>
      <c r="AU88" s="4">
        <f t="shared" si="12"/>
        <v>0</v>
      </c>
      <c r="AV88" s="4">
        <f t="shared" si="12"/>
        <v>0</v>
      </c>
      <c r="AW88" s="4">
        <f t="shared" si="12"/>
        <v>2</v>
      </c>
      <c r="AX88" s="4">
        <f t="shared" si="12"/>
        <v>2</v>
      </c>
      <c r="AY88" s="4">
        <f t="shared" si="12"/>
        <v>0</v>
      </c>
      <c r="AZ88" s="4">
        <f t="shared" si="12"/>
        <v>0</v>
      </c>
      <c r="BA88" s="4">
        <f t="shared" si="12"/>
        <v>3</v>
      </c>
      <c r="BB88" s="4">
        <f t="shared" si="12"/>
        <v>4</v>
      </c>
      <c r="BC88" s="4">
        <f t="shared" si="12"/>
        <v>0</v>
      </c>
      <c r="BD88" s="4">
        <f t="shared" si="12"/>
        <v>0</v>
      </c>
      <c r="BE88" s="4">
        <f t="shared" si="12"/>
        <v>1</v>
      </c>
      <c r="BF88" s="4">
        <f t="shared" si="12"/>
        <v>10</v>
      </c>
      <c r="BG88" s="4">
        <f t="shared" si="12"/>
        <v>5</v>
      </c>
      <c r="BH88" s="4">
        <f t="shared" si="12"/>
        <v>4</v>
      </c>
      <c r="BI88" s="4">
        <f t="shared" si="12"/>
        <v>6</v>
      </c>
      <c r="BJ88" s="4">
        <f t="shared" si="12"/>
        <v>8</v>
      </c>
      <c r="BK88" s="4">
        <f t="shared" si="12"/>
        <v>1</v>
      </c>
      <c r="BL88" s="4">
        <f t="shared" si="12"/>
        <v>15</v>
      </c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N89" s="38" t="s">
        <v>28</v>
      </c>
      <c r="AO89" s="4">
        <f t="shared" ref="AO89:BL89" si="13">MAX(C51)</f>
        <v>34</v>
      </c>
      <c r="AP89" s="4">
        <f t="shared" si="13"/>
        <v>60</v>
      </c>
      <c r="AQ89" s="4">
        <f t="shared" si="13"/>
        <v>47</v>
      </c>
      <c r="AR89" s="4">
        <f t="shared" si="13"/>
        <v>53</v>
      </c>
      <c r="AS89" s="4">
        <f t="shared" si="13"/>
        <v>39</v>
      </c>
      <c r="AT89" s="4">
        <f t="shared" si="13"/>
        <v>61</v>
      </c>
      <c r="AU89" s="4">
        <f t="shared" si="13"/>
        <v>0</v>
      </c>
      <c r="AV89" s="4">
        <f t="shared" si="13"/>
        <v>0</v>
      </c>
      <c r="AW89" s="4">
        <f t="shared" si="13"/>
        <v>22</v>
      </c>
      <c r="AX89" s="4">
        <f t="shared" si="13"/>
        <v>54</v>
      </c>
      <c r="AY89" s="4">
        <f t="shared" si="13"/>
        <v>0</v>
      </c>
      <c r="AZ89" s="4">
        <f t="shared" si="13"/>
        <v>0</v>
      </c>
      <c r="BA89" s="4">
        <f t="shared" si="13"/>
        <v>38</v>
      </c>
      <c r="BB89" s="4">
        <f t="shared" si="13"/>
        <v>64</v>
      </c>
      <c r="BC89" s="4">
        <f t="shared" si="13"/>
        <v>50</v>
      </c>
      <c r="BD89" s="4">
        <f t="shared" si="13"/>
        <v>52</v>
      </c>
      <c r="BE89" s="4">
        <f t="shared" si="13"/>
        <v>36</v>
      </c>
      <c r="BF89" s="4">
        <f t="shared" si="13"/>
        <v>61</v>
      </c>
      <c r="BG89" s="4">
        <f t="shared" si="13"/>
        <v>33</v>
      </c>
      <c r="BH89" s="4">
        <f t="shared" si="13"/>
        <v>57</v>
      </c>
      <c r="BI89" s="4">
        <f t="shared" si="13"/>
        <v>33</v>
      </c>
      <c r="BJ89" s="4">
        <f t="shared" si="13"/>
        <v>64</v>
      </c>
      <c r="BK89" s="4">
        <f t="shared" si="13"/>
        <v>46</v>
      </c>
      <c r="BL89" s="4">
        <f t="shared" si="13"/>
        <v>57</v>
      </c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O90" s="4">
        <f t="shared" ref="AO90:BL90" si="14">MIN(C51)</f>
        <v>34</v>
      </c>
      <c r="AP90" s="4">
        <f t="shared" si="14"/>
        <v>60</v>
      </c>
      <c r="AQ90" s="4">
        <f t="shared" si="14"/>
        <v>47</v>
      </c>
      <c r="AR90" s="4">
        <f t="shared" si="14"/>
        <v>53</v>
      </c>
      <c r="AS90" s="4">
        <f t="shared" si="14"/>
        <v>39</v>
      </c>
      <c r="AT90" s="4">
        <f t="shared" si="14"/>
        <v>61</v>
      </c>
      <c r="AU90" s="4">
        <f t="shared" si="14"/>
        <v>0</v>
      </c>
      <c r="AV90" s="4">
        <f t="shared" si="14"/>
        <v>0</v>
      </c>
      <c r="AW90" s="4">
        <f t="shared" si="14"/>
        <v>22</v>
      </c>
      <c r="AX90" s="4">
        <f t="shared" si="14"/>
        <v>54</v>
      </c>
      <c r="AY90" s="4">
        <f t="shared" si="14"/>
        <v>0</v>
      </c>
      <c r="AZ90" s="4">
        <f t="shared" si="14"/>
        <v>0</v>
      </c>
      <c r="BA90" s="4">
        <f t="shared" si="14"/>
        <v>38</v>
      </c>
      <c r="BB90" s="4">
        <f t="shared" si="14"/>
        <v>64</v>
      </c>
      <c r="BC90" s="4">
        <f t="shared" si="14"/>
        <v>50</v>
      </c>
      <c r="BD90" s="4">
        <f t="shared" si="14"/>
        <v>52</v>
      </c>
      <c r="BE90" s="4">
        <f t="shared" si="14"/>
        <v>36</v>
      </c>
      <c r="BF90" s="4">
        <f t="shared" si="14"/>
        <v>61</v>
      </c>
      <c r="BG90" s="4">
        <f t="shared" si="14"/>
        <v>33</v>
      </c>
      <c r="BH90" s="4">
        <f t="shared" si="14"/>
        <v>57</v>
      </c>
      <c r="BI90" s="4">
        <f t="shared" si="14"/>
        <v>33</v>
      </c>
      <c r="BJ90" s="4">
        <f t="shared" si="14"/>
        <v>64</v>
      </c>
      <c r="BK90" s="4">
        <f t="shared" si="14"/>
        <v>46</v>
      </c>
      <c r="BL90" s="4">
        <f t="shared" si="14"/>
        <v>57</v>
      </c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O91" s="4">
        <f t="shared" ref="AO91:BL91" si="15">AO89-AO90</f>
        <v>0</v>
      </c>
      <c r="AP91" s="4">
        <f t="shared" si="15"/>
        <v>0</v>
      </c>
      <c r="AQ91" s="4">
        <f t="shared" si="15"/>
        <v>0</v>
      </c>
      <c r="AR91" s="4">
        <f t="shared" si="15"/>
        <v>0</v>
      </c>
      <c r="AS91" s="4">
        <f t="shared" si="15"/>
        <v>0</v>
      </c>
      <c r="AT91" s="4">
        <f t="shared" si="15"/>
        <v>0</v>
      </c>
      <c r="AU91" s="4">
        <f t="shared" si="15"/>
        <v>0</v>
      </c>
      <c r="AV91" s="4">
        <f t="shared" si="15"/>
        <v>0</v>
      </c>
      <c r="AW91" s="4">
        <f t="shared" si="15"/>
        <v>0</v>
      </c>
      <c r="AX91" s="4">
        <f t="shared" si="15"/>
        <v>0</v>
      </c>
      <c r="AY91" s="4">
        <f t="shared" si="15"/>
        <v>0</v>
      </c>
      <c r="AZ91" s="4">
        <f t="shared" si="15"/>
        <v>0</v>
      </c>
      <c r="BA91" s="4">
        <f t="shared" si="15"/>
        <v>0</v>
      </c>
      <c r="BB91" s="4">
        <f t="shared" si="15"/>
        <v>0</v>
      </c>
      <c r="BC91" s="4">
        <f t="shared" si="15"/>
        <v>0</v>
      </c>
      <c r="BD91" s="4">
        <f t="shared" si="15"/>
        <v>0</v>
      </c>
      <c r="BE91" s="4">
        <f t="shared" si="15"/>
        <v>0</v>
      </c>
      <c r="BF91" s="4">
        <f t="shared" si="15"/>
        <v>0</v>
      </c>
      <c r="BG91" s="4">
        <f t="shared" si="15"/>
        <v>0</v>
      </c>
      <c r="BH91" s="4">
        <f t="shared" si="15"/>
        <v>0</v>
      </c>
      <c r="BI91" s="4">
        <f t="shared" si="15"/>
        <v>0</v>
      </c>
      <c r="BJ91" s="4">
        <f t="shared" si="15"/>
        <v>0</v>
      </c>
      <c r="BK91" s="4">
        <f t="shared" si="15"/>
        <v>0</v>
      </c>
      <c r="BL91" s="4">
        <f t="shared" si="15"/>
        <v>0</v>
      </c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O92" s="4">
        <f t="shared" ref="AO92:BL92" si="16">AO82+AO85+AO88+AO91</f>
        <v>31</v>
      </c>
      <c r="AP92" s="4">
        <f t="shared" si="16"/>
        <v>4</v>
      </c>
      <c r="AQ92" s="4">
        <f t="shared" si="16"/>
        <v>1</v>
      </c>
      <c r="AR92" s="4">
        <f t="shared" si="16"/>
        <v>3</v>
      </c>
      <c r="AS92" s="4">
        <f t="shared" si="16"/>
        <v>6</v>
      </c>
      <c r="AT92" s="4">
        <f t="shared" si="16"/>
        <v>22</v>
      </c>
      <c r="AU92" s="4">
        <f t="shared" si="16"/>
        <v>5</v>
      </c>
      <c r="AV92" s="4">
        <f t="shared" si="16"/>
        <v>1</v>
      </c>
      <c r="AW92" s="4">
        <f t="shared" si="16"/>
        <v>7</v>
      </c>
      <c r="AX92" s="4">
        <f t="shared" si="16"/>
        <v>3</v>
      </c>
      <c r="AY92" s="4">
        <f t="shared" si="16"/>
        <v>0</v>
      </c>
      <c r="AZ92" s="4">
        <f t="shared" si="16"/>
        <v>6</v>
      </c>
      <c r="BA92" s="4">
        <f t="shared" si="16"/>
        <v>9</v>
      </c>
      <c r="BB92" s="4">
        <f t="shared" si="16"/>
        <v>17</v>
      </c>
      <c r="BC92" s="4">
        <f t="shared" si="16"/>
        <v>0</v>
      </c>
      <c r="BD92" s="4">
        <f t="shared" si="16"/>
        <v>0</v>
      </c>
      <c r="BE92" s="4">
        <f t="shared" si="16"/>
        <v>18</v>
      </c>
      <c r="BF92" s="4">
        <f t="shared" si="16"/>
        <v>23</v>
      </c>
      <c r="BG92" s="4">
        <f t="shared" si="16"/>
        <v>22</v>
      </c>
      <c r="BH92" s="4">
        <f t="shared" si="16"/>
        <v>21</v>
      </c>
      <c r="BI92" s="4">
        <f t="shared" si="16"/>
        <v>17</v>
      </c>
      <c r="BJ92" s="4">
        <f t="shared" si="16"/>
        <v>9</v>
      </c>
      <c r="BK92" s="4">
        <f t="shared" si="16"/>
        <v>1</v>
      </c>
      <c r="BL92" s="4">
        <f t="shared" si="16"/>
        <v>38</v>
      </c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3:26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3:26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3:26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3:26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3:26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3:26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3:26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3:26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3:26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22" sqref="A22:XFD2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8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1171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923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1291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1172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1302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915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917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1291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1173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919</v>
      </c>
      <c r="E22" s="3">
        <f>VLOOKUP($D22,'SegEnds_NonXtal_Prot#'!$A:$AZ,30,FALSE)-VLOOKUP($D22,'SegEnds_NonXtal_Prot#'!$A:$AZ,29,FALSE)</f>
        <v>3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23</v>
      </c>
      <c r="I22" s="3"/>
      <c r="J22" s="3"/>
      <c r="K22" s="1" t="s">
        <v>1291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3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1329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1298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1299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1291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913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1295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1291</v>
      </c>
      <c r="L29" s="1"/>
      <c r="N29" t="s">
        <v>1301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1291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909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921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1331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1175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1294</v>
      </c>
      <c r="N39" s="1" t="s">
        <v>1300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1174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1294</v>
      </c>
      <c r="N40" s="1" t="s">
        <v>1300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911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1291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5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1408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zoomScale="113" zoomScaleNormal="113" zoomScalePageLayoutView="113" workbookViewId="0">
      <pane ySplit="1" topLeftCell="A2" activePane="bottomLeft" state="frozenSplit"/>
      <selection pane="bottomLeft" activeCell="H7" sqref="H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1076</v>
      </c>
      <c r="B1" s="8" t="s">
        <v>0</v>
      </c>
      <c r="C1" s="8" t="s">
        <v>1205</v>
      </c>
      <c r="D1" s="8" t="s">
        <v>31</v>
      </c>
      <c r="E1" s="8" t="s">
        <v>1293</v>
      </c>
      <c r="F1" s="8" t="s">
        <v>1242</v>
      </c>
      <c r="G1" s="8" t="s">
        <v>1069</v>
      </c>
      <c r="H1" s="8" t="s">
        <v>1070</v>
      </c>
      <c r="I1" s="8"/>
      <c r="J1" s="8"/>
      <c r="K1" s="8" t="s">
        <v>1291</v>
      </c>
      <c r="L1" s="8" t="s">
        <v>1330</v>
      </c>
      <c r="M1" s="8" t="s">
        <v>1296</v>
      </c>
      <c r="N1" s="8" t="s">
        <v>1297</v>
      </c>
    </row>
    <row r="2" spans="1:14" s="24" customFormat="1" x14ac:dyDescent="0.2">
      <c r="A2" s="15" t="s">
        <v>1303</v>
      </c>
      <c r="B2" s="8" t="s">
        <v>23</v>
      </c>
      <c r="C2" s="8" t="s">
        <v>23</v>
      </c>
      <c r="D2" s="15" t="s">
        <v>1304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1388</v>
      </c>
      <c r="B3" s="8" t="s">
        <v>23</v>
      </c>
      <c r="C3" s="8" t="s">
        <v>23</v>
      </c>
      <c r="D3" s="15" t="s">
        <v>1304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1388</v>
      </c>
      <c r="B4" s="8" t="s">
        <v>23</v>
      </c>
      <c r="C4" s="8" t="s">
        <v>23</v>
      </c>
      <c r="D4" s="15" t="s">
        <v>1304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1388</v>
      </c>
      <c r="B5" s="8" t="s">
        <v>23</v>
      </c>
      <c r="C5" s="8" t="s">
        <v>23</v>
      </c>
      <c r="D5" s="15" t="s">
        <v>1304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20</v>
      </c>
      <c r="I6" s="3"/>
      <c r="J6" s="3"/>
    </row>
    <row r="7" spans="1:14" x14ac:dyDescent="0.2">
      <c r="A7" s="3" t="str">
        <f>D7&amp;"__wt"</f>
        <v>smo_mouse__wt</v>
      </c>
      <c r="B7" s="3" t="str">
        <f>VLOOKUP(D7,Classification!A:D,3,FALSE)</f>
        <v>Protein</v>
      </c>
      <c r="C7" s="3" t="str">
        <f>VLOOKUP(D7,Classification!A:D,4,FALSE)</f>
        <v>Frizzled</v>
      </c>
      <c r="D7" s="3" t="s">
        <v>1594</v>
      </c>
      <c r="E7" s="3">
        <f>VLOOKUP($D7,'SegEnds_NonXtal_Prot#'!$A:$AZ,30,FALSE)-VLOOKUP($D7,'SegEnds_NonXtal_Prot#'!$A:$AZ,29,FALSE)</f>
        <v>5</v>
      </c>
      <c r="F7" s="1">
        <f>VLOOKUP($D7,'SegEnds_NonXtal_Prot#'!$A:$AZ,31,FALSE)-VLOOKUP($D7,'SegEnds_NonXtal_Prot#'!$A:$AZ,28,FALSE)</f>
        <v>57</v>
      </c>
      <c r="G7" s="3">
        <f>50+VLOOKUP($A7,'SegEnds_Xtal_Prot#'!$A:$AY,39,FALSE)-VLOOKUP($D7,'SegEnds_NonXtal_Prot#'!$A:$AZ,28,FALSE)</f>
        <v>72</v>
      </c>
      <c r="H7" s="3">
        <f>50+VLOOKUP($A7,'SegEnds_Xtal_Prot#'!$A:$AY,41,FALSE)-VLOOKUP($D7,'SegEnds_NonXtal_Prot#'!$A:$AZ,31,FALSE)</f>
        <v>20</v>
      </c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:B7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7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3"/>
  <sheetViews>
    <sheetView zoomScale="135" zoomScaleNormal="135" zoomScalePageLayoutView="135" workbookViewId="0">
      <pane ySplit="1" topLeftCell="A179" activePane="bottomLeft" state="frozenSplit"/>
      <selection pane="bottomLeft" activeCell="V189" sqref="V189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1206</v>
      </c>
      <c r="C1" s="26" t="s">
        <v>1060</v>
      </c>
      <c r="D1" s="8" t="s">
        <v>1061</v>
      </c>
      <c r="E1" s="8" t="s">
        <v>1077</v>
      </c>
      <c r="F1" s="8" t="s">
        <v>1078</v>
      </c>
      <c r="G1" s="8" t="s">
        <v>1062</v>
      </c>
      <c r="H1" s="99" t="s">
        <v>1063</v>
      </c>
      <c r="I1" s="8" t="s">
        <v>1079</v>
      </c>
      <c r="J1" s="8" t="s">
        <v>1080</v>
      </c>
      <c r="K1" s="99" t="s">
        <v>1064</v>
      </c>
      <c r="L1" s="8" t="s">
        <v>1065</v>
      </c>
      <c r="M1" s="8" t="s">
        <v>1092</v>
      </c>
      <c r="N1" s="99" t="s">
        <v>1093</v>
      </c>
      <c r="O1" s="86" t="s">
        <v>1066</v>
      </c>
      <c r="P1" s="8" t="s">
        <v>1067</v>
      </c>
      <c r="Q1" s="8" t="s">
        <v>1095</v>
      </c>
      <c r="R1" s="8" t="s">
        <v>1096</v>
      </c>
      <c r="S1" s="8" t="s">
        <v>1068</v>
      </c>
      <c r="T1" s="8" t="s">
        <v>1069</v>
      </c>
      <c r="U1" s="8" t="s">
        <v>1070</v>
      </c>
      <c r="V1" s="8" t="s">
        <v>1071</v>
      </c>
      <c r="W1" s="8" t="s">
        <v>1072</v>
      </c>
      <c r="X1" s="8" t="s">
        <v>1073</v>
      </c>
      <c r="Y1" s="8" t="s">
        <v>1074</v>
      </c>
      <c r="Z1" s="8" t="s">
        <v>1075</v>
      </c>
      <c r="AA1" s="26" t="s">
        <v>99</v>
      </c>
      <c r="AB1" s="30" t="s">
        <v>1240</v>
      </c>
      <c r="AC1" s="30" t="s">
        <v>1286</v>
      </c>
      <c r="AD1" s="30" t="s">
        <v>1282</v>
      </c>
      <c r="AE1" s="30" t="s">
        <v>1241</v>
      </c>
      <c r="AF1" s="30" t="s">
        <v>1275</v>
      </c>
      <c r="AG1" s="26" t="s">
        <v>1279</v>
      </c>
      <c r="AH1" s="30" t="s">
        <v>1391</v>
      </c>
      <c r="AI1" s="30" t="s">
        <v>1242</v>
      </c>
      <c r="AJ1" s="30" t="s">
        <v>1239</v>
      </c>
      <c r="AK1" s="30" t="s">
        <v>1480</v>
      </c>
      <c r="AL1" s="30" t="s">
        <v>1226</v>
      </c>
    </row>
    <row r="2" spans="1:38" x14ac:dyDescent="0.2">
      <c r="A2" s="1" t="s">
        <v>220</v>
      </c>
      <c r="B2" s="1" t="str">
        <f>VLOOKUP(A2,Xtal_Templ!A:B,2,FALSE)</f>
        <v>aa1r_human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50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29</v>
      </c>
      <c r="AC2" s="1">
        <f>VLOOKUP(A2,'SegEnds_NonXtal_Prot#'!A:AL,10,FALSE)-VLOOKUP(A2,'SegEnds_NonXtal_Prot#'!A:AL,7,FALSE)</f>
        <v>16</v>
      </c>
      <c r="AD2" s="1">
        <f>VLOOKUP(A2,'SegEnds_NonXtal_Prot#'!A:AL,13,FALSE)-VLOOKUP(A2,'SegEnds_NonXtal_Prot#'!A:AL,10,FALSE)</f>
        <v>18</v>
      </c>
      <c r="AE2" s="1">
        <f>VLOOKUP(A2,'SegEnds_NonXtal_Prot#'!A:AL,16,FALSE)-VLOOKUP(A2,'SegEnds_NonXtal_Prot#'!A:AL,10,FALSE)</f>
        <v>50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38</v>
      </c>
      <c r="AI2" s="1">
        <f>VLOOKUP(A2,'SegEnds_NonXtal_Prot#'!A:AL,31,FALSE)-VLOOKUP(A2,'SegEnds_NonXtal_Prot#'!A:AL,28,FALSE)</f>
        <v>68</v>
      </c>
      <c r="AJ2" s="1">
        <f>VLOOKUP(A2,'SegEnds_NonXtal_Prot#'!A:AL,34,FALSE)-VLOOKUP(A2,'SegEnds_NonXtal_Prot#'!A:AL,31,FALSE)</f>
        <v>30</v>
      </c>
      <c r="AK2" s="1">
        <f>VLOOKUP(A2,'SegEnds_NonXtal_Prot#'!A:AL,37,FALSE)-VLOOKUP(A2,'SegEnds_NonXtal_Prot#'!A:AL,34,FALSE)</f>
        <v>11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88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INDEX(ICL3_classA!$G$2:$G$37,MATCH(MIN(ABS(AI4-ICL3_classA!$F$2:$F$37)),ABS(AI4-ICL3_classA!$F$2:$F$37),0))</f>
        <v>73</v>
      </c>
      <c r="U4" s="4">
        <f t="array" ref="U4">INDEX(ICL3_classA!$H$2:$H$37,MATCH(MIN(ABS(AI4-ICL3_classA!$F$2:$F$37)),ABS(AI4-ICL3_classA!$F$2:$F$37),0))</f>
        <v>22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4" t="e">
        <f>VLOOKUP(A4,'SegEnds_NonXtal_Prot#'!A:AL,10,FALSE)-VLOOKUP(A4,'SegEnds_NonXtal_Prot#'!A:AL,7,FALSE)</f>
        <v>#VALUE!</v>
      </c>
      <c r="AD4" s="4">
        <f>VLOOKUP(A4,'SegEnds_NonXtal_Prot#'!A:AL,13,FALSE)-VLOOKUP(A4,'SegEnds_NonXtal_Prot#'!A:AL,10,FALSE)</f>
        <v>15</v>
      </c>
      <c r="AE4" s="4">
        <f>VLOOKUP(A4,'SegEnds_NonXtal_Prot#'!A:AL,16,FALSE)-VLOOKUP(A4,'SegEnds_NonXtal_Prot#'!A:AL,10,FALSE)</f>
        <v>48</v>
      </c>
      <c r="AF4" s="1">
        <f>VLOOKUP(A4,'SegEnds_NonXtal_Prot#'!A:AL,22,FALSE)-VLOOKUP(A4,'SegEnds_NonXtal_Prot#'!A:AL,19,FALSE)</f>
        <v>20</v>
      </c>
      <c r="AG4" s="4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44</v>
      </c>
      <c r="AI4" s="4">
        <f>VLOOKUP(A4,'SegEnds_NonXtal_Prot#'!A:AL,31,FALSE)-VLOOKUP(A4,'SegEnds_NonXtal_Prot#'!A:AL,28,FALSE)</f>
        <v>57</v>
      </c>
      <c r="AJ4" s="4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249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INDEX(ICL3_classA!$G$2:$G$37,MATCH(MIN(ABS(AI5-ICL3_classA!$F$2:$F$37)),ABS(AI5-ICL3_classA!$F$2:$F$37),0))</f>
        <v>73</v>
      </c>
      <c r="U5" s="1">
        <f t="array" ref="U5">INDEX(ICL3_classA!$H$2:$H$37,MATCH(MIN(ABS(AI5-ICL3_classA!$F$2:$F$37)),ABS(AI5-ICL3_classA!$F$2:$F$37),0))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15</v>
      </c>
      <c r="AE5" s="1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1">
        <f>VLOOKUP(A5,'SegEnds_NonXtal_Prot#'!A:AL,31,FALSE)-VLOOKUP(A5,'SegEnds_NonXtal_Prot#'!A:AL,28,FALSE)</f>
        <v>57</v>
      </c>
      <c r="AJ5" s="1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26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39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INDEX(ICL3_classA!$G$2:$G$37,MATCH(MIN(ABS(AI8-ICL3_classA!$F$2:$F$37)),ABS(AI8-ICL3_classA!$F$2:$F$37),0))</f>
        <v>67</v>
      </c>
      <c r="U8" s="1">
        <f t="array" ref="U8">INDEX(ICL3_classA!$H$2:$H$37,MATCH(MIN(ABS(AI8-ICL3_classA!$F$2:$F$37)),ABS(AI8-ICL3_classA!$F$2:$F$37),0))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30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27</v>
      </c>
      <c r="AH8" s="1">
        <f>VLOOKUP(A8,'SegEnds_NonXtal_Prot#'!A:AL,28,FALSE)-VLOOKUP(A8,'SegEnds_NonXtal_Prot#'!A:AL,22,FALSE)</f>
        <v>57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33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29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27</v>
      </c>
      <c r="AH9" s="1">
        <f>VLOOKUP(A9,'SegEnds_NonXtal_Prot#'!A:AL,28,FALSE)-VLOOKUP(A9,'SegEnds_NonXtal_Prot#'!A:AL,22,FALSE)</f>
        <v>56</v>
      </c>
      <c r="AI9" s="1">
        <f>VLOOKUP(A9,'SegEnds_NonXtal_Prot#'!A:AL,31,FALSE)-VLOOKUP(A9,'SegEnds_NonXtal_Prot#'!A:AL,28,FALSE)</f>
        <v>44</v>
      </c>
      <c r="AJ9" s="1">
        <f>VLOOKUP(A9,'SegEnds_NonXtal_Prot#'!A:AL,34,FALSE)-VLOOKUP(A9,'SegEnds_NonXtal_Prot#'!A:AL,31,FALSE)</f>
        <v>33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56</v>
      </c>
      <c r="AI10" s="1">
        <f>VLOOKUP(A10,'SegEnds_NonXtal_Prot#'!A:AL,31,FALSE)-VLOOKUP(A10,'SegEnds_NonXtal_Prot#'!A:AL,28,FALSE)</f>
        <v>44</v>
      </c>
      <c r="AJ10" s="1">
        <f>VLOOKUP(A10,'SegEnds_NonXtal_Prot#'!A:AL,34,FALSE)-VLOOKUP(A10,'SegEnds_NonXtal_Prot#'!A:AL,31,FALSE)</f>
        <v>33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270</v>
      </c>
      <c r="B11" s="1" t="str">
        <f>VLOOKUP(A11,Xtal_Templ!A:B,2,FALSE)</f>
        <v>5ht2a_human</v>
      </c>
      <c r="C11" s="5">
        <f>VLOOKUP($B11&amp;"__wt",'SegEnds_Xtal_BW#'!$A:$Z,3,FALSE)</f>
        <v>27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67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INDEX(ICL3_classA!$G$2:$G$37,MATCH(MIN(ABS(AI11-ICL3_classA!$F$2:$F$37)),ABS(AI11-ICL3_classA!$F$2:$F$37),0))</f>
        <v>74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67</v>
      </c>
      <c r="AH11" s="1">
        <f>VLOOKUP(A11,'SegEnds_NonXtal_Prot#'!A:AL,28,FALSE)-VLOOKUP(A11,'SegEnds_NonXtal_Prot#'!A:AL,22,FALSE)</f>
        <v>90</v>
      </c>
      <c r="AI11" s="1">
        <f>VLOOKUP(A11,'SegEnds_NonXtal_Prot#'!A:AL,31,FALSE)-VLOOKUP(A11,'SegEnds_NonXtal_Prot#'!A:AL,28,FALSE)</f>
        <v>99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362</v>
      </c>
      <c r="B12" s="1" t="str">
        <f>VLOOKUP(A12,Xtal_Templ!A:B,2,FALSE)</f>
        <v>pe2r4_human</v>
      </c>
      <c r="C12" s="5">
        <f>VLOOKUP($B12&amp;"__wt",'SegEnds_Xtal_BW#'!$A:$Z,3,FALSE)</f>
        <v>33</v>
      </c>
      <c r="D12" s="1">
        <f>VLOOKUP($B12&amp;"__wt",'SegEnds_Xtal_BW#'!$A:$Z,4,FALSE)</f>
        <v>58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39</v>
      </c>
      <c r="AC12" s="1">
        <f>VLOOKUP(A12,'SegEnds_NonXtal_Prot#'!A:AL,10,FALSE)-VLOOKUP(A12,'SegEnds_NonXtal_Prot#'!A:AL,7,FALSE)</f>
        <v>20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56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22</v>
      </c>
      <c r="AH12" s="1">
        <f>VLOOKUP(A12,'SegEnds_NonXtal_Prot#'!A:AL,28,FALSE)-VLOOKUP(A12,'SegEnds_NonXtal_Prot#'!A:AL,22,FALSE)</f>
        <v>48</v>
      </c>
      <c r="AI12" s="1">
        <f>VLOOKUP(A12,'SegEnds_NonXtal_Prot#'!A:AL,31,FALSE)-VLOOKUP(A12,'SegEnds_NonXtal_Prot#'!A:AL,28,FALSE)</f>
        <v>70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136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83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08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54</v>
      </c>
      <c r="AI14" s="1">
        <f>VLOOKUP(A14,'SegEnds_NonXtal_Prot#'!A:AL,31,FALSE)-VLOOKUP(A14,'SegEnds_NonXtal_Prot#'!A:AL,28,FALSE)</f>
        <v>56</v>
      </c>
      <c r="AJ14" s="1">
        <f>VLOOKUP(A14,'SegEnds_NonXtal_Prot#'!A:AL,34,FALSE)-VLOOKUP(A14,'SegEnds_NonXtal_Prot#'!A:AL,31,FALSE)</f>
        <v>34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155</v>
      </c>
      <c r="B15" s="1" t="str">
        <f>VLOOKUP(A15,Xtal_Templ!A:B,2,FALSE)</f>
        <v>drd2_human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75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20</v>
      </c>
      <c r="AH15" s="1">
        <f>VLOOKUP(A15,'SegEnds_NonXtal_Prot#'!A:AL,28,FALSE)-VLOOKUP(A15,'SegEnds_NonXtal_Prot#'!A:AL,22,FALSE)</f>
        <v>50</v>
      </c>
      <c r="AI15" s="1">
        <f>VLOOKUP(A15,'SegEnds_NonXtal_Prot#'!A:AL,31,FALSE)-VLOOKUP(A15,'SegEnds_NonXtal_Prot#'!A:AL,28,FALSE)</f>
        <v>181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1172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INDEX(ICL3_classA!$G$2:$G$37,MATCH(MIN(ABS(AI16-ICL3_classA!$F$2:$F$37)),ABS(AI16-ICL3_classA!$F$2:$F$37),0))</f>
        <v>67</v>
      </c>
      <c r="U16" s="1">
        <f t="array" ref="U16">INDEX(ICL3_classA!$H$2:$H$37,MATCH(MIN(ABS(AI16-ICL3_classA!$F$2:$F$37)),ABS(AI16-ICL3_classA!$F$2:$F$37),0))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24</v>
      </c>
      <c r="AH16" s="1">
        <f>VLOOKUP(A16,'SegEnds_NonXtal_Prot#'!A:AL,28,FALSE)-VLOOKUP(A16,'SegEnds_NonXtal_Prot#'!A:AL,22,FALSE)</f>
        <v>63</v>
      </c>
      <c r="AI16" s="1">
        <f>VLOOKUP(A16,'SegEnds_NonXtal_Prot#'!A:AL,31,FALSE)-VLOOKUP(A16,'SegEnds_NonXtal_Prot#'!A:AL,28,FALSE)</f>
        <v>45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08" t="s">
        <v>23</v>
      </c>
      <c r="N17" s="12" t="s">
        <v>23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29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26</v>
      </c>
      <c r="AE17" s="1">
        <f>VLOOKUP(A17,'SegEnds_NonXtal_Prot#'!A:AL,16,FALSE)-VLOOKUP(A17,'SegEnds_NonXtal_Prot#'!A:AL,10,FALSE)</f>
        <v>69</v>
      </c>
      <c r="AF17" s="1" t="e">
        <f>VLOOKUP(A17,'SegEnds_NonXtal_Prot#'!A:AL,22,FALSE)-VLOOKUP(A17,'SegEnds_NonXtal_Prot#'!A:AL,19,FALSE)</f>
        <v>#VALUE!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53</v>
      </c>
      <c r="AI17" s="1">
        <f>VLOOKUP(A17,'SegEnds_NonXtal_Prot#'!A:AL,31,FALSE)-VLOOKUP(A17,'SegEnds_NonXtal_Prot#'!A:AL,28,FALSE)</f>
        <v>114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225</v>
      </c>
      <c r="B18" s="1" t="str">
        <f>VLOOKUP(A18,Xtal_Templ!A:B,2,FALSE)</f>
        <v>ox2r_human</v>
      </c>
      <c r="C18" s="5">
        <f>VLOOKUP($B18&amp;"__wt",'SegEnds_Xtal_BW#'!$A:$Z,3,FALSE)</f>
        <v>31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76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08">
        <v>55</v>
      </c>
      <c r="Y18" s="1">
        <f>VLOOKUP($B18&amp;"__wt",'SegEnds_Xtal_BW#'!$A:$Z,25,FALSE)</f>
        <v>47</v>
      </c>
      <c r="Z18" s="1">
        <f>VLOOKUP($B18&amp;"__wt",'SegEnds_Xtal_BW#'!$A:$Z,26,FALSE)</f>
        <v>63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>
        <f>VLOOKUP(A18,'SegEnds_NonXtal_Prot#'!A:AL,10,FALSE)-VLOOKUP(A18,'SegEnds_NonXtal_Prot#'!A:AL,7,FALSE)</f>
        <v>14</v>
      </c>
      <c r="AD18" s="1">
        <f>VLOOKUP(A18,'SegEnds_NonXtal_Prot#'!A:AL,13,FALSE)-VLOOKUP(A18,'SegEnds_NonXtal_Prot#'!A:AL,10,FALSE)</f>
        <v>24</v>
      </c>
      <c r="AE18" s="1">
        <f>VLOOKUP(A18,'SegEnds_NonXtal_Prot#'!A:AL,16,FALSE)-VLOOKUP(A18,'SegEnds_NonXtal_Prot#'!A:AL,10,FALSE)</f>
        <v>56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76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9</v>
      </c>
      <c r="AL18" s="1" t="str">
        <f>IF(ISERROR(MATCH(A18,'SegEnds_Xtal_Prot#'!B:B, 0)), "NoXtal", "Xtal")</f>
        <v>NoXtal</v>
      </c>
    </row>
    <row r="19" spans="1:38" x14ac:dyDescent="0.2">
      <c r="A19" s="1" t="s">
        <v>228</v>
      </c>
      <c r="B19" s="1" t="str">
        <f>VLOOKUP(A19,Xtal_Templ!A:B,2,FALSE)</f>
        <v>npy1r_human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08"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74</v>
      </c>
      <c r="U19" s="1">
        <f t="array" ref="U19">INDEX(ICL3_classA!$H$2:$H$37,MATCH(MIN(ABS(AI19-ICL3_classA!$F$2:$F$37)),ABS(AI19-ICL3_classA!$F$2:$F$37),0))</f>
        <v>24</v>
      </c>
      <c r="V19" s="1">
        <v>61</v>
      </c>
      <c r="W19" s="1">
        <v>32</v>
      </c>
      <c r="X19" s="108">
        <v>55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>
        <f>VLOOKUP(A19,'SegEnds_NonXtal_Prot#'!A:AL,10,FALSE)-VLOOKUP(A19,'SegEnds_NonXtal_Prot#'!A:AL,7,FALSE)</f>
        <v>14</v>
      </c>
      <c r="AD19" s="1">
        <f>VLOOKUP(A19,'SegEnds_NonXtal_Prot#'!A:AL,13,FALSE)-VLOOKUP(A19,'SegEnds_NonXtal_Prot#'!A:AL,10,FALSE)</f>
        <v>25</v>
      </c>
      <c r="AE19" s="1">
        <f>VLOOKUP(A19,'SegEnds_NonXtal_Prot#'!A:AL,16,FALSE)-VLOOKUP(A19,'SegEnds_NonXtal_Prot#'!A:AL,10,FALSE)</f>
        <v>57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49</v>
      </c>
      <c r="AI19" s="1">
        <f>VLOOKUP(A19,'SegEnds_NonXtal_Prot#'!A:AL,31,FALSE)-VLOOKUP(A19,'SegEnds_NonXtal_Prot#'!A:AL,28,FALSE)</f>
        <v>96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9</v>
      </c>
      <c r="AL19" s="1" t="str">
        <f>IF(ISERROR(MATCH(A19,'SegEnds_Xtal_Prot#'!B:B, 0)), "NoXtal", "Xtal")</f>
        <v>NoXtal</v>
      </c>
    </row>
    <row r="20" spans="1:38" x14ac:dyDescent="0.2">
      <c r="A20" s="1" t="s">
        <v>244</v>
      </c>
      <c r="B20" s="1" t="str">
        <f>VLOOKUP(A20,Xtal_Templ!A:B,2,FALSE)</f>
        <v>5ht2a_human</v>
      </c>
      <c r="C20" s="5">
        <f>VLOOKUP($B20&amp;"__wt",'SegEnds_Xtal_BW#'!$A:$Z,3,FALSE)</f>
        <v>27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08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67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INDEX(ICL3_classA!$G$2:$G$37,MATCH(MIN(ABS(AI20-ICL3_classA!$F$2:$F$37)),ABS(AI20-ICL3_classA!$F$2:$F$37),0))</f>
        <v>74</v>
      </c>
      <c r="U20" s="1">
        <f t="array" ref="U20">INDEX(ICL3_classA!$H$2:$H$37,MATCH(MIN(ABS(AI20-ICL3_classA!$F$2:$F$37)),ABS(AI20-ICL3_classA!$F$2:$F$37),0))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60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>
        <f>VLOOKUP(A20,'SegEnds_NonXtal_Prot#'!A:AL,10,FALSE)-VLOOKUP(A20,'SegEnds_NonXtal_Prot#'!A:AL,7,FALSE)</f>
        <v>16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21</v>
      </c>
      <c r="AH20" s="1">
        <f>VLOOKUP(A20,'SegEnds_NonXtal_Prot#'!A:AL,28,FALSE)-VLOOKUP(A20,'SegEnds_NonXtal_Prot#'!A:AL,22,FALSE)</f>
        <v>48</v>
      </c>
      <c r="AI20" s="1">
        <f>VLOOKUP(A20,'SegEnds_NonXtal_Prot#'!A:AL,31,FALSE)-VLOOKUP(A20,'SegEnds_NonXtal_Prot#'!A:AL,28,FALSE)</f>
        <v>65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260</v>
      </c>
      <c r="B21" s="1" t="str">
        <f>VLOOKUP(A21,Xtal_Templ!A:B,2,FALSE)</f>
        <v>5ht2a_human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08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v>38</v>
      </c>
      <c r="P21" s="1">
        <f>VLOOKUP($B21&amp;"__wt",'SegEnds_Xtal_BW#'!$A:$Z,16,FALSE)</f>
        <v>67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60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21</v>
      </c>
      <c r="AH21" s="1">
        <f>VLOOKUP(A21,'SegEnds_NonXtal_Prot#'!A:AL,28,FALSE)-VLOOKUP(A21,'SegEnds_NonXtal_Prot#'!A:AL,22,FALSE)</f>
        <v>48</v>
      </c>
      <c r="AI21" s="1">
        <f>VLOOKUP(A21,'SegEnds_NonXtal_Prot#'!A:AL,31,FALSE)-VLOOKUP(A21,'SegEnds_NonXtal_Prot#'!A:AL,28,FALSE)</f>
        <v>66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68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INDEX(ICL3_classA!$G$2:$G$37,MATCH(MIN(ABS(AI22-ICL3_classA!$F$2:$F$37)),ABS(AI22-ICL3_classA!$F$2:$F$37),0))</f>
        <v>74</v>
      </c>
      <c r="U22" s="1">
        <f t="array" ref="U22">INDEX(ICL3_classA!$H$2:$H$37,MATCH(MIN(ABS(AI22-ICL3_classA!$F$2:$F$37)),ABS(AI22-ICL3_classA!$F$2:$F$37),0))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63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61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72</v>
      </c>
      <c r="AI22" s="1">
        <f>VLOOKUP(A22,'SegEnds_NonXtal_Prot#'!A:AL,31,FALSE)-VLOOKUP(A22,'SegEnds_NonXtal_Prot#'!A:AL,28,FALSE)</f>
        <v>61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28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44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42</v>
      </c>
      <c r="AI24" s="1">
        <f>VLOOKUP(A24,'SegEnds_NonXtal_Prot#'!A:AL,31,FALSE)-VLOOKUP(A24,'SegEnds_NonXtal_Prot#'!A:AL,28,FALSE)</f>
        <v>42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303</v>
      </c>
      <c r="B25" s="1" t="str">
        <f>VLOOKUP(A25,Xtal_Templ!A:B,2,FALSE)</f>
        <v>c5ar1_human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31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08">
        <v>56</v>
      </c>
      <c r="Y25" s="1">
        <f>VLOOKUP($B25&amp;"__wt",'SegEnds_Xtal_BW#'!$A:$Z,25,FALSE)</f>
        <v>47</v>
      </c>
      <c r="Z25" s="1">
        <f>VLOOKUP($B25&amp;"__wt",'SegEnds_Xtal_BW#'!$A:$Z,26,FALSE)</f>
        <v>56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52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304</v>
      </c>
      <c r="B26" s="1" t="str">
        <f>VLOOKUP(A26,Xtal_Templ!A:B,2,FALSE)</f>
        <v>pd2r2_human</v>
      </c>
      <c r="C26" s="5">
        <f>VLOOKUP($B26&amp;"__wt",'SegEnds_Xtal_BW#'!$A:$Z,3,FALSE)</f>
        <v>32</v>
      </c>
      <c r="D26" s="1">
        <f>VLOOKUP($B26&amp;"__wt",'SegEnds_Xtal_BW#'!$A:$Z,4,FALSE)</f>
        <v>60</v>
      </c>
      <c r="E26" s="1" t="str">
        <f>VLOOKUP($B26&amp;"__wt",'SegEnds_Xtal_BW#'!$A:$Z,5,FALSE)</f>
        <v>-</v>
      </c>
      <c r="F26" s="1" t="str">
        <f>VLOOKUP($B26&amp;"__wt",'SegEnds_Xtal_BW#'!$A:$Z,6,FALSE)</f>
        <v>-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08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26</v>
      </c>
      <c r="T26" s="1">
        <f t="array" ref="T26">INDEX(ICL3_classA!$G$2:$G$37,MATCH(MIN(ABS(AI26-ICL3_classA!$F$2:$F$37)),ABS(AI26-ICL3_classA!$F$2:$F$37),0))</f>
        <v>67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64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46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41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19</v>
      </c>
      <c r="AE27" s="1">
        <f>VLOOKUP(A27,'SegEnds_NonXtal_Prot#'!A:AL,16,FALSE)-VLOOKUP(A27,'SegEnds_NonXtal_Prot#'!A:AL,10,FALSE)</f>
        <v>51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53</v>
      </c>
      <c r="AI27" s="1">
        <f>VLOOKUP(A27,'SegEnds_NonXtal_Prot#'!A:AL,31,FALSE)-VLOOKUP(A27,'SegEnds_NonXtal_Prot#'!A:AL,28,FALSE)</f>
        <v>51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19</v>
      </c>
      <c r="AE28" s="1">
        <f>VLOOKUP(A28,'SegEnds_NonXtal_Prot#'!A:AL,16,FALSE)-VLOOKUP(A28,'SegEnds_NonXtal_Prot#'!A:AL,10,FALSE)</f>
        <v>51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25</v>
      </c>
      <c r="AH28" s="1">
        <f>VLOOKUP(A28,'SegEnds_NonXtal_Prot#'!A:AL,28,FALSE)-VLOOKUP(A28,'SegEnds_NonXtal_Prot#'!A:AL,22,FALSE)</f>
        <v>52</v>
      </c>
      <c r="AI28" s="1">
        <f>VLOOKUP(A28,'SegEnds_NonXtal_Prot#'!A:AL,31,FALSE)-VLOOKUP(A28,'SegEnds_NonXtal_Prot#'!A:AL,28,FALSE)</f>
        <v>51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21</v>
      </c>
      <c r="AH29" s="1">
        <f>VLOOKUP(A29,'SegEnds_NonXtal_Prot#'!A:AL,28,FALSE)-VLOOKUP(A29,'SegEnds_NonXtal_Prot#'!A:AL,22,FALSE)</f>
        <v>47</v>
      </c>
      <c r="AI29" s="1">
        <f>VLOOKUP(A29,'SegEnds_NonXtal_Prot#'!A:AL,31,FALSE)-VLOOKUP(A29,'SegEnds_NonXtal_Prot#'!A:AL,28,FALSE)</f>
        <v>112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134</v>
      </c>
      <c r="B30" s="1" t="str">
        <f>VLOOKUP(A30,Xtal_Templ!A:B,2,FALSE)</f>
        <v>drd2_human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62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25"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1">
        <f>VLOOKUP(A30,'SegEnds_NonXtal_Prot#'!A:AL,10,FALSE)-VLOOKUP(A30,'SegEnds_NonXtal_Prot#'!A:AL,7,FALSE)</f>
        <v>16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58</v>
      </c>
      <c r="AI30" s="1">
        <f>VLOOKUP(A30,'SegEnds_NonXtal_Prot#'!A:AL,31,FALSE)-VLOOKUP(A30,'SegEnds_NonXtal_Prot#'!A:AL,28,FALSE)</f>
        <v>70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68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35</v>
      </c>
      <c r="T31" s="1">
        <f t="array" ref="T31">INDEX(ICL3_classA!$G$2:$G$37,MATCH(MIN(ABS(AI31-ICL3_classA!$F$2:$F$37)),ABS(AI31-ICL3_classA!$F$2:$F$37),0))</f>
        <v>76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21</v>
      </c>
      <c r="AE31" s="1">
        <f>VLOOKUP(A31,'SegEnds_NonXtal_Prot#'!A:AL,16,FALSE)-VLOOKUP(A31,'SegEnds_NonXtal_Prot#'!A:AL,10,FALSE)</f>
        <v>53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46</v>
      </c>
      <c r="AI31" s="1">
        <f>VLOOKUP(A31,'SegEnds_NonXtal_Prot#'!A:AL,31,FALSE)-VLOOKUP(A31,'SegEnds_NonXtal_Prot#'!A:AL,28,FALSE)</f>
        <v>88</v>
      </c>
      <c r="AJ31" s="1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7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180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Xtal</v>
      </c>
    </row>
    <row r="33" spans="1:38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204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28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75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60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50</v>
      </c>
      <c r="AI34" s="1">
        <f>VLOOKUP(A34,'SegEnds_NonXtal_Prot#'!A:AL,31,FALSE)-VLOOKUP(A34,'SegEnds_NonXtal_Prot#'!A:AL,28,FALSE)</f>
        <v>263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4" t="s">
        <v>909</v>
      </c>
      <c r="B35" s="4" t="str">
        <f>VLOOKUP(A35,Xtal_Templ!A:B,2,FALSE)</f>
        <v>acm3_rat</v>
      </c>
      <c r="C35" s="5">
        <f>VLOOKUP($B35&amp;"__wt",'SegEnds_Xtal_BW#'!$A:$Z,3,FALSE)</f>
        <v>28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1">
        <f>VLOOKUP($B35&amp;"__wt",'SegEnds_Xtal_BW#'!$A:$Z,19,FALSE)</f>
        <v>35</v>
      </c>
      <c r="T35" s="4">
        <f t="array" ref="T35">INDEX(ICL3_classA!$G$2:$G$37,MATCH(MIN(ABS(AI35-ICL3_classA!$F$2:$F$37)),ABS(AI35-ICL3_classA!$F$2:$F$37),0))</f>
        <v>75</v>
      </c>
      <c r="U35" s="4">
        <f t="array" ref="U35">INDEX(ICL3_classA!$H$2:$H$37,MATCH(MIN(ABS(AI35-ICL3_classA!$F$2:$F$37)),ABS(AI35-ICL3_classA!$F$2:$F$37),0))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60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4">
        <f>VLOOKUP(A35,'SegEnds_NonXtal_Prot#'!A:AL,10,FALSE)-VLOOKUP(A35,'SegEnds_NonXtal_Prot#'!A:AL,7,FALSE)</f>
        <v>15</v>
      </c>
      <c r="AD35" s="4">
        <f>VLOOKUP(A35,'SegEnds_NonXtal_Prot#'!A:AL,13,FALSE)-VLOOKUP(A35,'SegEnds_NonXtal_Prot#'!A:AL,10,FALSE)</f>
        <v>20</v>
      </c>
      <c r="AE35" s="4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4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50</v>
      </c>
      <c r="AI35" s="4">
        <f>VLOOKUP(A35,'SegEnds_NonXtal_Prot#'!A:AL,31,FALSE)-VLOOKUP(A35,'SegEnds_NonXtal_Prot#'!A:AL,28,FALSE)</f>
        <v>263</v>
      </c>
      <c r="AJ35" s="4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Xtal</v>
      </c>
    </row>
    <row r="36" spans="1:38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INDEX(ICL3_classA!$G$2:$G$37,MATCH(MIN(ABS(AI36-ICL3_classA!$F$2:$F$37)),ABS(AI36-ICL3_classA!$F$2:$F$37),0))</f>
        <v>75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22</v>
      </c>
      <c r="AH36" s="1">
        <f>VLOOKUP(A36,'SegEnds_NonXtal_Prot#'!A:AL,28,FALSE)-VLOOKUP(A36,'SegEnds_NonXtal_Prot#'!A:AL,22,FALSE)</f>
        <v>50</v>
      </c>
      <c r="AI36" s="1">
        <f>VLOOKUP(A36,'SegEnds_NonXtal_Prot#'!A:AL,31,FALSE)-VLOOKUP(A36,'SegEnds_NonXtal_Prot#'!A:AL,28,FALSE)</f>
        <v>208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Xtal</v>
      </c>
    </row>
    <row r="37" spans="1:38" x14ac:dyDescent="0.2">
      <c r="A37" s="1" t="s">
        <v>150</v>
      </c>
      <c r="B37" s="1" t="str">
        <f>VLOOKUP(A37,Xtal_Templ!A:B,2,FALSE)</f>
        <v>acm5_human</v>
      </c>
      <c r="C37" s="5">
        <f>VLOOKUP($B37&amp;"__wt",'SegEnds_Xtal_BW#'!$A:$Z,3,FALSE)</f>
        <v>28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75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22</v>
      </c>
      <c r="AH37" s="1">
        <f>VLOOKUP(A37,'SegEnds_NonXtal_Prot#'!A:AL,28,FALSE)-VLOOKUP(A37,'SegEnds_NonXtal_Prot#'!A:AL,22,FALSE)</f>
        <v>50</v>
      </c>
      <c r="AI37" s="1">
        <f>VLOOKUP(A37,'SegEnds_NonXtal_Prot#'!A:AL,31,FALSE)-VLOOKUP(A37,'SegEnds_NonXtal_Prot#'!A:AL,28,FALSE)</f>
        <v>252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Xtal</v>
      </c>
    </row>
    <row r="38" spans="1:38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53</v>
      </c>
      <c r="AI38" s="1">
        <f>VLOOKUP(A38,'SegEnds_NonXtal_Prot#'!A:AL,31,FALSE)-VLOOKUP(A38,'SegEnds_NonXtal_Prot#'!A:AL,28,FALSE)</f>
        <v>103</v>
      </c>
      <c r="AJ38" s="1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9</v>
      </c>
      <c r="AL38" s="1" t="str">
        <f>IF(ISERROR(MATCH(A38,'SegEnds_Xtal_Prot#'!B:B, 0)), "NoXtal", "Xtal")</f>
        <v>NoXtal</v>
      </c>
    </row>
    <row r="39" spans="1:38" x14ac:dyDescent="0.2">
      <c r="A39" s="1" t="s">
        <v>911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53</v>
      </c>
      <c r="AI39" s="1">
        <f>VLOOKUP(A39,'SegEnds_NonXtal_Prot#'!A:AL,31,FALSE)-VLOOKUP(A39,'SegEnds_NonXtal_Prot#'!A:AL,28,FALSE)</f>
        <v>86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9</v>
      </c>
      <c r="AL39" s="1" t="str">
        <f>IF(ISERROR(MATCH(A39,'SegEnds_Xtal_Prot#'!B:B, 0)), "NoXtal", "Xtal")</f>
        <v>Xtal</v>
      </c>
    </row>
    <row r="40" spans="1:38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20</v>
      </c>
      <c r="AH40" s="1">
        <f>VLOOKUP(A40,'SegEnds_NonXtal_Prot#'!A:AL,28,FALSE)-VLOOKUP(A40,'SegEnds_NonXtal_Prot#'!A:AL,22,FALSE)</f>
        <v>53</v>
      </c>
      <c r="AI40" s="1">
        <f>VLOOKUP(A40,'SegEnds_NonXtal_Prot#'!A:AL,31,FALSE)-VLOOKUP(A40,'SegEnds_NonXtal_Prot#'!A:AL,28,FALSE)</f>
        <v>77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9</v>
      </c>
      <c r="AL40" s="1" t="str">
        <f>IF(ISERROR(MATCH(A40,'SegEnds_Xtal_Prot#'!B:B, 0)), "NoXtal", "Xtal")</f>
        <v>Xtal</v>
      </c>
    </row>
    <row r="41" spans="1:38" x14ac:dyDescent="0.2">
      <c r="A41" s="1" t="s">
        <v>191</v>
      </c>
      <c r="B41" s="1" t="str">
        <f>VLOOKUP(A41,Xtal_Templ!A:B,2,FALSE)</f>
        <v>drd2_human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58</v>
      </c>
      <c r="O41" s="87">
        <v>38</v>
      </c>
      <c r="P41" s="1">
        <f>VLOOKUP($B41&amp;"__wt",'SegEnds_Xtal_BW#'!$A:$Z,16,FALSE)</f>
        <v>62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INDEX(ICL3_classA!$G$2:$G$37,MATCH(MIN(ABS(AI41-ICL3_classA!$F$2:$F$37)),ABS(AI41-ICL3_classA!$F$2:$F$37),0))</f>
        <v>75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21</v>
      </c>
      <c r="AG41" s="1">
        <f>VLOOKUP(A41,'SegEnds_NonXtal_Prot#'!A:AL,28,FALSE)-VLOOKUP(A41,'SegEnds_NonXtal_Prot#'!A:AL,25,FALSE)</f>
        <v>19</v>
      </c>
      <c r="AH41" s="1">
        <f>VLOOKUP(A41,'SegEnds_NonXtal_Prot#'!A:AL,28,FALSE)-VLOOKUP(A41,'SegEnds_NonXtal_Prot#'!A:AL,22,FALSE)</f>
        <v>41</v>
      </c>
      <c r="AI41" s="1">
        <f>VLOOKUP(A41,'SegEnds_NonXtal_Prot#'!A:AL,31,FALSE)-VLOOKUP(A41,'SegEnds_NonXtal_Prot#'!A:AL,28,FALSE)</f>
        <v>187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73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27</v>
      </c>
      <c r="AC42" s="1" t="e">
        <f>VLOOKUP(A42,'SegEnds_NonXtal_Prot#'!A:AL,10,FALSE)-VLOOKUP(A42,'SegEnds_NonXtal_Prot#'!A:AL,7,FALSE)</f>
        <v>#VALUE!</v>
      </c>
      <c r="AD42" s="1" t="e">
        <f>VLOOKUP(A42,'SegEnds_NonXtal_Prot#'!A:AL,13,FALSE)-VLOOKUP(A42,'SegEnds_NonXtal_Prot#'!A:AL,10,FALSE)</f>
        <v>#VALUE!</v>
      </c>
      <c r="AE42" s="1">
        <f>VLOOKUP(A42,'SegEnds_NonXtal_Prot#'!A:AL,16,FALSE)-VLOOKUP(A42,'SegEnds_NonXtal_Prot#'!A:AL,10,FALSE)</f>
        <v>54</v>
      </c>
      <c r="AF42" s="1" t="e">
        <f>VLOOKUP(A42,'SegEnds_NonXtal_Prot#'!A:AL,22,FALSE)-VLOOKUP(A42,'SegEnds_NonXtal_Prot#'!A:AL,19,FALSE)</f>
        <v>#VALUE!</v>
      </c>
      <c r="AG42" s="1">
        <f>VLOOKUP(A42,'SegEnds_NonXtal_Prot#'!A:AL,28,FALSE)-VLOOKUP(A42,'SegEnds_NonXtal_Prot#'!A:AL,25,FALSE)</f>
        <v>22</v>
      </c>
      <c r="AH42" s="1">
        <f>VLOOKUP(A42,'SegEnds_NonXtal_Prot#'!A:AL,28,FALSE)-VLOOKUP(A42,'SegEnds_NonXtal_Prot#'!A:AL,22,FALSE)</f>
        <v>49</v>
      </c>
      <c r="AI42" s="1">
        <f>VLOOKUP(A42,'SegEnds_NonXtal_Prot#'!A:AL,31,FALSE)-VLOOKUP(A42,'SegEnds_NonXtal_Prot#'!A:AL,28,FALSE)</f>
        <v>58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247</v>
      </c>
      <c r="B43" s="1" t="str">
        <f>VLOOKUP(A43,Xtal_Templ!A:B,2,FALSE)</f>
        <v>drd2_human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62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29</v>
      </c>
      <c r="AC43" s="1">
        <f>VLOOKUP(A43,'SegEnds_NonXtal_Prot#'!A:AL,10,FALSE)-VLOOKUP(A43,'SegEnds_NonXtal_Prot#'!A:AL,7,FALSE)</f>
        <v>16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25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72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267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28</v>
      </c>
      <c r="AH44" s="1">
        <f>VLOOKUP(A44,'SegEnds_NonXtal_Prot#'!A:AL,28,FALSE)-VLOOKUP(A44,'SegEnds_NonXtal_Prot#'!A:AL,22,FALSE)</f>
        <v>53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7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63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57</v>
      </c>
      <c r="AI45" s="1">
        <f>VLOOKUP(A45,'SegEnds_NonXtal_Prot#'!A:AL,31,FALSE)-VLOOKUP(A45,'SegEnds_NonXtal_Prot#'!A:AL,28,FALSE)</f>
        <v>56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22</v>
      </c>
      <c r="AH46" s="1">
        <f>VLOOKUP(A46,'SegEnds_NonXtal_Prot#'!A:AL,28,FALSE)-VLOOKUP(A46,'SegEnds_NonXtal_Prot#'!A:AL,22,FALSE)</f>
        <v>50</v>
      </c>
      <c r="AI46" s="1">
        <f>VLOOKUP(A46,'SegEnds_NonXtal_Prot#'!A:AL,31,FALSE)-VLOOKUP(A46,'SegEnds_NonXtal_Prot#'!A:AL,28,FALSE)</f>
        <v>228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INDEX(ICL3_classA!$G$2:$G$37,MATCH(MIN(ABS(AI47-ICL3_classA!$F$2:$F$37)),ABS(AI47-ICL3_classA!$F$2:$F$37),0))</f>
        <v>73</v>
      </c>
      <c r="U47" s="1">
        <f t="array" ref="U47">INDEX(ICL3_classA!$H$2:$H$37,MATCH(MIN(ABS(AI47-ICL3_classA!$F$2:$F$37)),ABS(AI47-ICL3_classA!$F$2:$F$37),0))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56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366</v>
      </c>
      <c r="B48" s="1" t="str">
        <f>VLOOKUP(A48,Xtal_Templ!A:B,2,FALSE)</f>
        <v>pe2r4_human</v>
      </c>
      <c r="C48" s="5">
        <f>VLOOKUP($B48&amp;"__wt",'SegEnds_Xtal_BW#'!$A:$Z,3,FALSE)</f>
        <v>33</v>
      </c>
      <c r="D48" s="1">
        <f>VLOOKUP($B48&amp;"__wt",'SegEnds_Xtal_BW#'!$A:$Z,4,FALSE)</f>
        <v>58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f>VLOOKUP($B48&amp;"__wt",'SegEnds_Xtal_BW#'!$A:$Z,15,FALSE)</f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08">
        <v>56</v>
      </c>
      <c r="Y48" s="1">
        <f>VLOOKUP($B48&amp;"__wt",'SegEnds_Xtal_BW#'!$A:$Z,25,FALSE)</f>
        <v>47</v>
      </c>
      <c r="Z48" s="1">
        <f>VLOOKUP($B48&amp;"__wt",'SegEnds_Xtal_BW#'!$A:$Z,26,FALSE)</f>
        <v>60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29</v>
      </c>
      <c r="AC48" s="1" t="e">
        <f>VLOOKUP(A48,'SegEnds_NonXtal_Prot#'!A:AL,10,FALSE)-VLOOKUP(A48,'SegEnds_NonXtal_Prot#'!A:AL,7,FALSE)</f>
        <v>#VALUE!</v>
      </c>
      <c r="AD48" s="1" t="e">
        <f>VLOOKUP(A48,'SegEnds_NonXtal_Prot#'!A:AL,13,FALSE)-VLOOKUP(A48,'SegEnds_NonXtal_Prot#'!A:AL,10,FALSE)</f>
        <v>#VALUE!</v>
      </c>
      <c r="AE48" s="1">
        <f>VLOOKUP(A48,'SegEnds_NonXtal_Prot#'!A:AL,16,FALSE)-VLOOKUP(A48,'SegEnds_NonXtal_Prot#'!A:AL,10,FALSE)</f>
        <v>57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27</v>
      </c>
      <c r="AH48" s="1">
        <f>VLOOKUP(A48,'SegEnds_NonXtal_Prot#'!A:AL,28,FALSE)-VLOOKUP(A48,'SegEnds_NonXtal_Prot#'!A:AL,22,FALSE)</f>
        <v>53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INDEX(ICL3_classA!$G$2:$G$37,MATCH(MIN(ABS(AI49-ICL3_classA!$F$2:$F$37)),ABS(AI49-ICL3_classA!$F$2:$F$37),0))</f>
        <v>72</v>
      </c>
      <c r="U49" s="1">
        <f t="array" ref="U49">INDEX(ICL3_classA!$H$2:$H$37,MATCH(MIN(ABS(AI49-ICL3_classA!$F$2:$F$37)),ABS(AI49-ICL3_classA!$F$2:$F$37),0))</f>
        <v>23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 t="e">
        <f>VLOOKUP(A49,'SegEnds_NonXtal_Prot#'!A:AL,13,FALSE)-VLOOKUP(A49,'SegEnds_NonXtal_Prot#'!A:AL,10,FALSE)</f>
        <v>#VALUE!</v>
      </c>
      <c r="AE49" s="1">
        <f>VLOOKUP(A49,'SegEnds_NonXtal_Prot#'!A:AL,16,FALSE)-VLOOKUP(A49,'SegEnds_NonXtal_Prot#'!A:AL,10,FALSE)</f>
        <v>59</v>
      </c>
      <c r="AF49" s="1">
        <f>VLOOKUP(A49,'SegEnds_NonXtal_Prot#'!A:AL,22,FALSE)-VLOOKUP(A49,'SegEnds_NonXtal_Prot#'!A:AL,19,FALSE)</f>
        <v>19</v>
      </c>
      <c r="AG49" s="1">
        <f>VLOOKUP(A49,'SegEnds_NonXtal_Prot#'!A:AL,28,FALSE)-VLOOKUP(A49,'SegEnds_NonXtal_Prot#'!A:AL,25,FALSE)</f>
        <v>28</v>
      </c>
      <c r="AH49" s="1">
        <f>VLOOKUP(A49,'SegEnds_NonXtal_Prot#'!A:AL,28,FALSE)-VLOOKUP(A49,'SegEnds_NonXtal_Prot#'!A:AL,22,FALSE)</f>
        <v>55</v>
      </c>
      <c r="AI49" s="1">
        <f>VLOOKUP(A49,'SegEnds_NonXtal_Prot#'!A:AL,31,FALSE)-VLOOKUP(A49,'SegEnds_NonXtal_Prot#'!A:AL,28,FALSE)</f>
        <v>52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INDEX(ICL3_classA!$G$2:$G$37,MATCH(MIN(ABS(AI50-ICL3_classA!$F$2:$F$37)),ABS(AI50-ICL3_classA!$F$2:$F$37),0))</f>
        <v>72</v>
      </c>
      <c r="U50" s="1">
        <f t="array" ref="U50">INDEX(ICL3_classA!$H$2:$H$37,MATCH(MIN(ABS(AI50-ICL3_classA!$F$2:$F$37)),ABS(AI50-ICL3_classA!$F$2:$F$37),0))</f>
        <v>23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24</v>
      </c>
      <c r="AE50" s="1">
        <f>VLOOKUP(A50,'SegEnds_NonXtal_Prot#'!A:AL,16,FALSE)-VLOOKUP(A50,'SegEnds_NonXtal_Prot#'!A:AL,10,FALSE)</f>
        <v>59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28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52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387</v>
      </c>
      <c r="B51" s="1" t="str">
        <f>VLOOKUP(A51,Xtal_Templ!A:B,2,FALSE)</f>
        <v>drd2_human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62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INDEX(ICL3_classA!$G$2:$G$37,MATCH(MIN(ABS(AI51-ICL3_classA!$F$2:$F$37)),ABS(AI51-ICL3_classA!$F$2:$F$37),0))</f>
        <v>74</v>
      </c>
      <c r="U51" s="1">
        <f t="array" ref="U51">INDEX(ICL3_classA!$H$2:$H$37,MATCH(MIN(ABS(AI51-ICL3_classA!$F$2:$F$37)),ABS(AI51-ICL3_classA!$F$2:$F$37),0))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20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64</v>
      </c>
      <c r="AJ51" s="1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388</v>
      </c>
      <c r="B52" s="1" t="str">
        <f>VLOOKUP(A52,Xtal_Templ!A:B,2,FALSE)</f>
        <v>drd2_human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68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f>VLOOKUP($B52&amp;"__wt",'SegEnds_Xtal_BW#'!$A:$Z,15,FALSE)</f>
        <v>38</v>
      </c>
      <c r="P52" s="1">
        <f>VLOOKUP($B52&amp;"__wt",'SegEnds_Xtal_BW#'!$A:$Z,16,FALSE)</f>
        <v>62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INDEX(ICL3_classA!$G$2:$G$37,MATCH(MIN(ABS(AI52-ICL3_classA!$F$2:$F$37)),ABS(AI52-ICL3_classA!$F$2:$F$37),0))</f>
        <v>73</v>
      </c>
      <c r="U52" s="1">
        <f t="array" ref="U52">INDEX(ICL3_classA!$H$2:$H$37,MATCH(MIN(ABS(AI52-ICL3_classA!$F$2:$F$37)),ABS(AI52-ICL3_classA!$F$2:$F$37),0))</f>
        <v>22</v>
      </c>
      <c r="V52" s="1">
        <v>61</v>
      </c>
      <c r="W52" s="1">
        <v>31</v>
      </c>
      <c r="X52" s="108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20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56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389</v>
      </c>
      <c r="B53" s="1" t="str">
        <f>VLOOKUP(A53,Xtal_Templ!A:B,2,FALSE)</f>
        <v>drd2_human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62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74</v>
      </c>
      <c r="U53" s="1">
        <f t="array" ref="U53">INDEX(ICL3_classA!$H$2:$H$37,MATCH(MIN(ABS(AI53-ICL3_classA!$F$2:$F$37)),ABS(AI53-ICL3_classA!$F$2:$F$37),0))</f>
        <v>21</v>
      </c>
      <c r="V53" s="1">
        <v>61</v>
      </c>
      <c r="W53" s="1">
        <v>31</v>
      </c>
      <c r="X53" s="108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20</v>
      </c>
      <c r="AH53" s="1">
        <f>VLOOKUP(A53,'SegEnds_NonXtal_Prot#'!A:AL,28,FALSE)-VLOOKUP(A53,'SegEnds_NonXtal_Prot#'!A:AL,22,FALSE)</f>
        <v>53</v>
      </c>
      <c r="AI53" s="1">
        <f>VLOOKUP(A53,'SegEnds_NonXtal_Prot#'!A:AL,31,FALSE)-VLOOKUP(A53,'SegEnds_NonXtal_Prot#'!A:AL,28,FALSE)</f>
        <v>62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19</v>
      </c>
      <c r="AH54" s="1">
        <f>VLOOKUP(A54,'SegEnds_NonXtal_Prot#'!A:AL,28,FALSE)-VLOOKUP(A54,'SegEnds_NonXtal_Prot#'!A:AL,22,FALSE)</f>
        <v>52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28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INDEX(ICL3_classA!$G$2:$G$37,MATCH(MIN(ABS(AI55-ICL3_classA!$F$2:$F$37)),ABS(AI55-ICL3_classA!$F$2:$F$37),0))</f>
        <v>74</v>
      </c>
      <c r="U55" s="1">
        <f t="array" ref="U55">INDEX(ICL3_classA!$H$2:$H$37,MATCH(MIN(ABS(AI55-ICL3_classA!$F$2:$F$37)),ABS(AI55-ICL3_classA!$F$2:$F$37),0))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19</v>
      </c>
      <c r="AH55" s="1">
        <f>VLOOKUP(A55,'SegEnds_NonXtal_Prot#'!A:AL,28,FALSE)-VLOOKUP(A55,'SegEnds_NonXtal_Prot#'!A:AL,22,FALSE)</f>
        <v>52</v>
      </c>
      <c r="AI55" s="1">
        <f>VLOOKUP(A55,'SegEnds_NonXtal_Prot#'!A:AL,31,FALSE)-VLOOKUP(A55,'SegEnds_NonXtal_Prot#'!A:AL,28,FALSE)</f>
        <v>64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74</v>
      </c>
      <c r="U56" s="1">
        <f t="array" ref="U56">INDEX(ICL3_classA!$H$2:$H$37,MATCH(MIN(ABS(AI56-ICL3_classA!$F$2:$F$37)),ABS(AI56-ICL3_classA!$F$2:$F$37),0))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19</v>
      </c>
      <c r="AH56" s="1">
        <f>VLOOKUP(A56,'SegEnds_NonXtal_Prot#'!A:AL,28,FALSE)-VLOOKUP(A56,'SegEnds_NonXtal_Prot#'!A:AL,22,FALSE)</f>
        <v>52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INDEX(ICL3_classA!$G$2:$G$37,MATCH(MIN(ABS(AI57-ICL3_classA!$F$2:$F$37)),ABS(AI57-ICL3_classA!$F$2:$F$37),0))</f>
        <v>74</v>
      </c>
      <c r="U57" s="1">
        <f t="array" ref="U57">INDEX(ICL3_classA!$H$2:$H$37,MATCH(MIN(ABS(AI57-ICL3_classA!$F$2:$F$37)),ABS(AI57-ICL3_classA!$F$2:$F$37),0))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19</v>
      </c>
      <c r="AH57" s="1">
        <f>VLOOKUP(A57,'SegEnds_NonXtal_Prot#'!A:AL,28,FALSE)-VLOOKUP(A57,'SegEnds_NonXtal_Prot#'!A:AL,22,FALSE)</f>
        <v>52</v>
      </c>
      <c r="AI57" s="1">
        <f>VLOOKUP(A57,'SegEnds_NonXtal_Prot#'!A:AL,31,FALSE)-VLOOKUP(A57,'SegEnds_NonXtal_Prot#'!A:AL,28,FALSE)</f>
        <v>64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45</v>
      </c>
      <c r="AI58" s="1">
        <f>VLOOKUP(A58,'SegEnds_NonXtal_Prot#'!A:AL,31,FALSE)-VLOOKUP(A58,'SegEnds_NonXtal_Prot#'!A:AL,28,FALSE)</f>
        <v>115</v>
      </c>
      <c r="AJ58" s="1">
        <f>VLOOKUP(A58,'SegEnds_NonXtal_Prot#'!A:AL,34,FALSE)-VLOOKUP(A58,'SegEnds_NonXtal_Prot#'!A:AL,31,FALSE)</f>
        <v>36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73</v>
      </c>
      <c r="U59" s="1">
        <f t="array" ref="U59">INDEX(ICL3_classA!$H$2:$H$37,MATCH(MIN(ABS(AI59-ICL3_classA!$F$2:$F$37)),ABS(AI59-ICL3_classA!$F$2:$F$37),0))</f>
        <v>22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18</v>
      </c>
      <c r="AE59" s="1">
        <f>VLOOKUP(A59,'SegEnds_NonXtal_Prot#'!A:AL,16,FALSE)-VLOOKUP(A59,'SegEnds_NonXtal_Prot#'!A:AL,10,FALSE)</f>
        <v>50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23</v>
      </c>
      <c r="AH59" s="1">
        <f>VLOOKUP(A59,'SegEnds_NonXtal_Prot#'!A:AL,28,FALSE)-VLOOKUP(A59,'SegEnds_NonXtal_Prot#'!A:AL,22,FALSE)</f>
        <v>60</v>
      </c>
      <c r="AI59" s="1">
        <f>VLOOKUP(A59,'SegEnds_NonXtal_Prot#'!A:AL,31,FALSE)-VLOOKUP(A59,'SegEnds_NonXtal_Prot#'!A:AL,28,FALSE)</f>
        <v>57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152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76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08"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91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153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94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154</v>
      </c>
      <c r="B62" s="1" t="str">
        <f>VLOOKUP(A62,Xtal_Templ!A:B,2,FALSE)</f>
        <v>drd2_human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68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62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74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76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24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54</v>
      </c>
      <c r="AI63" s="1">
        <f>VLOOKUP(A63,'SegEnds_NonXtal_Prot#'!A:AL,31,FALSE)-VLOOKUP(A63,'SegEnds_NonXtal_Prot#'!A:AL,28,FALSE)</f>
        <v>91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9</v>
      </c>
      <c r="AL63" s="1" t="str">
        <f>IF(ISERROR(MATCH(A63,'SegEnds_Xtal_Prot#'!B:B, 0)), "NoXtal", "Xtal")</f>
        <v>NoXtal</v>
      </c>
    </row>
    <row r="64" spans="1:38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INDEX(ICL3_classA!$G$2:$G$37,MATCH(MIN(ABS(AI64-ICL3_classA!$F$2:$F$37)),ABS(AI64-ICL3_classA!$F$2:$F$37),0))</f>
        <v>76</v>
      </c>
      <c r="U64" s="1">
        <f t="array" ref="U64">INDEX(ICL3_classA!$H$2:$H$37,MATCH(MIN(ABS(AI64-ICL3_classA!$F$2:$F$37)),ABS(AI64-ICL3_classA!$F$2:$F$37),0))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29</v>
      </c>
      <c r="AC64" s="1">
        <f>VLOOKUP(A64,'SegEnds_NonXtal_Prot#'!A:AL,10,FALSE)-VLOOKUP(A64,'SegEnds_NonXtal_Prot#'!A:AL,7,FALSE)</f>
        <v>16</v>
      </c>
      <c r="AD64" s="1" t="e">
        <f>VLOOKUP(A64,'SegEnds_NonXtal_Prot#'!A:AL,13,FALSE)-VLOOKUP(A64,'SegEnds_NonXtal_Prot#'!A:AL,10,FALSE)</f>
        <v>#VALUE!</v>
      </c>
      <c r="AE64" s="1">
        <f>VLOOKUP(A64,'SegEnds_NonXtal_Prot#'!A:AL,16,FALSE)-VLOOKUP(A64,'SegEnds_NonXtal_Prot#'!A:AL,10,FALSE)</f>
        <v>51</v>
      </c>
      <c r="AF64" s="1">
        <f>VLOOKUP(A64,'SegEnds_NonXtal_Prot#'!A:AL,22,FALSE)-VLOOKUP(A64,'SegEnds_NonXtal_Prot#'!A:AL,19,FALSE)</f>
        <v>20</v>
      </c>
      <c r="AG64" s="1" t="e">
        <f>VLOOKUP(A64,'SegEnds_NonXtal_Prot#'!A:AL,28,FALSE)-VLOOKUP(A64,'SegEnds_NonXtal_Prot#'!A:AL,25,FALSE)</f>
        <v>#VALUE!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72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Xtal</v>
      </c>
    </row>
    <row r="65" spans="1:38" x14ac:dyDescent="0.2">
      <c r="A65" s="1" t="s">
        <v>183</v>
      </c>
      <c r="B65" s="1" t="str">
        <f>VLOOKUP(A65,Xtal_Templ!A:B,2,FALSE)</f>
        <v>cnr2_human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21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63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>
        <f>VLOOKUP(A65,'SegEnds_NonXtal_Prot#'!A:AL,10,FALSE)-VLOOKUP(A65,'SegEnds_NonXtal_Prot#'!A:AL,7,FALSE)</f>
        <v>16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 t="e">
        <f>VLOOKUP(A65,'SegEnds_NonXtal_Prot#'!A:AL,28,FALSE)-VLOOKUP(A65,'SegEnds_NonXtal_Prot#'!A:AL,25,FALSE)</f>
        <v>#VALUE!</v>
      </c>
      <c r="AH65" s="1">
        <f>VLOOKUP(A65,'SegEnds_NonXtal_Prot#'!A:AL,28,FALSE)-VLOOKUP(A65,'SegEnds_NonXtal_Prot#'!A:AL,22,FALSE)</f>
        <v>43</v>
      </c>
      <c r="AI65" s="1">
        <f>VLOOKUP(A65,'SegEnds_NonXtal_Prot#'!A:AL,31,FALSE)-VLOOKUP(A65,'SegEnds_NonXtal_Prot#'!A:AL,28,FALSE)</f>
        <v>59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21</v>
      </c>
      <c r="AE66" s="1">
        <f>VLOOKUP(A66,'SegEnds_NonXtal_Prot#'!A:AL,16,FALSE)-VLOOKUP(A66,'SegEnds_NonXtal_Prot#'!A:AL,10,FALSE)</f>
        <v>53</v>
      </c>
      <c r="AF66" s="1">
        <f>VLOOKUP(A66,'SegEnds_NonXtal_Prot#'!A:AL,22,FALSE)-VLOOKUP(A66,'SegEnds_NonXtal_Prot#'!A:AL,19,FALSE)</f>
        <v>23</v>
      </c>
      <c r="AG66" s="1">
        <f>VLOOKUP(A66,'SegEnds_NonXtal_Prot#'!A:AL,28,FALSE)-VLOOKUP(A66,'SegEnds_NonXtal_Prot#'!A:AL,25,FALSE)</f>
        <v>19</v>
      </c>
      <c r="AH66" s="1">
        <f>VLOOKUP(A66,'SegEnds_NonXtal_Prot#'!A:AL,28,FALSE)-VLOOKUP(A66,'SegEnds_NonXtal_Prot#'!A:AL,22,FALSE)</f>
        <v>42</v>
      </c>
      <c r="AI66" s="1">
        <f>VLOOKUP(A66,'SegEnds_NonXtal_Prot#'!A:AL,31,FALSE)-VLOOKUP(A66,'SegEnds_NonXtal_Prot#'!A:AL,28,FALSE)</f>
        <v>144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21</v>
      </c>
      <c r="AE67" s="1">
        <f>VLOOKUP(A67,'SegEnds_NonXtal_Prot#'!A:AL,16,FALSE)-VLOOKUP(A67,'SegEnds_NonXtal_Prot#'!A:AL,10,FALSE)</f>
        <v>53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19</v>
      </c>
      <c r="AH67" s="1">
        <f>VLOOKUP(A67,'SegEnds_NonXtal_Prot#'!A:AL,28,FALSE)-VLOOKUP(A67,'SegEnds_NonXtal_Prot#'!A:AL,22,FALSE)</f>
        <v>44</v>
      </c>
      <c r="AI67" s="1">
        <f>VLOOKUP(A67,'SegEnds_NonXtal_Prot#'!A:AL,31,FALSE)-VLOOKUP(A67,'SegEnds_NonXtal_Prot#'!A:AL,28,FALSE)</f>
        <v>205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14</v>
      </c>
      <c r="AD68" s="1">
        <f>VLOOKUP(A68,'SegEnds_NonXtal_Prot#'!A:AL,13,FALSE)-VLOOKUP(A68,'SegEnds_NonXtal_Prot#'!A:AL,10,FALSE)</f>
        <v>28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213</v>
      </c>
      <c r="B69" s="1" t="str">
        <f>VLOOKUP(A69,Xtal_Templ!A:B,2,FALSE)</f>
        <v>5ht2a_human</v>
      </c>
      <c r="C69" s="5">
        <f>VLOOKUP($B69&amp;"__wt",'SegEnds_Xtal_BW#'!$A:$Z,3,FALSE)</f>
        <v>27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67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74</v>
      </c>
      <c r="U69" s="1">
        <f t="array" ref="U69">INDEX(ICL3_classA!$H$2:$H$37,MATCH(MIN(ABS(AI69-ICL3_classA!$F$2:$F$37)),ABS(AI69-ICL3_classA!$F$2:$F$37),0))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60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29</v>
      </c>
      <c r="AC69" s="1" t="e">
        <f>VLOOKUP(A69,'SegEnds_NonXtal_Prot#'!A:AL,10,FALSE)-VLOOKUP(A69,'SegEnds_NonXtal_Prot#'!A:AL,7,FALSE)</f>
        <v>#VALUE!</v>
      </c>
      <c r="AD69" s="1" t="e">
        <f>VLOOKUP(A69,'SegEnds_NonXtal_Prot#'!A:AL,13,FALSE)-VLOOKUP(A69,'SegEnds_NonXtal_Prot#'!A:AL,10,FALSE)</f>
        <v>#VALUE!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21</v>
      </c>
      <c r="AH69" s="1">
        <f>VLOOKUP(A69,'SegEnds_NonXtal_Prot#'!A:AL,28,FALSE)-VLOOKUP(A69,'SegEnds_NonXtal_Prot#'!A:AL,22,FALSE)</f>
        <v>46</v>
      </c>
      <c r="AI69" s="1">
        <f>VLOOKUP(A69,'SegEnds_NonXtal_Prot#'!A:AL,31,FALSE)-VLOOKUP(A69,'SegEnds_NonXtal_Prot#'!A:AL,28,FALSE)</f>
        <v>64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48</v>
      </c>
      <c r="AI70" s="1">
        <f>VLOOKUP(A70,'SegEnds_NonXtal_Prot#'!A:AL,31,FALSE)-VLOOKUP(A70,'SegEnds_NonXtal_Prot#'!A:AL,28,FALSE)</f>
        <v>85</v>
      </c>
      <c r="AJ70" s="1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230</v>
      </c>
      <c r="B71" s="1" t="str">
        <f>VLOOKUP(A71,Xtal_Templ!A:B,2,FALSE)</f>
        <v>5ht2a_human</v>
      </c>
      <c r="C71" s="5">
        <f>VLOOKUP($B71&amp;"__wt",'SegEnds_Xtal_BW#'!$A:$Z,3,FALSE)</f>
        <v>27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67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74</v>
      </c>
      <c r="U71" s="1">
        <f t="array" ref="U71">INDEX(ICL3_classA!$H$2:$H$37,MATCH(MIN(ABS(AI71-ICL3_classA!$F$2:$F$37)),ABS(AI71-ICL3_classA!$F$2:$F$37),0))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60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61</v>
      </c>
      <c r="AH71" s="1">
        <f>VLOOKUP(A71,'SegEnds_NonXtal_Prot#'!A:AL,28,FALSE)-VLOOKUP(A71,'SegEnds_NonXtal_Prot#'!A:AL,22,FALSE)</f>
        <v>87</v>
      </c>
      <c r="AI71" s="1">
        <f>VLOOKUP(A71,'SegEnds_NonXtal_Prot#'!A:AL,31,FALSE)-VLOOKUP(A71,'SegEnds_NonXtal_Prot#'!A:AL,28,FALSE)</f>
        <v>66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68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33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63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22</v>
      </c>
      <c r="AE72" s="1">
        <f>VLOOKUP(A72,'SegEnds_NonXtal_Prot#'!A:AL,16,FALSE)-VLOOKUP(A72,'SegEnds_NonXtal_Prot#'!A:AL,10,FALSE)</f>
        <v>55</v>
      </c>
      <c r="AF72" s="1" t="e">
        <f>VLOOKUP(A72,'SegEnds_NonXtal_Prot#'!A:AL,22,FALSE)-VLOOKUP(A72,'SegEnds_NonXtal_Prot#'!A:AL,19,FALSE)</f>
        <v>#VALUE!</v>
      </c>
      <c r="AG72" s="1">
        <f>VLOOKUP(A72,'SegEnds_NonXtal_Prot#'!A:AL,28,FALSE)-VLOOKUP(A72,'SegEnds_NonXtal_Prot#'!A:AL,25,FALSE)</f>
        <v>25</v>
      </c>
      <c r="AH72" s="1">
        <f>VLOOKUP(A72,'SegEnds_NonXtal_Prot#'!A:AL,28,FALSE)-VLOOKUP(A72,'SegEnds_NonXtal_Prot#'!A:AL,22,FALSE)</f>
        <v>50</v>
      </c>
      <c r="AI72" s="1">
        <f>VLOOKUP(A72,'SegEnds_NonXtal_Prot#'!A:AL,31,FALSE)-VLOOKUP(A72,'SegEnds_NonXtal_Prot#'!A:AL,28,FALSE)</f>
        <v>64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241</v>
      </c>
      <c r="B73" s="1" t="str">
        <f>VLOOKUP(A73,Xtal_Templ!A:B,2,FALSE)</f>
        <v>ccr7_human</v>
      </c>
      <c r="C73" s="5">
        <f>VLOOKUP($B73&amp;"__wt",'SegEnds_Xtal_BW#'!$A:$Z,3,FALSE)</f>
        <v>29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33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27</v>
      </c>
      <c r="AH73" s="1">
        <f>VLOOKUP(A73,'SegEnds_NonXtal_Prot#'!A:AL,28,FALSE)-VLOOKUP(A73,'SegEnds_NonXtal_Prot#'!A:AL,22,FALSE)</f>
        <v>53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68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7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33</v>
      </c>
      <c r="T74" s="4">
        <f t="array" ref="T74">INDEX(ICL3_classA!$G$2:$G$37,MATCH(MIN(ABS(AI74-ICL3_classA!$F$2:$F$37)),ABS(AI74-ICL3_classA!$F$2:$F$37),0))</f>
        <v>73</v>
      </c>
      <c r="U74" s="4">
        <f t="array" ref="U74">INDEX(ICL3_classA!$H$2:$H$37,MATCH(MIN(ABS(AI74-ICL3_classA!$F$2:$F$37)),ABS(AI74-ICL3_classA!$F$2:$F$37),0))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63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4">
        <f>VLOOKUP(A74,'SegEnds_NonXtal_Prot#'!A:AL,10,FALSE)-VLOOKUP(A74,'SegEnds_NonXtal_Prot#'!A:AL,7,FALSE)</f>
        <v>15</v>
      </c>
      <c r="AD74" s="4">
        <f>VLOOKUP(A74,'SegEnds_NonXtal_Prot#'!A:AL,13,FALSE)-VLOOKUP(A74,'SegEnds_NonXtal_Prot#'!A:AL,10,FALSE)</f>
        <v>20</v>
      </c>
      <c r="AE74" s="4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18</v>
      </c>
      <c r="AG74" s="4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47</v>
      </c>
      <c r="AI74" s="4">
        <f>VLOOKUP(A74,'SegEnds_NonXtal_Prot#'!A:AL,31,FALSE)-VLOOKUP(A74,'SegEnds_NonXtal_Prot#'!A:AL,28,FALSE)</f>
        <v>56</v>
      </c>
      <c r="AJ74" s="4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7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74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29</v>
      </c>
      <c r="AC75" s="1">
        <f>VLOOKUP(A75,'SegEnds_NonXtal_Prot#'!A:AL,10,FALSE)-VLOOKUP(A75,'SegEnds_NonXtal_Prot#'!A:AL,7,FALSE)</f>
        <v>16</v>
      </c>
      <c r="AD75" s="1" t="e">
        <f>VLOOKUP(A75,'SegEnds_NonXtal_Prot#'!A:AL,13,FALSE)-VLOOKUP(A75,'SegEnds_NonXtal_Prot#'!A:AL,10,FALSE)</f>
        <v>#VALUE!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18</v>
      </c>
      <c r="AG75" s="1">
        <f>VLOOKUP(A75,'SegEnds_NonXtal_Prot#'!A:AL,28,FALSE)-VLOOKUP(A75,'SegEnds_NonXtal_Prot#'!A:AL,25,FALSE)</f>
        <v>26</v>
      </c>
      <c r="AH75" s="1">
        <f>VLOOKUP(A75,'SegEnds_NonXtal_Prot#'!A:AL,28,FALSE)-VLOOKUP(A75,'SegEnds_NonXtal_Prot#'!A:AL,22,FALSE)</f>
        <v>58</v>
      </c>
      <c r="AI75" s="1">
        <f>VLOOKUP(A75,'SegEnds_NonXtal_Prot#'!A:AL,31,FALSE)-VLOOKUP(A75,'SegEnds_NonXtal_Prot#'!A:AL,28,FALSE)</f>
        <v>105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68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63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 t="e">
        <f>VLOOKUP(A76,'SegEnds_NonXtal_Prot#'!A:AL,13,FALSE)-VLOOKUP(A76,'SegEnds_NonXtal_Prot#'!A:AL,10,FALSE)</f>
        <v>#VALUE!</v>
      </c>
      <c r="AE76" s="1">
        <f>VLOOKUP(A76,'SegEnds_NonXtal_Prot#'!A:AL,16,FALSE)-VLOOKUP(A76,'SegEnds_NonXtal_Prot#'!A:AL,10,FALSE)</f>
        <v>56</v>
      </c>
      <c r="AF76" s="1">
        <f>VLOOKUP(A76,'SegEnds_NonXtal_Prot#'!A:AL,22,FALSE)-VLOOKUP(A76,'SegEnds_NonXtal_Prot#'!A:AL,19,FALSE)</f>
        <v>21</v>
      </c>
      <c r="AG76" s="1">
        <f>VLOOKUP(A76,'SegEnds_NonXtal_Prot#'!A:AL,28,FALSE)-VLOOKUP(A76,'SegEnds_NonXtal_Prot#'!A:AL,25,FALSE)</f>
        <v>18</v>
      </c>
      <c r="AH76" s="1">
        <f>VLOOKUP(A76,'SegEnds_NonXtal_Prot#'!A:AL,28,FALSE)-VLOOKUP(A76,'SegEnds_NonXtal_Prot#'!A:AL,22,FALSE)</f>
        <v>41</v>
      </c>
      <c r="AI76" s="1">
        <f>VLOOKUP(A76,'SegEnds_NonXtal_Prot#'!A:AL,31,FALSE)-VLOOKUP(A76,'SegEnds_NonXtal_Prot#'!A:AL,28,FALSE)</f>
        <v>110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28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27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38</v>
      </c>
      <c r="AH77" s="1">
        <f>VLOOKUP(A77,'SegEnds_NonXtal_Prot#'!A:AL,28,FALSE)-VLOOKUP(A77,'SegEnds_NonXtal_Prot#'!A:AL,22,FALSE)</f>
        <v>64</v>
      </c>
      <c r="AI77" s="1">
        <f>VLOOKUP(A77,'SegEnds_NonXtal_Prot#'!A:AL,31,FALSE)-VLOOKUP(A77,'SegEnds_NonXtal_Prot#'!A:AL,28,FALSE)</f>
        <v>43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263</v>
      </c>
      <c r="B78" s="1" t="str">
        <f>VLOOKUP(A78,Xtal_Templ!A:B,2,FALSE)</f>
        <v>5ht2c_human</v>
      </c>
      <c r="C78" s="5">
        <f>VLOOKUP($B78&amp;"__wt",'SegEnds_Xtal_BW#'!$A:$Z,3,FALSE)</f>
        <v>33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67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60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26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21</v>
      </c>
      <c r="AE78" s="1">
        <f>VLOOKUP(A78,'SegEnds_NonXtal_Prot#'!A:AL,16,FALSE)-VLOOKUP(A78,'SegEnds_NonXtal_Prot#'!A:AL,10,FALSE)</f>
        <v>54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25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82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271</v>
      </c>
      <c r="B79" s="1" t="str">
        <f>VLOOKUP(A79,Xtal_Templ!A:B,2,FALSE)</f>
        <v>5ht2c_human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67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INDEX(ICL3_classA!$G$2:$G$37,MATCH(MIN(ABS(AI79-ICL3_classA!$F$2:$F$37)),ABS(AI79-ICL3_classA!$F$2:$F$37),0))</f>
        <v>76</v>
      </c>
      <c r="U79" s="1">
        <f t="array" ref="U79">INDEX(ICL3_classA!$H$2:$H$37,MATCH(MIN(ABS(AI79-ICL3_classA!$F$2:$F$37)),ABS(AI79-ICL3_classA!$F$2:$F$37),0))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21</v>
      </c>
      <c r="AE79" s="1">
        <f>VLOOKUP(A79,'SegEnds_NonXtal_Prot#'!A:AL,16,FALSE)-VLOOKUP(A79,'SegEnds_NonXtal_Prot#'!A:AL,10,FALSE)</f>
        <v>53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61</v>
      </c>
      <c r="AH79" s="1">
        <f>VLOOKUP(A79,'SegEnds_NonXtal_Prot#'!A:AL,28,FALSE)-VLOOKUP(A79,'SegEnds_NonXtal_Prot#'!A:AL,22,FALSE)</f>
        <v>87</v>
      </c>
      <c r="AI79" s="1">
        <f>VLOOKUP(A79,'SegEnds_NonXtal_Prot#'!A:AL,31,FALSE)-VLOOKUP(A79,'SegEnds_NonXtal_Prot#'!A:AL,28,FALSE)</f>
        <v>67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73</v>
      </c>
      <c r="U80" s="1">
        <f t="array" ref="U80">INDEX(ICL3_classA!$H$2:$H$37,MATCH(MIN(ABS(AI80-ICL3_classA!$F$2:$F$37)),ABS(AI80-ICL3_classA!$F$2:$F$37),0))</f>
        <v>22</v>
      </c>
      <c r="V80" s="1">
        <v>61</v>
      </c>
      <c r="W80" s="1">
        <v>31</v>
      </c>
      <c r="X80" s="108"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20</v>
      </c>
      <c r="AH80" s="1">
        <f>VLOOKUP(A80,'SegEnds_NonXtal_Prot#'!A:AL,28,FALSE)-VLOOKUP(A80,'SegEnds_NonXtal_Prot#'!A:AL,22,FALSE)</f>
        <v>51</v>
      </c>
      <c r="AI80" s="1">
        <f>VLOOKUP(A80,'SegEnds_NonXtal_Prot#'!A:AL,31,FALSE)-VLOOKUP(A80,'SegEnds_NonXtal_Prot#'!A:AL,28,FALSE)</f>
        <v>55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280</v>
      </c>
      <c r="B81" s="1" t="str">
        <f>VLOOKUP(A81,Xtal_Templ!A:B,2,FALSE)</f>
        <v>acm5_human</v>
      </c>
      <c r="C81" s="5">
        <f>VLOOKUP($B81&amp;"__wt",'SegEnds_Xtal_BW#'!$A:$Z,3,FALSE)</f>
        <v>28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68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7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INDEX(ICL3_classA!$G$2:$G$37,MATCH(MIN(ABS(AI81-ICL3_classA!$F$2:$F$37)),ABS(AI81-ICL3_classA!$F$2:$F$37),0))</f>
        <v>75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21</v>
      </c>
      <c r="AG81" s="1">
        <f>VLOOKUP(A81,'SegEnds_NonXtal_Prot#'!A:AL,28,FALSE)-VLOOKUP(A81,'SegEnds_NonXtal_Prot#'!A:AL,25,FALSE)</f>
        <v>22</v>
      </c>
      <c r="AH81" s="1">
        <f>VLOOKUP(A81,'SegEnds_NonXtal_Prot#'!A:AL,28,FALSE)-VLOOKUP(A81,'SegEnds_NonXtal_Prot#'!A:AL,22,FALSE)</f>
        <v>50</v>
      </c>
      <c r="AI81" s="1">
        <f>VLOOKUP(A81,'SegEnds_NonXtal_Prot#'!A:AL,31,FALSE)-VLOOKUP(A81,'SegEnds_NonXtal_Prot#'!A:AL,28,FALSE)</f>
        <v>163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28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 t="e">
        <f>VLOOKUP(A82,'SegEnds_NonXtal_Prot#'!A:AL,13,FALSE)-VLOOKUP(A82,'SegEnds_NonXtal_Prot#'!A:AL,10,FALSE)</f>
        <v>#VALUE!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45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 t="e">
        <f>VLOOKUP(A83,'SegEnds_NonXtal_Prot#'!A:AL,13,FALSE)-VLOOKUP(A83,'SegEnds_NonXtal_Prot#'!A:AL,10,FALSE)</f>
        <v>#VALUE!</v>
      </c>
      <c r="AE83" s="1">
        <f>VLOOKUP(A83,'SegEnds_NonXtal_Prot#'!A:AL,16,FALSE)-VLOOKUP(A83,'SegEnds_NonXtal_Prot#'!A:AL,10,FALSE)</f>
        <v>59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24</v>
      </c>
      <c r="AH83" s="1">
        <f>VLOOKUP(A83,'SegEnds_NonXtal_Prot#'!A:AL,28,FALSE)-VLOOKUP(A83,'SegEnds_NonXtal_Prot#'!A:AL,22,FALSE)</f>
        <v>47</v>
      </c>
      <c r="AI83" s="1">
        <f>VLOOKUP(A83,'SegEnds_NonXtal_Prot#'!A:AL,31,FALSE)-VLOOKUP(A83,'SegEnds_NonXtal_Prot#'!A:AL,28,FALSE)</f>
        <v>45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28</v>
      </c>
      <c r="V84" s="1">
        <v>61</v>
      </c>
      <c r="W84" s="1">
        <v>31</v>
      </c>
      <c r="X84" s="108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59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26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45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8">
        <v>56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INDEX(ICL3_classA!$G$2:$G$37,MATCH(MIN(ABS(AI85-ICL3_classA!$F$2:$F$37)),ABS(AI85-ICL3_classA!$F$2:$F$37),0))</f>
        <v>73</v>
      </c>
      <c r="U85" s="1">
        <f t="array" ref="U85">INDEX(ICL3_classA!$H$2:$H$37,MATCH(MIN(ABS(AI85-ICL3_classA!$F$2:$F$37)),ABS(AI85-ICL3_classA!$F$2:$F$37),0))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19</v>
      </c>
      <c r="AG85" s="1" t="e">
        <f>VLOOKUP(A85,'SegEnds_NonXtal_Prot#'!A:AL,28,FALSE)-VLOOKUP(A85,'SegEnds_NonXtal_Prot#'!A:AL,25,FALSE)</f>
        <v>#VALUE!</v>
      </c>
      <c r="AH85" s="1">
        <f>VLOOKUP(A85,'SegEnds_NonXtal_Prot#'!A:AL,28,FALSE)-VLOOKUP(A85,'SegEnds_NonXtal_Prot#'!A:AL,22,FALSE)</f>
        <v>45</v>
      </c>
      <c r="AI85" s="1">
        <f>VLOOKUP(A85,'SegEnds_NonXtal_Prot#'!A:AL,31,FALSE)-VLOOKUP(A85,'SegEnds_NonXtal_Prot#'!A:AL,28,FALSE)</f>
        <v>56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INDEX(ICL3_classA!$G$2:$G$37,MATCH(MIN(ABS(AI86-ICL3_classA!$F$2:$F$37)),ABS(AI86-ICL3_classA!$F$2:$F$37),0))</f>
        <v>73</v>
      </c>
      <c r="U86" s="1">
        <f t="array" ref="U86">INDEX(ICL3_classA!$H$2:$H$37,MATCH(MIN(ABS(AI86-ICL3_classA!$F$2:$F$37)),ABS(AI86-ICL3_classA!$F$2:$F$37),0))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>
        <f>VLOOKUP(A86,'SegEnds_NonXtal_Prot#'!A:AL,13,FALSE)-VLOOKUP(A86,'SegEnds_NonXtal_Prot#'!A:AL,10,FALSE)</f>
        <v>18</v>
      </c>
      <c r="AE86" s="1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19</v>
      </c>
      <c r="AG86" s="1" t="e">
        <f>VLOOKUP(A86,'SegEnds_NonXtal_Prot#'!A:AL,28,FALSE)-VLOOKUP(A86,'SegEnds_NonXtal_Prot#'!A:AL,25,FALSE)</f>
        <v>#VALUE!</v>
      </c>
      <c r="AH86" s="1">
        <f>VLOOKUP(A86,'SegEnds_NonXtal_Prot#'!A:AL,28,FALSE)-VLOOKUP(A86,'SegEnds_NonXtal_Prot#'!A:AL,22,FALSE)</f>
        <v>45</v>
      </c>
      <c r="AI86" s="1">
        <f>VLOOKUP(A86,'SegEnds_NonXtal_Prot#'!A:AL,31,FALSE)-VLOOKUP(A86,'SegEnds_NonXtal_Prot#'!A:AL,28,FALSE)</f>
        <v>56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14</v>
      </c>
      <c r="AD87" s="1">
        <f>VLOOKUP(A87,'SegEnds_NonXtal_Prot#'!A:AL,13,FALSE)-VLOOKUP(A87,'SegEnds_NonXtal_Prot#'!A:AL,10,FALSE)</f>
        <v>28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47</v>
      </c>
      <c r="AI87" s="1">
        <f>VLOOKUP(A87,'SegEnds_NonXtal_Prot#'!A:AL,31,FALSE)-VLOOKUP(A87,'SegEnds_NonXtal_Prot#'!A:AL,28,FALSE)</f>
        <v>46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INDEX(ICL3_classA!$G$2:$G$37,MATCH(MIN(ABS(AI88-ICL3_classA!$F$2:$F$37)),ABS(AI88-ICL3_classA!$F$2:$F$37),0))</f>
        <v>73</v>
      </c>
      <c r="U88" s="1">
        <f t="array" ref="U88">INDEX(ICL3_classA!$H$2:$H$37,MATCH(MIN(ABS(AI88-ICL3_classA!$F$2:$F$37)),ABS(AI88-ICL3_classA!$F$2:$F$37),0))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 t="e">
        <f>VLOOKUP(A88,'SegEnds_NonXtal_Prot#'!A:AL,22,FALSE)-VLOOKUP(A88,'SegEnds_NonXtal_Prot#'!A:AL,19,FALSE)</f>
        <v>#VALUE!</v>
      </c>
      <c r="AG88" s="1">
        <f>VLOOKUP(A88,'SegEnds_NonXtal_Prot#'!A:AL,28,FALSE)-VLOOKUP(A88,'SegEnds_NonXtal_Prot#'!A:AL,25,FALSE)</f>
        <v>26</v>
      </c>
      <c r="AH88" s="1">
        <f>VLOOKUP(A88,'SegEnds_NonXtal_Prot#'!A:AL,28,FALSE)-VLOOKUP(A88,'SegEnds_NonXtal_Prot#'!A:AL,22,FALSE)</f>
        <v>52</v>
      </c>
      <c r="AI88" s="1">
        <f>VLOOKUP(A88,'SegEnds_NonXtal_Prot#'!A:AL,31,FALSE)-VLOOKUP(A88,'SegEnds_NonXtal_Prot#'!A:AL,28,FALSE)</f>
        <v>56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333</v>
      </c>
      <c r="B89" s="1" t="str">
        <f>VLOOKUP(A89,Xtal_Templ!A:B,2,FALSE)</f>
        <v>opsd_bovin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52</v>
      </c>
      <c r="AI89" s="1">
        <f>VLOOKUP(A89,'SegEnds_NonXtal_Prot#'!A:AL,31,FALSE)-VLOOKUP(A89,'SegEnds_NonXtal_Prot#'!A:AL,28,FALSE)</f>
        <v>64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8">
        <v>56</v>
      </c>
      <c r="O90" s="87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73</v>
      </c>
      <c r="U90" s="1">
        <f t="array" ref="U90">INDEX(ICL3_classA!$H$2:$H$37,MATCH(MIN(ABS(AI90-ICL3_classA!$F$2:$F$37)),ABS(AI90-ICL3_classA!$F$2:$F$37),0))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14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19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56</v>
      </c>
      <c r="AJ90" s="1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INDEX(ICL3_classA!$G$2:$G$37,MATCH(MIN(ABS(AI91-ICL3_classA!$F$2:$F$37)),ABS(AI91-ICL3_classA!$F$2:$F$37),0))</f>
        <v>72</v>
      </c>
      <c r="U91" s="1">
        <f t="array" ref="U91">INDEX(ICL3_classA!$H$2:$H$37,MATCH(MIN(ABS(AI91-ICL3_classA!$F$2:$F$37)),ABS(AI91-ICL3_classA!$F$2:$F$37),0))</f>
        <v>23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54</v>
      </c>
      <c r="AI91" s="1">
        <f>VLOOKUP(A91,'SegEnds_NonXtal_Prot#'!A:AL,31,FALSE)-VLOOKUP(A91,'SegEnds_NonXtal_Prot#'!A:AL,28,FALSE)</f>
        <v>52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919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23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28</v>
      </c>
      <c r="AH92" s="1">
        <f>VLOOKUP(A92,'SegEnds_NonXtal_Prot#'!A:AL,28,FALSE)-VLOOKUP(A92,'SegEnds_NonXtal_Prot#'!A:AL,22,FALSE)</f>
        <v>54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Xtal</v>
      </c>
    </row>
    <row r="93" spans="1:38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08">
        <f>VLOOKUP($B93&amp;"__wt",'SegEnds_Xtal_BW#'!$A:$Z,14,FALSE)</f>
        <v>56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72</v>
      </c>
      <c r="U93" s="1">
        <f t="array" ref="U93">INDEX(ICL3_classA!$H$2:$H$37,MATCH(MIN(ABS(AI93-ICL3_classA!$F$2:$F$37)),ABS(AI93-ICL3_classA!$F$2:$F$37),0))</f>
        <v>23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19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54</v>
      </c>
      <c r="AI93" s="1">
        <f>VLOOKUP(A93,'SegEnds_NonXtal_Prot#'!A:AL,31,FALSE)-VLOOKUP(A93,'SegEnds_NonXtal_Prot#'!A:AL,28,FALSE)</f>
        <v>52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Xtal</v>
      </c>
    </row>
    <row r="94" spans="1:38" x14ac:dyDescent="0.2">
      <c r="A94" s="1" t="s">
        <v>921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74</v>
      </c>
      <c r="U94" s="1">
        <f t="array" ref="U94">INDEX(ICL3_classA!$H$2:$H$37,MATCH(MIN(ABS(AI94-ICL3_classA!$F$2:$F$37)),ABS(AI94-ICL3_classA!$F$2:$F$37),0))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21</v>
      </c>
      <c r="AE94" s="1">
        <f>VLOOKUP(A94,'SegEnds_NonXtal_Prot#'!A:AL,16,FALSE)-VLOOKUP(A94,'SegEnds_NonXtal_Prot#'!A:AL,10,FALSE)</f>
        <v>53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26</v>
      </c>
      <c r="AH94" s="1">
        <f>VLOOKUP(A94,'SegEnds_NonXtal_Prot#'!A:AL,28,FALSE)-VLOOKUP(A94,'SegEnds_NonXtal_Prot#'!A:AL,22,FALSE)</f>
        <v>52</v>
      </c>
      <c r="AI94" s="1">
        <f>VLOOKUP(A94,'SegEnds_NonXtal_Prot#'!A:AL,31,FALSE)-VLOOKUP(A94,'SegEnds_NonXtal_Prot#'!A:AL,28,FALSE)</f>
        <v>64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72</v>
      </c>
      <c r="U95" s="1">
        <f t="array" ref="U95">INDEX(ICL3_classA!$H$2:$H$37,MATCH(MIN(ABS(AI95-ICL3_classA!$F$2:$F$37)),ABS(AI95-ICL3_classA!$F$2:$F$37),0))</f>
        <v>23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54</v>
      </c>
      <c r="AI95" s="1">
        <f>VLOOKUP(A95,'SegEnds_NonXtal_Prot#'!A:AL,31,FALSE)-VLOOKUP(A95,'SegEnds_NonXtal_Prot#'!A:AL,28,FALSE)</f>
        <v>52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341</v>
      </c>
      <c r="B96" s="1" t="str">
        <f>VLOOKUP(A96,Xtal_Templ!A:B,2,FALSE)</f>
        <v>opsd_human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INDEX(ICL3_classA!$G$2:$G$37,MATCH(MIN(ABS(AI96-ICL3_classA!$F$2:$F$37)),ABS(AI96-ICL3_classA!$F$2:$F$37),0))</f>
        <v>72</v>
      </c>
      <c r="U96" s="1">
        <f t="array" ref="U96">INDEX(ICL3_classA!$H$2:$H$37,MATCH(MIN(ABS(AI96-ICL3_classA!$F$2:$F$37)),ABS(AI96-ICL3_classA!$F$2:$F$37),0))</f>
        <v>23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>
        <f>VLOOKUP(A96,'SegEnds_NonXtal_Prot#'!A:AL,28,FALSE)-VLOOKUP(A96,'SegEnds_NonXtal_Prot#'!A:AL,25,FALSE)</f>
        <v>28</v>
      </c>
      <c r="AH96" s="1">
        <f>VLOOKUP(A96,'SegEnds_NonXtal_Prot#'!A:AL,28,FALSE)-VLOOKUP(A96,'SegEnds_NonXtal_Prot#'!A:AL,22,FALSE)</f>
        <v>54</v>
      </c>
      <c r="AI96" s="1">
        <f>VLOOKUP(A96,'SegEnds_NonXtal_Prot#'!A:AL,31,FALSE)-VLOOKUP(A96,'SegEnds_NonXtal_Prot#'!A:AL,28,FALSE)</f>
        <v>52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4" t="s">
        <v>344</v>
      </c>
      <c r="B97" s="4" t="str">
        <f>VLOOKUP(A97,Xtal_Templ!A:B,2,FALSE)</f>
        <v>ox1r_human</v>
      </c>
      <c r="C97" s="5">
        <f>VLOOKUP($B97&amp;"__wt",'SegEnds_Xtal_BW#'!$A:$Z,3,FALSE)</f>
        <v>32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88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33</v>
      </c>
      <c r="T97" s="4">
        <f t="array" ref="T97">INDEX(ICL3_classA!$G$2:$G$37,MATCH(MIN(ABS(AI97-ICL3_classA!$F$2:$F$37)),ABS(AI97-ICL3_classA!$F$2:$F$37),0))</f>
        <v>76</v>
      </c>
      <c r="U97" s="4">
        <f t="array" ref="U97">INDEX(ICL3_classA!$H$2:$H$37,MATCH(MIN(ABS(AI97-ICL3_classA!$F$2:$F$37)),ABS(AI97-ICL3_classA!$F$2:$F$37),0))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63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4">
        <f>VLOOKUP(A97,'SegEnds_NonXtal_Prot#'!A:AL,10,FALSE)-VLOOKUP(A97,'SegEnds_NonXtal_Prot#'!A:AL,7,FALSE)</f>
        <v>15</v>
      </c>
      <c r="AD97" s="4">
        <f>VLOOKUP(A97,'SegEnds_NonXtal_Prot#'!A:AL,13,FALSE)-VLOOKUP(A97,'SegEnds_NonXtal_Prot#'!A:AL,10,FALSE)</f>
        <v>18</v>
      </c>
      <c r="AE97" s="4">
        <f>VLOOKUP(A97,'SegEnds_NonXtal_Prot#'!A:AL,16,FALSE)-VLOOKUP(A97,'SegEnds_NonXtal_Prot#'!A:AL,10,FALSE)</f>
        <v>52</v>
      </c>
      <c r="AF97" s="1" t="e">
        <f>VLOOKUP(A97,'SegEnds_NonXtal_Prot#'!A:AL,22,FALSE)-VLOOKUP(A97,'SegEnds_NonXtal_Prot#'!A:AL,19,FALSE)</f>
        <v>#VALUE!</v>
      </c>
      <c r="AG97" s="4">
        <f>VLOOKUP(A97,'SegEnds_NonXtal_Prot#'!A:AL,28,FALSE)-VLOOKUP(A97,'SegEnds_NonXtal_Prot#'!A:AL,25,FALSE)</f>
        <v>25</v>
      </c>
      <c r="AH97" s="1">
        <f>VLOOKUP(A97,'SegEnds_NonXtal_Prot#'!A:AL,28,FALSE)-VLOOKUP(A97,'SegEnds_NonXtal_Prot#'!A:AL,22,FALSE)</f>
        <v>51</v>
      </c>
      <c r="AI97" s="4">
        <f>VLOOKUP(A97,'SegEnds_NonXtal_Prot#'!A:AL,31,FALSE)-VLOOKUP(A97,'SegEnds_NonXtal_Prot#'!A:AL,28,FALSE)</f>
        <v>78</v>
      </c>
      <c r="AJ97" s="4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361</v>
      </c>
      <c r="B98" s="1" t="str">
        <f>VLOOKUP(A98,Xtal_Templ!A:B,2,FALSE)</f>
        <v>ta2r_human</v>
      </c>
      <c r="C98" s="5">
        <f>VLOOKUP($B98&amp;"__wt",'SegEnds_Xtal_BW#'!$A:$Z,3,FALSE)</f>
        <v>35</v>
      </c>
      <c r="D98" s="108">
        <v>61</v>
      </c>
      <c r="E98" s="1" t="str">
        <f>VLOOKUP($B98&amp;"__wt",'SegEnds_Xtal_BW#'!$A:$Z,5,FALSE)</f>
        <v>-</v>
      </c>
      <c r="F98" s="1" t="str">
        <f>VLOOKUP($B98&amp;"__wt",'SegEnds_Xtal_BW#'!$A:$Z,6,FALSE)</f>
        <v>-</v>
      </c>
      <c r="G98" s="1">
        <v>37</v>
      </c>
      <c r="H98" s="12">
        <v>66</v>
      </c>
      <c r="I98" s="1">
        <f>VLOOKUP($B98&amp;"__wt",'SegEnds_Xtal_BW#'!$A:$Z,9,FALSE)</f>
        <v>49</v>
      </c>
      <c r="J98" s="1">
        <f>VLOOKUP($B98&amp;"__wt",'SegEnds_Xtal_BW#'!$A:$Z,10,FALSE)</f>
        <v>53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08">
        <v>50</v>
      </c>
      <c r="R98" s="108">
        <v>52</v>
      </c>
      <c r="S98" s="108">
        <v>31</v>
      </c>
      <c r="T98" s="1">
        <f t="array" ref="T98">INDEX(ICL3_classA!$G$2:$G$37,MATCH(MIN(ABS(AI98-ICL3_classA!$F$2:$F$37)),ABS(AI98-ICL3_classA!$F$2:$F$37),0))</f>
        <v>74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66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34</v>
      </c>
      <c r="AC98" s="1">
        <f>VLOOKUP(A98,'SegEnds_NonXtal_Prot#'!A:AL,10,FALSE)-VLOOKUP(A98,'SegEnds_NonXtal_Prot#'!A:AL,7,FALSE)</f>
        <v>20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51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28</v>
      </c>
      <c r="AH98" s="1">
        <f>VLOOKUP(A98,'SegEnds_NonXtal_Prot#'!A:AL,28,FALSE)-VLOOKUP(A98,'SegEnds_NonXtal_Prot#'!A:AL,22,FALSE)</f>
        <v>54</v>
      </c>
      <c r="AI98" s="1">
        <f>VLOOKUP(A98,'SegEnds_NonXtal_Prot#'!A:AL,31,FALSE)-VLOOKUP(A98,'SegEnds_NonXtal_Prot#'!A:AL,28,FALSE)</f>
        <v>96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INDEX(ICL3_classA!$G$2:$G$37,MATCH(MIN(ABS(AI99-ICL3_classA!$F$2:$F$37)),ABS(AI99-ICL3_classA!$F$2:$F$37),0))</f>
        <v>76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24</v>
      </c>
      <c r="AH99" s="1">
        <f>VLOOKUP(A99,'SegEnds_NonXtal_Prot#'!A:AL,28,FALSE)-VLOOKUP(A99,'SegEnds_NonXtal_Prot#'!A:AL,22,FALSE)</f>
        <v>53</v>
      </c>
      <c r="AI99" s="1">
        <f>VLOOKUP(A99,'SegEnds_NonXtal_Prot#'!A:AL,31,FALSE)-VLOOKUP(A99,'SegEnds_NonXtal_Prot#'!A:AL,28,FALSE)</f>
        <v>78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14</v>
      </c>
      <c r="AD100" s="1">
        <f>VLOOKUP(A100,'SegEnds_NonXtal_Prot#'!A:AL,13,FALSE)-VLOOKUP(A100,'SegEnds_NonXtal_Prot#'!A:AL,10,FALSE)</f>
        <v>28</v>
      </c>
      <c r="AE100" s="1">
        <f>VLOOKUP(A100,'SegEnds_NonXtal_Prot#'!A:AL,16,FALSE)-VLOOKUP(A100,'SegEnds_NonXtal_Prot#'!A:AL,10,FALSE)</f>
        <v>59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24</v>
      </c>
      <c r="AH100" s="1">
        <f>VLOOKUP(A100,'SegEnds_NonXtal_Prot#'!A:AL,28,FALSE)-VLOOKUP(A100,'SegEnds_NonXtal_Prot#'!A:AL,22,FALSE)</f>
        <v>47</v>
      </c>
      <c r="AI100" s="1">
        <f>VLOOKUP(A100,'SegEnds_NonXtal_Prot#'!A:AL,31,FALSE)-VLOOKUP(A100,'SegEnds_NonXtal_Prot#'!A:AL,28,FALSE)</f>
        <v>46</v>
      </c>
      <c r="AJ100" s="1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08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INDEX(ICL3_classA!$G$2:$G$37,MATCH(MIN(ABS(AI101-ICL3_classA!$F$2:$F$37)),ABS(AI101-ICL3_classA!$F$2:$F$37),0))</f>
        <v>76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62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30</v>
      </c>
      <c r="AC101" s="1">
        <f>VLOOKUP(A101,'SegEnds_NonXtal_Prot#'!A:AL,10,FALSE)-VLOOKUP(A101,'SegEnds_NonXtal_Prot#'!A:AL,7,FALSE)</f>
        <v>16</v>
      </c>
      <c r="AD101" s="1">
        <f>VLOOKUP(A101,'SegEnds_NonXtal_Prot#'!A:AL,13,FALSE)-VLOOKUP(A101,'SegEnds_NonXtal_Prot#'!A:AL,10,FALSE)</f>
        <v>18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25</v>
      </c>
      <c r="AH101" s="1">
        <f>VLOOKUP(A101,'SegEnds_NonXtal_Prot#'!A:AL,28,FALSE)-VLOOKUP(A101,'SegEnds_NonXtal_Prot#'!A:AL,22,FALSE)</f>
        <v>53</v>
      </c>
      <c r="AI101" s="1">
        <f>VLOOKUP(A101,'SegEnds_NonXtal_Prot#'!A:AL,31,FALSE)-VLOOKUP(A101,'SegEnds_NonXtal_Prot#'!A:AL,28,FALSE)</f>
        <v>69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60</v>
      </c>
      <c r="W102" s="1">
        <v>31</v>
      </c>
      <c r="X102" s="124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46</v>
      </c>
      <c r="AI102" s="1">
        <f>VLOOKUP(A102,'SegEnds_NonXtal_Prot#'!A:AL,31,FALSE)-VLOOKUP(A102,'SegEnds_NonXtal_Prot#'!A:AL,28,FALSE)</f>
        <v>153</v>
      </c>
      <c r="AJ102" s="1">
        <f>VLOOKUP(A102,'SegEnds_NonXtal_Prot#'!A:AL,34,FALSE)-VLOOKUP(A102,'SegEnds_NonXtal_Prot#'!A:AL,31,FALSE)</f>
        <v>37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28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60</v>
      </c>
      <c r="W103" s="1">
        <v>31</v>
      </c>
      <c r="X103" s="124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21</v>
      </c>
      <c r="AH103" s="1">
        <f>VLOOKUP(A103,'SegEnds_NonXtal_Prot#'!A:AL,28,FALSE)-VLOOKUP(A103,'SegEnds_NonXtal_Prot#'!A:AL,22,FALSE)</f>
        <v>46</v>
      </c>
      <c r="AI103" s="1">
        <f>VLOOKUP(A103,'SegEnds_NonXtal_Prot#'!A:AL,31,FALSE)-VLOOKUP(A103,'SegEnds_NonXtal_Prot#'!A:AL,28,FALSE)</f>
        <v>109</v>
      </c>
      <c r="AJ103" s="1">
        <f>VLOOKUP(A103,'SegEnds_NonXtal_Prot#'!A:AL,34,FALSE)-VLOOKUP(A103,'SegEnds_NonXtal_Prot#'!A:AL,31,FALSE)</f>
        <v>37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74</v>
      </c>
      <c r="U104" s="1">
        <f t="array" ref="U104">INDEX(ICL3_classA!$H$2:$H$37,MATCH(MIN(ABS(AI104-ICL3_classA!$F$2:$F$37)),ABS(AI104-ICL3_classA!$F$2:$F$37),0))</f>
        <v>24</v>
      </c>
      <c r="V104" s="1">
        <v>60</v>
      </c>
      <c r="W104" s="1">
        <v>31</v>
      </c>
      <c r="X104" s="124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21</v>
      </c>
      <c r="AH104" s="1">
        <f>VLOOKUP(A104,'SegEnds_NonXtal_Prot#'!A:AL,28,FALSE)-VLOOKUP(A104,'SegEnds_NonXtal_Prot#'!A:AL,22,FALSE)</f>
        <v>46</v>
      </c>
      <c r="AI104" s="1">
        <f>VLOOKUP(A104,'SegEnds_NonXtal_Prot#'!A:AL,31,FALSE)-VLOOKUP(A104,'SegEnds_NonXtal_Prot#'!A:AL,28,FALSE)</f>
        <v>107</v>
      </c>
      <c r="AJ104" s="1">
        <f>VLOOKUP(A104,'SegEnds_NonXtal_Prot#'!A:AL,34,FALSE)-VLOOKUP(A104,'SegEnds_NonXtal_Prot#'!A:AL,31,FALSE)</f>
        <v>37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7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INDEX(ICL3_classA!$G$2:$G$37,MATCH(MIN(ABS(AI105-ICL3_classA!$F$2:$F$37)),ABS(AI105-ICL3_classA!$F$2:$F$37),0))</f>
        <v>74</v>
      </c>
      <c r="U105" s="1">
        <f t="array" ref="U105">INDEX(ICL3_classA!$H$2:$H$37,MATCH(MIN(ABS(AI105-ICL3_classA!$F$2:$F$37)),ABS(AI105-ICL3_classA!$F$2:$F$37),0))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50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23</v>
      </c>
      <c r="AH105" s="1">
        <f>VLOOKUP(A105,'SegEnds_NonXtal_Prot#'!A:AL,28,FALSE)-VLOOKUP(A105,'SegEnds_NonXtal_Prot#'!A:AL,22,FALSE)</f>
        <v>60</v>
      </c>
      <c r="AI105" s="1">
        <f>VLOOKUP(A105,'SegEnds_NonXtal_Prot#'!A:AL,31,FALSE)-VLOOKUP(A105,'SegEnds_NonXtal_Prot#'!A:AL,28,FALSE)</f>
        <v>59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157</v>
      </c>
      <c r="B107" s="1" t="str">
        <f>VLOOKUP(A107,Xtal_Templ!A:B,2,FALSE)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212</v>
      </c>
      <c r="B108" s="1" t="str">
        <f>VLOOKUP(A108,Xtal_Templ!A:B,2,FALSE)</f>
        <v>5ht2c_human</v>
      </c>
      <c r="C108" s="5">
        <f>VLOOKUP($B108&amp;"__wt",'SegEnds_Xtal_BW#'!$A:$Z,3,FALSE)</f>
        <v>33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67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75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60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48</v>
      </c>
      <c r="AI108" s="1">
        <f>VLOOKUP(A108,'SegEnds_NonXtal_Prot#'!A:AL,31,FALSE)-VLOOKUP(A108,'SegEnds_NonXtal_Prot#'!A:AL,28,FALSE)</f>
        <v>210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266</v>
      </c>
      <c r="B109" s="1" t="str">
        <f>VLOOKUP(A109,Xtal_Templ!A:B,2,FALSE)</f>
        <v>adrb2_human</v>
      </c>
      <c r="C109" s="5">
        <f>VLOOKUP($B109&amp;"__wt",'SegEnds_Xtal_BW#'!$A:$Z,3,FALSE)</f>
        <v>25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57</v>
      </c>
      <c r="O109" s="87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55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30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53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25</v>
      </c>
      <c r="AH109" s="1">
        <f>VLOOKUP(A109,'SegEnds_NonXtal_Prot#'!A:AL,28,FALSE)-VLOOKUP(A109,'SegEnds_NonXtal_Prot#'!A:AL,22,FALSE)</f>
        <v>45</v>
      </c>
      <c r="AI109" s="1">
        <f>VLOOKUP(A109,'SegEnds_NonXtal_Prot#'!A:AL,31,FALSE)-VLOOKUP(A109,'SegEnds_NonXtal_Prot#'!A:AL,28,FALSE)</f>
        <v>122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28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7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21</v>
      </c>
      <c r="AG110" s="1">
        <f>VLOOKUP(A110,'SegEnds_NonXtal_Prot#'!A:AL,28,FALSE)-VLOOKUP(A110,'SegEnds_NonXtal_Prot#'!A:AL,25,FALSE)</f>
        <v>22</v>
      </c>
      <c r="AH110" s="1">
        <f>VLOOKUP(A110,'SegEnds_NonXtal_Prot#'!A:AL,28,FALSE)-VLOOKUP(A110,'SegEnds_NonXtal_Prot#'!A:AL,22,FALSE)</f>
        <v>46</v>
      </c>
      <c r="AI110" s="1">
        <f>VLOOKUP(A110,'SegEnds_NonXtal_Prot#'!A:AL,31,FALSE)-VLOOKUP(A110,'SegEnds_NonXtal_Prot#'!A:AL,28,FALSE)</f>
        <v>132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31</v>
      </c>
      <c r="AC111" s="1">
        <f>VLOOKUP(A111,'SegEnds_NonXtal_Prot#'!A:AL,10,FALSE)-VLOOKUP(A111,'SegEnds_NonXtal_Prot#'!A:AL,7,FALSE)</f>
        <v>18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26</v>
      </c>
      <c r="AH111" s="1">
        <f>VLOOKUP(A111,'SegEnds_NonXtal_Prot#'!A:AL,28,FALSE)-VLOOKUP(A111,'SegEnds_NonXtal_Prot#'!A:AL,22,FALSE)</f>
        <v>52</v>
      </c>
      <c r="AI111" s="1">
        <f>VLOOKUP(A111,'SegEnds_NonXtal_Prot#'!A:AL,31,FALSE)-VLOOKUP(A111,'SegEnds_NonXtal_Prot#'!A:AL,28,FALSE)</f>
        <v>51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INDEX(ICL3_classA!$G$2:$G$37,MATCH(MIN(ABS(AI112-ICL3_classA!$F$2:$F$37)),ABS(AI112-ICL3_classA!$F$2:$F$37),0))</f>
        <v>73</v>
      </c>
      <c r="U112" s="1">
        <f t="array" ref="U112">INDEX(ICL3_classA!$H$2:$H$37,MATCH(MIN(ABS(AI112-ICL3_classA!$F$2:$F$37)),ABS(AI112-ICL3_classA!$F$2:$F$37),0))</f>
        <v>22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51</v>
      </c>
      <c r="AI112" s="1">
        <f>VLOOKUP(A112,'SegEnds_NonXtal_Prot#'!A:AL,31,FALSE)-VLOOKUP(A112,'SegEnds_NonXtal_Prot#'!A:AL,28,FALSE)</f>
        <v>57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28</v>
      </c>
      <c r="V113" s="1">
        <v>61</v>
      </c>
      <c r="W113" s="1">
        <v>31</v>
      </c>
      <c r="X113" s="108"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27</v>
      </c>
      <c r="AC113" s="1" t="e">
        <f>VLOOKUP(A113,'SegEnds_NonXtal_Prot#'!A:AL,10,FALSE)-VLOOKUP(A113,'SegEnds_NonXtal_Prot#'!A:AL,7,FALSE)</f>
        <v>#VALUE!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20</v>
      </c>
      <c r="AG113" s="1" t="e">
        <f>VLOOKUP(A113,'SegEnds_NonXtal_Prot#'!A:AL,28,FALSE)-VLOOKUP(A113,'SegEnds_NonXtal_Prot#'!A:AL,25,FALSE)</f>
        <v>#VALUE!</v>
      </c>
      <c r="AH113" s="1">
        <f>VLOOKUP(A113,'SegEnds_NonXtal_Prot#'!A:AL,28,FALSE)-VLOOKUP(A113,'SegEnds_NonXtal_Prot#'!A:AL,22,FALSE)</f>
        <v>42</v>
      </c>
      <c r="AI113" s="1">
        <f>VLOOKUP(A113,'SegEnds_NonXtal_Prot#'!A:AL,31,FALSE)-VLOOKUP(A113,'SegEnds_NonXtal_Prot#'!A:AL,28,FALSE)</f>
        <v>44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365</v>
      </c>
      <c r="B114" s="1" t="str">
        <f>VLOOKUP(A114,Xtal_Templ!A:B,2,FALSE)</f>
        <v>ta2r_human</v>
      </c>
      <c r="C114" s="5">
        <f>VLOOKUP($B114&amp;"__wt",'SegEnds_Xtal_BW#'!$A:$Z,3,FALSE)</f>
        <v>35</v>
      </c>
      <c r="D114" s="108">
        <v>61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63</v>
      </c>
      <c r="Q114" s="108">
        <v>50</v>
      </c>
      <c r="R114" s="108">
        <v>52</v>
      </c>
      <c r="S114" s="1">
        <v>35</v>
      </c>
      <c r="T114" s="1">
        <f t="array" ref="T114">INDEX(ICL3_classA!$G$2:$G$37,MATCH(MIN(ABS(AI114-ICL3_classA!$F$2:$F$37)),ABS(AI114-ICL3_classA!$F$2:$F$37),0))</f>
        <v>72</v>
      </c>
      <c r="U114" s="1">
        <f t="array" ref="U114">INDEX(ICL3_classA!$H$2:$H$37,MATCH(MIN(ABS(AI114-ICL3_classA!$F$2:$F$37)),ABS(AI114-ICL3_classA!$F$2:$F$37),0))</f>
        <v>29</v>
      </c>
      <c r="V114" s="1">
        <v>61</v>
      </c>
      <c r="W114" s="1">
        <v>31</v>
      </c>
      <c r="X114" s="108">
        <v>56</v>
      </c>
      <c r="Y114" s="108">
        <v>47</v>
      </c>
      <c r="Z114" s="1">
        <f>VLOOKUP($B114&amp;"__wt",'SegEnds_Xtal_BW#'!$A:$Z,26,FALSE)</f>
        <v>66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33</v>
      </c>
      <c r="AC114" s="1">
        <f>VLOOKUP(A114,'SegEnds_NonXtal_Prot#'!A:AL,10,FALSE)-VLOOKUP(A114,'SegEnds_NonXtal_Prot#'!A:AL,7,FALSE)</f>
        <v>19</v>
      </c>
      <c r="AD114" s="1">
        <f>VLOOKUP(A114,'SegEnds_NonXtal_Prot#'!A:AL,13,FALSE)-VLOOKUP(A114,'SegEnds_NonXtal_Prot#'!A:AL,10,FALSE)</f>
        <v>21</v>
      </c>
      <c r="AE114" s="1">
        <f>VLOOKUP(A114,'SegEnds_NonXtal_Prot#'!A:AL,16,FALSE)-VLOOKUP(A114,'SegEnds_NonXtal_Prot#'!A:AL,10,FALSE)</f>
        <v>56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54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08">
        <f>VLOOKUP($B115&amp;"__wt",'SegEnds_Xtal_BW#'!$A:$Z,14,FALSE)</f>
        <v>56</v>
      </c>
      <c r="O115" s="87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INDEX(ICL3_classA!$G$2:$G$37,MATCH(MIN(ABS(AI115-ICL3_classA!$F$2:$F$37)),ABS(AI115-ICL3_classA!$F$2:$F$37),0))</f>
        <v>73</v>
      </c>
      <c r="U115" s="4">
        <f t="array" ref="U115">INDEX(ICL3_classA!$H$2:$H$37,MATCH(MIN(ABS(AI115-ICL3_classA!$F$2:$F$37)),ABS(AI115-ICL3_classA!$F$2:$F$37),0))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4">
        <f>VLOOKUP(A115,'SegEnds_NonXtal_Prot#'!A:AL,10,FALSE)-VLOOKUP(A115,'SegEnds_NonXtal_Prot#'!A:AL,7,FALSE)</f>
        <v>15</v>
      </c>
      <c r="AD115" s="4">
        <f>VLOOKUP(A115,'SegEnds_NonXtal_Prot#'!A:AL,13,FALSE)-VLOOKUP(A115,'SegEnds_NonXtal_Prot#'!A:AL,10,FALSE)</f>
        <v>18</v>
      </c>
      <c r="AE115" s="4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19</v>
      </c>
      <c r="AG115" s="4" t="e">
        <f>VLOOKUP(A115,'SegEnds_NonXtal_Prot#'!A:AL,28,FALSE)-VLOOKUP(A115,'SegEnds_NonXtal_Prot#'!A:AL,25,FALSE)</f>
        <v>#VALUE!</v>
      </c>
      <c r="AH115" s="1">
        <f>VLOOKUP(A115,'SegEnds_NonXtal_Prot#'!A:AL,28,FALSE)-VLOOKUP(A115,'SegEnds_NonXtal_Prot#'!A:AL,22,FALSE)</f>
        <v>45</v>
      </c>
      <c r="AI115" s="4">
        <f>VLOOKUP(A115,'SegEnds_NonXtal_Prot#'!A:AL,31,FALSE)-VLOOKUP(A115,'SegEnds_NonXtal_Prot#'!A:AL,28,FALSE)</f>
        <v>58</v>
      </c>
      <c r="AJ115" s="4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56</v>
      </c>
      <c r="O116" s="87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INDEX(ICL3_classA!$G$2:$G$37,MATCH(MIN(ABS(AI116-ICL3_classA!$F$2:$F$37)),ABS(AI116-ICL3_classA!$F$2:$F$37),0))</f>
        <v>67</v>
      </c>
      <c r="U116" s="1">
        <f t="array" ref="U116">INDEX(ICL3_classA!$H$2:$H$37,MATCH(MIN(ABS(AI116-ICL3_classA!$F$2:$F$37)),ABS(AI116-ICL3_classA!$F$2:$F$37),0))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18</v>
      </c>
      <c r="AE116" s="1">
        <f>VLOOKUP(A116,'SegEnds_NonXtal_Prot#'!A:AL,16,FALSE)-VLOOKUP(A116,'SegEnds_NonXtal_Prot#'!A:AL,10,FALSE)</f>
        <v>51</v>
      </c>
      <c r="AF116" s="1">
        <f>VLOOKUP(A116,'SegEnds_NonXtal_Prot#'!A:AL,22,FALSE)-VLOOKUP(A116,'SegEnds_NonXtal_Prot#'!A:AL,19,FALSE)</f>
        <v>19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45</v>
      </c>
      <c r="AI116" s="1">
        <f>VLOOKUP(A116,'SegEnds_NonXtal_Prot#'!A:AL,31,FALSE)-VLOOKUP(A116,'SegEnds_NonXtal_Prot#'!A:AL,28,FALSE)</f>
        <v>47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08">
        <v>56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18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19</v>
      </c>
      <c r="AG117" s="1" t="e">
        <f>VLOOKUP(A117,'SegEnds_NonXtal_Prot#'!A:AL,28,FALSE)-VLOOKUP(A117,'SegEnds_NonXtal_Prot#'!A:AL,25,FALSE)</f>
        <v>#VALUE!</v>
      </c>
      <c r="AH117" s="1">
        <f>VLOOKUP(A117,'SegEnds_NonXtal_Prot#'!A:AL,28,FALSE)-VLOOKUP(A117,'SegEnds_NonXtal_Prot#'!A:AL,22,FALSE)</f>
        <v>45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08">
        <v>56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INDEX(ICL3_classA!$G$2:$G$37,MATCH(MIN(ABS(AI118-ICL3_classA!$F$2:$F$37)),ABS(AI118-ICL3_classA!$F$2:$F$37),0))</f>
        <v>74</v>
      </c>
      <c r="U118" s="1">
        <f t="array" ref="U118">INDEX(ICL3_classA!$H$2:$H$37,MATCH(MIN(ABS(AI118-ICL3_classA!$F$2:$F$37)),ABS(AI118-ICL3_classA!$F$2:$F$37),0))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18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1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1">
        <f>VLOOKUP(A118,'SegEnds_NonXtal_Prot#'!A:AL,31,FALSE)-VLOOKUP(A118,'SegEnds_NonXtal_Prot#'!A:AL,28,FALSE)</f>
        <v>62</v>
      </c>
      <c r="AJ118" s="1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31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INDEX(ICL3_classA!$G$2:$G$37,MATCH(MIN(ABS(AI119-ICL3_classA!$F$2:$F$37)),ABS(AI119-ICL3_classA!$F$2:$F$37),0))</f>
        <v>76</v>
      </c>
      <c r="U119" s="1">
        <f t="array" ref="U119">INDEX(ICL3_classA!$H$2:$H$37,MATCH(MIN(ABS(AI119-ICL3_classA!$F$2:$F$37)),ABS(AI119-ICL3_classA!$F$2:$F$37),0))</f>
        <v>24</v>
      </c>
      <c r="V119" s="1">
        <v>61</v>
      </c>
      <c r="W119" s="131">
        <v>27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53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22</v>
      </c>
      <c r="AH119" s="1">
        <f>VLOOKUP(A119,'SegEnds_NonXtal_Prot#'!A:AL,28,FALSE)-VLOOKUP(A119,'SegEnds_NonXtal_Prot#'!A:AL,22,FALSE)</f>
        <v>49</v>
      </c>
      <c r="AI119" s="1">
        <f>VLOOKUP(A119,'SegEnds_NonXtal_Prot#'!A:AL,31,FALSE)-VLOOKUP(A119,'SegEnds_NonXtal_Prot#'!A:AL,28,FALSE)</f>
        <v>110</v>
      </c>
      <c r="AJ119" s="1">
        <f>VLOOKUP(A119,'SegEnds_NonXtal_Prot#'!A:AL,34,FALSE)-VLOOKUP(A119,'SegEnds_NonXtal_Prot#'!A:AL,31,FALSE)</f>
        <v>38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INDEX(ICL3_classA!$G$2:$G$37,MATCH(MIN(ABS(AI120-ICL3_classA!$F$2:$F$37)),ABS(AI120-ICL3_classA!$F$2:$F$37),0))</f>
        <v>73</v>
      </c>
      <c r="U120" s="1">
        <f t="array" ref="U120">INDEX(ICL3_classA!$H$2:$H$37,MATCH(MIN(ABS(AI120-ICL3_classA!$F$2:$F$37)),ABS(AI120-ICL3_classA!$F$2:$F$37),0))</f>
        <v>22</v>
      </c>
      <c r="V120" s="1">
        <v>61</v>
      </c>
      <c r="W120" s="131">
        <f>VLOOKUP($B120&amp;"__wt",'SegEnds_Xtal_BW#'!$A:$Z,23,FALSE)</f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23</v>
      </c>
      <c r="AH120" s="1">
        <f>VLOOKUP(A120,'SegEnds_NonXtal_Prot#'!A:AL,28,FALSE)-VLOOKUP(A120,'SegEnds_NonXtal_Prot#'!A:AL,22,FALSE)</f>
        <v>64</v>
      </c>
      <c r="AI120" s="1">
        <f>VLOOKUP(A120,'SegEnds_NonXtal_Prot#'!A:AL,31,FALSE)-VLOOKUP(A120,'SegEnds_NonXtal_Prot#'!A:AL,28,FALSE)</f>
        <v>55</v>
      </c>
      <c r="AJ120" s="1">
        <f>VLOOKUP(A120,'SegEnds_NonXtal_Prot#'!A:AL,34,FALSE)-VLOOKUP(A120,'SegEnds_NonXtal_Prot#'!A:AL,31,FALSE)</f>
        <v>38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INDEX(ICL3_classA!$G$2:$G$37,MATCH(MIN(ABS(AI121-ICL3_classA!$F$2:$F$37)),ABS(AI121-ICL3_classA!$F$2:$F$37),0))</f>
        <v>68</v>
      </c>
      <c r="U121" s="1">
        <f t="array" ref="U121">INDEX(ICL3_classA!$H$2:$H$37,MATCH(MIN(ABS(AI121-ICL3_classA!$F$2:$F$37)),ABS(AI121-ICL3_classA!$F$2:$F$37),0))</f>
        <v>30</v>
      </c>
      <c r="V121" s="1">
        <v>61</v>
      </c>
      <c r="W121" s="108">
        <v>25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43</v>
      </c>
      <c r="AH121" s="1">
        <f>VLOOKUP(A121,'SegEnds_NonXtal_Prot#'!A:AL,28,FALSE)-VLOOKUP(A121,'SegEnds_NonXtal_Prot#'!A:AL,22,FALSE)</f>
        <v>68</v>
      </c>
      <c r="AI121" s="1">
        <f>VLOOKUP(A121,'SegEnds_NonXtal_Prot#'!A:AL,31,FALSE)-VLOOKUP(A121,'SegEnds_NonXtal_Prot#'!A:AL,28,FALSE)</f>
        <v>43</v>
      </c>
      <c r="AJ121" s="1">
        <f>VLOOKUP(A121,'SegEnds_NonXtal_Prot#'!A:AL,34,FALSE)-VLOOKUP(A121,'SegEnds_NonXtal_Prot#'!A:AL,31,FALSE)</f>
        <v>38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31">
        <f>VLOOKUP($B122&amp;"__wt",'SegEnds_Xtal_BW#'!$A:$Z,23,FALSE)</f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30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25</v>
      </c>
      <c r="AH122" s="1">
        <f>VLOOKUP(A122,'SegEnds_NonXtal_Prot#'!A:AL,28,FALSE)-VLOOKUP(A122,'SegEnds_NonXtal_Prot#'!A:AL,22,FALSE)</f>
        <v>52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23</v>
      </c>
      <c r="V123" s="1">
        <v>61</v>
      </c>
      <c r="W123" s="131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24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52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31">
        <f>VLOOKUP($B124&amp;"__wt",'SegEnds_Xtal_BW#'!$A:$Z,23,FALSE)</f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33</v>
      </c>
      <c r="AC124" s="1">
        <f>VLOOKUP(A124,'SegEnds_NonXtal_Prot#'!A:AL,10,FALSE)-VLOOKUP(A124,'SegEnds_NonXtal_Prot#'!A:AL,7,FALSE)</f>
        <v>19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54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INDEX(ICL3_classA!$G$2:$G$37,MATCH(MIN(ABS(AI125-ICL3_classA!$F$2:$F$37)),ABS(AI125-ICL3_classA!$F$2:$F$37),0))</f>
        <v>74</v>
      </c>
      <c r="U125" s="1">
        <f t="array" ref="U125">INDEX(ICL3_classA!$H$2:$H$37,MATCH(MIN(ABS(AI125-ICL3_classA!$F$2:$F$37)),ABS(AI125-ICL3_classA!$F$2:$F$37),0))</f>
        <v>21</v>
      </c>
      <c r="V125" s="1">
        <v>61</v>
      </c>
      <c r="W125" s="108">
        <v>25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34</v>
      </c>
      <c r="AC125" s="1">
        <f>VLOOKUP(A125,'SegEnds_NonXtal_Prot#'!A:AL,10,FALSE)-VLOOKUP(A125,'SegEnds_NonXtal_Prot#'!A:AL,7,FALSE)</f>
        <v>14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18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59</v>
      </c>
      <c r="AI125" s="1">
        <f>VLOOKUP(A125,'SegEnds_NonXtal_Prot#'!A:AL,31,FALSE)-VLOOKUP(A125,'SegEnds_NonXtal_Prot#'!A:AL,28,FALSE)</f>
        <v>59</v>
      </c>
      <c r="AJ125" s="1">
        <f>VLOOKUP(A125,'SegEnds_NonXtal_Prot#'!A:AL,34,FALSE)-VLOOKUP(A125,'SegEnds_NonXtal_Prot#'!A:AL,31,FALSE)</f>
        <v>38</v>
      </c>
      <c r="AK125" s="1" t="e">
        <f>VLOOKUP(A125,'SegEnds_NonXtal_Prot#'!A:AL,37,FALSE)-VLOOKUP(A125,'SegEnds_NonXtal_Prot#'!A:AL,34,FALSE)</f>
        <v>#VALUE!</v>
      </c>
      <c r="AL125" s="1" t="str">
        <f>IF(ISERROR(MATCH(A125,'SegEnds_Xtal_Prot#'!B:B, 0)), "NoXtal", "Xtal")</f>
        <v>NoXtal</v>
      </c>
    </row>
    <row r="126" spans="1:38" x14ac:dyDescent="0.2">
      <c r="A126" s="1" t="s">
        <v>215</v>
      </c>
      <c r="B126" s="1" t="str">
        <f>VLOOKUP(A126,Xtal_Templ!A:B,2,FALSE)</f>
        <v>mtr1a_human</v>
      </c>
      <c r="C126" s="5">
        <f>VLOOKUP($B126&amp;"__wt",'SegEnds_Xtal_BW#'!$A:$Z,3,FALSE)</f>
        <v>28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68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35</v>
      </c>
      <c r="T126" s="1">
        <f t="array" ref="T126">INDEX(ICL3_classA!$G$2:$G$37,MATCH(MIN(ABS(AI126-ICL3_classA!$F$2:$F$37)),ABS(AI126-ICL3_classA!$F$2:$F$37),0))</f>
        <v>73</v>
      </c>
      <c r="U126" s="1">
        <f t="array" ref="U126">INDEX(ICL3_classA!$H$2:$H$37,MATCH(MIN(ABS(AI126-ICL3_classA!$F$2:$F$37)),ABS(AI126-ICL3_classA!$F$2:$F$37),0))</f>
        <v>22</v>
      </c>
      <c r="V126" s="1">
        <v>61</v>
      </c>
      <c r="W126" s="131">
        <f>VLOOKUP($B126&amp;"__wt",'SegEnds_Xtal_BW#'!$A:$Z,23,FALSE)</f>
        <v>31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63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60</v>
      </c>
      <c r="AF126" s="1" t="e">
        <f>VLOOKUP(A126,'SegEnds_NonXtal_Prot#'!A:AL,22,FALSE)-VLOOKUP(A126,'SegEnds_NonXtal_Prot#'!A:AL,19,FALSE)</f>
        <v>#VALUE!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55</v>
      </c>
      <c r="AI126" s="1">
        <f>VLOOKUP(A126,'SegEnds_NonXtal_Prot#'!A:AL,31,FALSE)-VLOOKUP(A126,'SegEnds_NonXtal_Prot#'!A:AL,28,FALSE)</f>
        <v>57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61</v>
      </c>
      <c r="W127" s="108">
        <v>25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30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19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88">
        <v>38</v>
      </c>
      <c r="P128" s="4">
        <f>VLOOKUP($B128&amp;"__wt",'SegEnds_Xtal_BW#'!$A:$Z,16,FALSE)</f>
        <v>63</v>
      </c>
      <c r="Q128" s="115">
        <v>50</v>
      </c>
      <c r="R128" s="115">
        <v>52</v>
      </c>
      <c r="S128" s="4">
        <v>35</v>
      </c>
      <c r="T128" s="4">
        <f t="array" ref="T128">INDEX(ICL3_classA!$G$2:$G$37,MATCH(MIN(ABS(AI128-ICL3_classA!$F$2:$F$37)),ABS(AI128-ICL3_classA!$F$2:$F$37),0))</f>
        <v>74</v>
      </c>
      <c r="U128" s="4">
        <f t="array" ref="U128">INDEX(ICL3_classA!$H$2:$H$37,MATCH(MIN(ABS(AI128-ICL3_classA!$F$2:$F$37)),ABS(AI128-ICL3_classA!$F$2:$F$37),0))</f>
        <v>21</v>
      </c>
      <c r="V128" s="4">
        <v>61</v>
      </c>
      <c r="W128" s="131">
        <f>VLOOKUP($B128&amp;"__wt",'SegEnds_Xtal_BW#'!$A:$Z,23,FALSE)</f>
        <v>30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4">
        <f>VLOOKUP(A128,'SegEnds_NonXtal_Prot#'!A:AL,10,FALSE)-VLOOKUP(A128,'SegEnds_NonXtal_Prot#'!A:AL,7,FALSE)</f>
        <v>16</v>
      </c>
      <c r="AD128" s="4" t="e">
        <f>VLOOKUP(A128,'SegEnds_NonXtal_Prot#'!A:AL,13,FALSE)-VLOOKUP(A128,'SegEnds_NonXtal_Prot#'!A:AL,10,FALSE)</f>
        <v>#VALUE!</v>
      </c>
      <c r="AE128" s="4">
        <f>VLOOKUP(A128,'SegEnds_NonXtal_Prot#'!A:AL,16,FALSE)-VLOOKUP(A128,'SegEnds_NonXtal_Prot#'!A:AL,10,FALSE)</f>
        <v>49</v>
      </c>
      <c r="AF128" s="1" t="e">
        <f>VLOOKUP(A128,'SegEnds_NonXtal_Prot#'!A:AL,22,FALSE)-VLOOKUP(A128,'SegEnds_NonXtal_Prot#'!A:AL,19,FALSE)</f>
        <v>#VALUE!</v>
      </c>
      <c r="AG128" s="4">
        <f>VLOOKUP(A128,'SegEnds_NonXtal_Prot#'!A:AL,28,FALSE)-VLOOKUP(A128,'SegEnds_NonXtal_Prot#'!A:AL,25,FALSE)</f>
        <v>21</v>
      </c>
      <c r="AH128" s="1">
        <f>VLOOKUP(A128,'SegEnds_NonXtal_Prot#'!A:AL,28,FALSE)-VLOOKUP(A128,'SegEnds_NonXtal_Prot#'!A:AL,22,FALSE)</f>
        <v>44</v>
      </c>
      <c r="AI128" s="4">
        <f>VLOOKUP(A128,'SegEnds_NonXtal_Prot#'!A:AL,31,FALSE)-VLOOKUP(A128,'SegEnds_NonXtal_Prot#'!A:AL,28,FALSE)</f>
        <v>63</v>
      </c>
      <c r="AJ128" s="4">
        <f>VLOOKUP(A128,'SegEnds_NonXtal_Prot#'!A:AL,34,FALSE)-VLOOKUP(A128,'SegEnds_NonXtal_Prot#'!A:AL,31,FALSE)</f>
        <v>38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08">
        <v>38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31">
        <f>VLOOKUP($B129&amp;"__wt",'SegEnds_Xtal_BW#'!$A:$Z,23,FALSE)</f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49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33</v>
      </c>
      <c r="AI129" s="1">
        <f>VLOOKUP(A129,'SegEnds_NonXtal_Prot#'!A:AL,31,FALSE)-VLOOKUP(A129,'SegEnds_NonXtal_Prot#'!A:AL,28,FALSE)</f>
        <v>48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08">
        <v>25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 t="e">
        <f>VLOOKUP(A130,'SegEnds_NonXtal_Prot#'!A:AL,28,FALSE)-VLOOKUP(A130,'SegEnds_NonXtal_Prot#'!A:AL,25,FALSE)</f>
        <v>#VALUE!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42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306</v>
      </c>
      <c r="B131" s="1" t="str">
        <f>VLOOKUP(A131,Xtal_Templ!A:B,2,FALSE)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31">
        <f>VLOOKUP($B131&amp;"__wt",'SegEnds_Xtal_BW#'!$A:$Z,23,FALSE)</f>
        <v>25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56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42</v>
      </c>
      <c r="AI131" s="1">
        <f>VLOOKUP(A131,'SegEnds_NonXtal_Prot#'!A:AL,31,FALSE)-VLOOKUP(A131,'SegEnds_NonXtal_Prot#'!A:AL,28,FALSE)</f>
        <v>42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307</v>
      </c>
      <c r="B132" s="1" t="str">
        <f>VLOOKUP(A132,Xtal_Templ!A:B,2,FALSE)</f>
        <v>pd2r2_human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26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31">
        <f>VLOOKUP($B132&amp;"__wt",'SegEnds_Xtal_BW#'!$A:$Z,23,FALSE)</f>
        <v>27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64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48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42</v>
      </c>
      <c r="AI132" s="1">
        <f>VLOOKUP(A132,'SegEnds_NonXtal_Prot#'!A:AL,31,FALSE)-VLOOKUP(A132,'SegEnds_NonXtal_Prot#'!A:AL,28,FALSE)</f>
        <v>42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308</v>
      </c>
      <c r="B133" s="1" t="str">
        <f>VLOOKUP(A133,Xtal_Templ!A:B,2,FALSE)</f>
        <v>c5ar1_human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31">
        <f>VLOOKUP($B133&amp;"__wt",'SegEnds_Xtal_BW#'!$A:$Z,23,FALSE)</f>
        <v>25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56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 t="e">
        <f>VLOOKUP(A133,'SegEnds_NonXtal_Prot#'!A:AL,28,FALSE)-VLOOKUP(A133,'SegEnds_NonXtal_Prot#'!A:AL,25,FALSE)</f>
        <v>#VALUE!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42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320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1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 t="e">
        <f>VLOOKUP(A134,'SegEnds_NonXtal_Prot#'!A:AL,22,FALSE)-VLOOKUP(A134,'SegEnds_NonXtal_Prot#'!A:AL,19,FALSE)</f>
        <v>#VALUE!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1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27</v>
      </c>
      <c r="AH135" s="1">
        <f>VLOOKUP(A135,'SegEnds_NonXtal_Prot#'!A:AL,28,FALSE)-VLOOKUP(A135,'SegEnds_NonXtal_Prot#'!A:AL,22,FALSE)</f>
        <v>53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324</v>
      </c>
      <c r="B136" s="1" t="str">
        <f>VLOOKUP(A136,Xtal_Templ!A:B,2,FALSE)</f>
        <v>5ht2c_human</v>
      </c>
      <c r="C136" s="5">
        <f>VLOOKUP($B136&amp;"__wt",'SegEnds_Xtal_BW#'!$A:$Z,3,FALSE)</f>
        <v>33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68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7">
        <v>38</v>
      </c>
      <c r="P136" s="1">
        <f>VLOOKUP($B136&amp;"__wt",'SegEnds_Xtal_BW#'!$A:$Z,16,FALSE)</f>
        <v>67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INDEX(ICL3_classA!$G$2:$G$37,MATCH(MIN(ABS(AI136-ICL3_classA!$F$2:$F$37)),ABS(AI136-ICL3_classA!$F$2:$F$37),0))</f>
        <v>76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31">
        <f>VLOOKUP($B136&amp;"__wt",'SegEnds_Xtal_BW#'!$A:$Z,23,FALSE)</f>
        <v>27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18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67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1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28</v>
      </c>
      <c r="AH137" s="1">
        <f>VLOOKUP(A137,'SegEnds_NonXtal_Prot#'!A:AL,28,FALSE)-VLOOKUP(A137,'SegEnds_NonXtal_Prot#'!A:AL,22,FALSE)</f>
        <v>55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1">
        <f>VLOOKUP($B138&amp;"__wt",'SegEnds_Xtal_BW#'!$A:$Z,23,FALSE)</f>
        <v>28</v>
      </c>
      <c r="X138" s="124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917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31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27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Xtal</v>
      </c>
    </row>
    <row r="140" spans="1:38" x14ac:dyDescent="0.2">
      <c r="A140" s="1" t="s">
        <v>1173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1">
        <f>VLOOKUP($B140&amp;"__wt",'SegEnds_Xtal_BW#'!$A:$Z,23,FALSE)</f>
        <v>28</v>
      </c>
      <c r="X140" s="124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Xtal</v>
      </c>
    </row>
    <row r="141" spans="1:38" x14ac:dyDescent="0.2">
      <c r="A141" s="1" t="s">
        <v>349</v>
      </c>
      <c r="B141" s="1" t="str">
        <f>VLOOKUP(A141,Xtal_Templ!A:B,2,FALSE)</f>
        <v>par2_human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62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31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61</v>
      </c>
      <c r="W141" s="131">
        <f>VLOOKUP($B141&amp;"__wt",'SegEnds_Xtal_BW#'!$A:$Z,23,FALSE)</f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30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1">
        <f>VLOOKUP($B142&amp;"__wt",'SegEnds_Xtal_BW#'!$A:$Z,23,FALSE)</f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18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VLOOKUP(A142,'SegEnds_NonXtal_Prot#'!A:AL,28,FALSE)-VLOOKUP(A142,'SegEnds_NonXtal_Prot#'!A:AL,25,FALSE)</f>
        <v>#VALUE!</v>
      </c>
      <c r="AH142" s="1">
        <f>VLOOKUP(A142,'SegEnds_NonXtal_Prot#'!A:AL,28,FALSE)-VLOOKUP(A142,'SegEnds_NonXtal_Prot#'!A:AL,22,FALSE)</f>
        <v>45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31">
        <f>VLOOKUP($B143&amp;"__wt",'SegEnds_Xtal_BW#'!$A:$Z,23,FALSE)</f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53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1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50</v>
      </c>
      <c r="AI144" s="1">
        <f>VLOOKUP(A144,'SegEnds_NonXtal_Prot#'!A:AL,31,FALSE)-VLOOKUP(A144,'SegEnds_NonXtal_Prot#'!A:AL,28,FALSE)</f>
        <v>54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29</v>
      </c>
      <c r="V145" s="1">
        <v>61</v>
      </c>
      <c r="W145" s="131">
        <f>VLOOKUP($B145&amp;"__wt",'SegEnds_Xtal_BW#'!$A:$Z,23,FALSE)</f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19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27</v>
      </c>
      <c r="AH145" s="1">
        <f>VLOOKUP(A145,'SegEnds_NonXtal_Prot#'!A:AL,28,FALSE)-VLOOKUP(A145,'SegEnds_NonXtal_Prot#'!A:AL,22,FALSE)</f>
        <v>49</v>
      </c>
      <c r="AI145" s="1">
        <f>VLOOKUP(A145,'SegEnds_NonXtal_Prot#'!A:AL,31,FALSE)-VLOOKUP(A145,'SegEnds_NonXtal_Prot#'!A:AL,28,FALSE)</f>
        <v>50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132</v>
      </c>
      <c r="B146" s="1" t="str">
        <f>VLOOKUP(A146,Xtal_Templ!A:B,2,FALSE)</f>
        <v>5ht2a_human</v>
      </c>
      <c r="C146" s="5">
        <f>VLOOKUP($B146&amp;"__wt",'SegEnds_Xtal_BW#'!$A:$Z,3,FALSE)</f>
        <v>27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67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1"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21</v>
      </c>
      <c r="AE146" s="1">
        <f>VLOOKUP(A146,'SegEnds_NonXtal_Prot#'!A:AL,16,FALSE)-VLOOKUP(A146,'SegEnds_NonXtal_Prot#'!A:AL,10,FALSE)</f>
        <v>53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19</v>
      </c>
      <c r="AH146" s="1">
        <f>VLOOKUP(A146,'SegEnds_NonXtal_Prot#'!A:AL,28,FALSE)-VLOOKUP(A146,'SegEnds_NonXtal_Prot#'!A:AL,22,FALSE)</f>
        <v>46</v>
      </c>
      <c r="AI146" s="1">
        <f>VLOOKUP(A146,'SegEnds_NonXtal_Prot#'!A:AL,31,FALSE)-VLOOKUP(A146,'SegEnds_NonXtal_Prot#'!A:AL,28,FALSE)</f>
        <v>92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Xtal</v>
      </c>
    </row>
    <row r="147" spans="1:38" x14ac:dyDescent="0.2">
      <c r="A147" s="1" t="s">
        <v>133</v>
      </c>
      <c r="B147" s="1" t="str">
        <f>VLOOKUP(A147,Xtal_Templ!A:B,2,FALSE)</f>
        <v>5ht2c_human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67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35</v>
      </c>
      <c r="T147" s="1">
        <f t="array" ref="T147">INDEX(ICL3_classA!$G$2:$G$37,MATCH(MIN(ABS(AI147-ICL3_classA!$F$2:$F$37)),ABS(AI147-ICL3_classA!$F$2:$F$37),0))</f>
        <v>74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31">
        <v>27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60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21</v>
      </c>
      <c r="AE147" s="1">
        <f>VLOOKUP(A147,'SegEnds_NonXtal_Prot#'!A:AL,16,FALSE)-VLOOKUP(A147,'SegEnds_NonXtal_Prot#'!A:AL,10,FALSE)</f>
        <v>53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19</v>
      </c>
      <c r="AH147" s="1">
        <f>VLOOKUP(A147,'SegEnds_NonXtal_Prot#'!A:AL,28,FALSE)-VLOOKUP(A147,'SegEnds_NonXtal_Prot#'!A:AL,22,FALSE)</f>
        <v>47</v>
      </c>
      <c r="AI147" s="1">
        <f>VLOOKUP(A147,'SegEnds_NonXtal_Prot#'!A:AL,31,FALSE)-VLOOKUP(A147,'SegEnds_NonXtal_Prot#'!A:AL,28,FALSE)</f>
        <v>100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Xtal</v>
      </c>
    </row>
    <row r="148" spans="1:38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31">
        <v>27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21</v>
      </c>
      <c r="AE148" s="1">
        <f>VLOOKUP(A148,'SegEnds_NonXtal_Prot#'!A:AL,16,FALSE)-VLOOKUP(A148,'SegEnds_NonXtal_Prot#'!A:AL,10,FALSE)</f>
        <v>53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20</v>
      </c>
      <c r="AH148" s="1">
        <f>VLOOKUP(A148,'SegEnds_NonXtal_Prot#'!A:AL,28,FALSE)-VLOOKUP(A148,'SegEnds_NonXtal_Prot#'!A:AL,22,FALSE)</f>
        <v>44</v>
      </c>
      <c r="AI148" s="1">
        <f>VLOOKUP(A148,'SegEnds_NonXtal_Prot#'!A:AL,31,FALSE)-VLOOKUP(A148,'SegEnds_NonXtal_Prot#'!A:AL,28,FALSE)</f>
        <v>91</v>
      </c>
      <c r="AJ148" s="1">
        <f>VLOOKUP(A148,'SegEnds_NonXtal_Prot#'!A:AL,34,FALSE)-VLOOKUP(A148,'SegEnds_NonXtal_Prot#'!A:AL,31,FALSE)</f>
        <v>39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08">
        <v>33</v>
      </c>
      <c r="T149" s="1">
        <f t="array" ref="T149">INDEX(ICL3_classA!$G$2:$G$37,MATCH(MIN(ABS(AI149-ICL3_classA!$F$2:$F$37)),ABS(AI149-ICL3_classA!$F$2:$F$37),0))</f>
        <v>66</v>
      </c>
      <c r="U149" s="1">
        <f t="array" ref="U149">INDEX(ICL3_classA!$H$2:$H$37,MATCH(MIN(ABS(AI149-ICL3_classA!$F$2:$F$37)),ABS(AI149-ICL3_classA!$F$2:$F$37),0))</f>
        <v>30</v>
      </c>
      <c r="V149" s="1">
        <v>61</v>
      </c>
      <c r="W149" s="131">
        <f>VLOOKUP($B149&amp;"__wt",'SegEnds_Xtal_BW#'!$A:$Z,23,FALSE)</f>
        <v>30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58</v>
      </c>
      <c r="AF149" s="1">
        <f>VLOOKUP(A149,'SegEnds_NonXtal_Prot#'!A:AL,22,FALSE)-VLOOKUP(A149,'SegEnds_NonXtal_Prot#'!A:AL,19,FALSE)</f>
        <v>20</v>
      </c>
      <c r="AG149" s="1" t="e">
        <f>VLOOKUP(A149,'SegEnds_NonXtal_Prot#'!A:AL,28,FALSE)-VLOOKUP(A149,'SegEnds_NonXtal_Prot#'!A:AL,25,FALSE)</f>
        <v>#VALUE!</v>
      </c>
      <c r="AH149" s="1">
        <f>VLOOKUP(A149,'SegEnds_NonXtal_Prot#'!A:AL,28,FALSE)-VLOOKUP(A149,'SegEnds_NonXtal_Prot#'!A:AL,22,FALSE)</f>
        <v>40</v>
      </c>
      <c r="AI149" s="1">
        <f>VLOOKUP(A149,'SegEnds_NonXtal_Prot#'!A:AL,31,FALSE)-VLOOKUP(A149,'SegEnds_NonXtal_Prot#'!A:AL,28,FALSE)</f>
        <v>39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167</v>
      </c>
      <c r="B150" s="1" t="str">
        <f>VLOOKUP(A150,Xtal_Templ!A:B,2,FALSE)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68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33</v>
      </c>
      <c r="T150" s="1">
        <f t="array" ref="T150">INDEX(ICL3_classA!$G$2:$G$37,MATCH(MIN(ABS(AI150-ICL3_classA!$F$2:$F$37)),ABS(AI150-ICL3_classA!$F$2:$F$37),0))</f>
        <v>74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31">
        <f>VLOOKUP($B150&amp;"__wt",'SegEnds_Xtal_BW#'!$A:$Z,23,FALSE)</f>
        <v>27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63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25</v>
      </c>
      <c r="AH150" s="1">
        <f>VLOOKUP(A150,'SegEnds_NonXtal_Prot#'!A:AL,28,FALSE)-VLOOKUP(A150,'SegEnds_NonXtal_Prot#'!A:AL,22,FALSE)</f>
        <v>55</v>
      </c>
      <c r="AI150" s="1">
        <f>VLOOKUP(A150,'SegEnds_NonXtal_Prot#'!A:AL,31,FALSE)-VLOOKUP(A150,'SegEnds_NonXtal_Prot#'!A:AL,28,FALSE)</f>
        <v>107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7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INDEX(ICL3_classA!$G$2:$G$37,MATCH(MIN(ABS(AI151-ICL3_classA!$F$2:$F$37)),ABS(AI151-ICL3_classA!$F$2:$F$37),0))</f>
        <v>68</v>
      </c>
      <c r="U151" s="12">
        <f t="array" ref="U151">INDEX(ICL3_classA!$H$2:$H$37,MATCH(MIN(ABS(AI151-ICL3_classA!$F$2:$F$37)),ABS(AI151-ICL3_classA!$F$2:$F$37),0))</f>
        <v>30</v>
      </c>
      <c r="V151" s="12">
        <v>61</v>
      </c>
      <c r="W151" s="131">
        <f>VLOOKUP($B151&amp;"__wt",'SegEnds_Xtal_BW#'!$A:$Z,23,FALSE)</f>
        <v>24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6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2">
        <f>VLOOKUP(A151,'SegEnds_NonXtal_Prot#'!A:AL,10,FALSE)-VLOOKUP(A151,'SegEnds_NonXtal_Prot#'!A:AL,7,FALSE)</f>
        <v>15</v>
      </c>
      <c r="AD151" s="12">
        <f>VLOOKUP(A151,'SegEnds_NonXtal_Prot#'!A:AL,13,FALSE)-VLOOKUP(A151,'SegEnds_NonXtal_Prot#'!A:AL,10,FALSE)</f>
        <v>18</v>
      </c>
      <c r="AE151" s="12">
        <f>VLOOKUP(A151,'SegEnds_NonXtal_Prot#'!A:AL,16,FALSE)-VLOOKUP(A151,'SegEnds_NonXtal_Prot#'!A:AL,10,FALSE)</f>
        <v>50</v>
      </c>
      <c r="AF151" s="1">
        <f>VLOOKUP(A151,'SegEnds_NonXtal_Prot#'!A:AL,22,FALSE)-VLOOKUP(A151,'SegEnds_NonXtal_Prot#'!A:AL,19,FALSE)</f>
        <v>22</v>
      </c>
      <c r="AG151" s="12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47</v>
      </c>
      <c r="AI151" s="12">
        <f>VLOOKUP(A151,'SegEnds_NonXtal_Prot#'!A:AL,31,FALSE)-VLOOKUP(A151,'SegEnds_NonXtal_Prot#'!A:AL,28,FALSE)</f>
        <v>43</v>
      </c>
      <c r="AJ151" s="12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2" t="str">
        <f>IF(ISERROR(MATCH(A151,'SegEnds_Xtal_Prot#'!B:B, 0)), "NoXtal", "Xtal")</f>
        <v>NoXtal</v>
      </c>
    </row>
    <row r="152" spans="1:38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31">
        <f>VLOOKUP($B152&amp;"__wt",'SegEnds_Xtal_BW#'!$A:$Z,23,FALSE)</f>
        <v>24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35</v>
      </c>
      <c r="AH152" s="1">
        <f>VLOOKUP(A152,'SegEnds_NonXtal_Prot#'!A:AL,28,FALSE)-VLOOKUP(A152,'SegEnds_NonXtal_Prot#'!A:AL,22,FALSE)</f>
        <v>65</v>
      </c>
      <c r="AI152" s="1">
        <f>VLOOKUP(A152,'SegEnds_NonXtal_Prot#'!A:AL,31,FALSE)-VLOOKUP(A152,'SegEnds_NonXtal_Prot#'!A:AL,28,FALSE)</f>
        <v>53</v>
      </c>
      <c r="AJ152" s="1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7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33</v>
      </c>
      <c r="T153" s="4">
        <f t="array" ref="T153">INDEX(ICL3_classA!$G$2:$G$37,MATCH(MIN(ABS(AI153-ICL3_classA!$F$2:$F$37)),ABS(AI153-ICL3_classA!$F$2:$F$37),0))</f>
        <v>76</v>
      </c>
      <c r="U153" s="4">
        <f t="array" ref="U153">INDEX(ICL3_classA!$H$2:$H$37,MATCH(MIN(ABS(AI153-ICL3_classA!$F$2:$F$37)),ABS(AI153-ICL3_classA!$F$2:$F$37),0))</f>
        <v>24</v>
      </c>
      <c r="V153" s="4">
        <v>61</v>
      </c>
      <c r="W153" s="131">
        <f>VLOOKUP($B153&amp;"__wt",'SegEnds_Xtal_BW#'!$A:$Z,23,FALSE)</f>
        <v>27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63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27</v>
      </c>
      <c r="AC153" s="4" t="e">
        <f>VLOOKUP(A153,'SegEnds_NonXtal_Prot#'!A:AL,10,FALSE)-VLOOKUP(A153,'SegEnds_NonXtal_Prot#'!A:AL,7,FALSE)</f>
        <v>#VALUE!</v>
      </c>
      <c r="AD153" s="4">
        <f>VLOOKUP(A153,'SegEnds_NonXtal_Prot#'!A:AL,13,FALSE)-VLOOKUP(A153,'SegEnds_NonXtal_Prot#'!A:AL,10,FALSE)</f>
        <v>19</v>
      </c>
      <c r="AE153" s="4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4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56</v>
      </c>
      <c r="AI153" s="4">
        <f>VLOOKUP(A153,'SegEnds_NonXtal_Prot#'!A:AL,31,FALSE)-VLOOKUP(A153,'SegEnds_NonXtal_Prot#'!A:AL,28,FALSE)</f>
        <v>76</v>
      </c>
      <c r="AJ153" s="4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INDEX(ICL3_classA!$G$2:$G$37,MATCH(MIN(ABS(AI154-ICL3_classA!$F$2:$F$37)),ABS(AI154-ICL3_classA!$F$2:$F$37),0))</f>
        <v>76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31">
        <f>VLOOKUP($B154&amp;"__wt",'SegEnds_Xtal_BW#'!$A:$Z,23,FALSE)</f>
        <v>27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63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25</v>
      </c>
      <c r="AH154" s="1">
        <f>VLOOKUP(A154,'SegEnds_NonXtal_Prot#'!A:AL,28,FALSE)-VLOOKUP(A154,'SegEnds_NonXtal_Prot#'!A:AL,22,FALSE)</f>
        <v>51</v>
      </c>
      <c r="AI154" s="1">
        <f>VLOOKUP(A154,'SegEnds_NonXtal_Prot#'!A:AL,31,FALSE)-VLOOKUP(A154,'SegEnds_NonXtal_Prot#'!A:AL,28,FALSE)</f>
        <v>118</v>
      </c>
      <c r="AJ154" s="1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216</v>
      </c>
      <c r="B155" s="1" t="str">
        <f>VLOOKUP(A155,Xtal_Templ!A:B,2,FALSE)</f>
        <v>5ht2c_human</v>
      </c>
      <c r="C155" s="5">
        <f>VLOOKUP($B155&amp;"__wt",'SegEnds_Xtal_BW#'!$A:$Z,3,FALSE)</f>
        <v>33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08">
        <v>56</v>
      </c>
      <c r="O155" s="87">
        <f>VLOOKUP($B155&amp;"__wt",'SegEnds_Xtal_BW#'!$A:$Z,15,FALSE)</f>
        <v>38</v>
      </c>
      <c r="P155" s="1">
        <f>VLOOKUP($B155&amp;"__wt",'SegEnds_Xtal_BW#'!$A:$Z,16,FALSE)</f>
        <v>67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35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1">
        <f>VLOOKUP($B155&amp;"__wt",'SegEnds_Xtal_BW#'!$A:$Z,23,FALSE)</f>
        <v>27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 t="e">
        <f>VLOOKUP(A155,'SegEnds_NonXtal_Prot#'!A:AL,10,FALSE)-VLOOKUP(A155,'SegEnds_NonXtal_Prot#'!A:AL,7,FALSE)</f>
        <v>#VALUE!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53</v>
      </c>
      <c r="AF155" s="1">
        <f>VLOOKUP(A155,'SegEnds_NonXtal_Prot#'!A:AL,22,FALSE)-VLOOKUP(A155,'SegEnds_NonXtal_Prot#'!A:AL,19,FALSE)</f>
        <v>19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43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218</v>
      </c>
      <c r="B156" s="1" t="str">
        <f>VLOOKUP(A156,Xtal_Templ!A:B,2,FALSE)</f>
        <v>5ht2a_human</v>
      </c>
      <c r="C156" s="5">
        <f>VLOOKUP($B156&amp;"__wt",'SegEnds_Xtal_BW#'!$A:$Z,3,FALSE)</f>
        <v>27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08">
        <v>56</v>
      </c>
      <c r="O156" s="87">
        <f>VLOOKUP($B156&amp;"__wt",'SegEnds_Xtal_BW#'!$A:$Z,15,FALSE)</f>
        <v>38</v>
      </c>
      <c r="P156" s="1">
        <f>VLOOKUP($B156&amp;"__wt",'SegEnds_Xtal_BW#'!$A:$Z,16,FALSE)</f>
        <v>67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61</v>
      </c>
      <c r="W156" s="131">
        <f>VLOOKUP($B156&amp;"__wt",'SegEnds_Xtal_BW#'!$A:$Z,23,FALSE)</f>
        <v>27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 t="e">
        <f>VLOOKUP(A156,'SegEnds_NonXtal_Prot#'!A:AL,10,FALSE)-VLOOKUP(A156,'SegEnds_NonXtal_Prot#'!A:AL,7,FALSE)</f>
        <v>#VALUE!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53</v>
      </c>
      <c r="AF156" s="1">
        <f>VLOOKUP(A156,'SegEnds_NonXtal_Prot#'!A:AL,22,FALSE)-VLOOKUP(A156,'SegEnds_NonXtal_Prot#'!A:AL,19,FALSE)</f>
        <v>19</v>
      </c>
      <c r="AG156" s="1" t="e">
        <f>VLOOKUP(A156,'SegEnds_NonXtal_Prot#'!A:AL,28,FALSE)-VLOOKUP(A156,'SegEnds_NonXtal_Prot#'!A:AL,25,FALSE)</f>
        <v>#VALUE!</v>
      </c>
      <c r="AH156" s="1">
        <f>VLOOKUP(A156,'SegEnds_NonXtal_Prot#'!A:AL,28,FALSE)-VLOOKUP(A156,'SegEnds_NonXtal_Prot#'!A:AL,22,FALSE)</f>
        <v>43</v>
      </c>
      <c r="AI156" s="1">
        <f>VLOOKUP(A156,'SegEnds_NonXtal_Prot#'!A:AL,31,FALSE)-VLOOKUP(A156,'SegEnds_NonXtal_Prot#'!A:AL,28,FALSE)</f>
        <v>47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68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74</v>
      </c>
      <c r="U157" s="1">
        <f t="array" ref="U157">INDEX(ICL3_classA!$H$2:$H$37,MATCH(MIN(ABS(AI157-ICL3_classA!$F$2:$F$37)),ABS(AI157-ICL3_classA!$F$2:$F$37),0))</f>
        <v>21</v>
      </c>
      <c r="V157" s="1">
        <v>61</v>
      </c>
      <c r="W157" s="131">
        <f>VLOOKUP($B157&amp;"__wt",'SegEnds_Xtal_BW#'!$A:$Z,23,FALSE)</f>
        <v>27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63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33</v>
      </c>
      <c r="AC157" s="1" t="e">
        <f>VLOOKUP(A157,'SegEnds_NonXtal_Prot#'!A:AL,10,FALSE)-VLOOKUP(A157,'SegEnds_NonXtal_Prot#'!A:AL,7,FALSE)</f>
        <v>#VALUE!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54</v>
      </c>
      <c r="AF157" s="1" t="e">
        <f>VLOOKUP(A157,'SegEnds_NonXtal_Prot#'!A:AL,22,FALSE)-VLOOKUP(A157,'SegEnds_NonXtal_Prot#'!A:AL,19,FALSE)</f>
        <v>#VALUE!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75</v>
      </c>
      <c r="AI157" s="1">
        <f>VLOOKUP(A157,'SegEnds_NonXtal_Prot#'!A:AL,31,FALSE)-VLOOKUP(A157,'SegEnds_NonXtal_Prot#'!A:AL,28,FALSE)</f>
        <v>66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31">
        <f>VLOOKUP($B158&amp;"__wt",'SegEnds_Xtal_BW#'!$A:$Z,23,FALSE)</f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35</v>
      </c>
      <c r="AH158" s="1">
        <f>VLOOKUP(A158,'SegEnds_NonXtal_Prot#'!A:AL,28,FALSE)-VLOOKUP(A158,'SegEnds_NonXtal_Prot#'!A:AL,22,FALSE)</f>
        <v>67</v>
      </c>
      <c r="AI158" s="1">
        <f>VLOOKUP(A158,'SegEnds_NonXtal_Prot#'!A:AL,31,FALSE)-VLOOKUP(A158,'SegEnds_NonXtal_Prot#'!A:AL,28,FALSE)</f>
        <v>53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259</v>
      </c>
      <c r="B159" s="1" t="str">
        <f>VLOOKUP(A159,Xtal_Templ!A:B,2,FALSE)</f>
        <v>drd2_human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68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58</v>
      </c>
      <c r="O159" s="87"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1">
        <f>VLOOKUP($B159&amp;"__wt",'SegEnds_Xtal_BW#'!$A:$Z,23,FALSE)</f>
        <v>31</v>
      </c>
      <c r="X159" s="124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 t="e">
        <f>VLOOKUP(A159,'SegEnds_NonXtal_Prot#'!A:AL,22,FALSE)-VLOOKUP(A159,'SegEnds_NonXtal_Prot#'!A:AL,19,FALSE)</f>
        <v>#VALUE!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75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265</v>
      </c>
      <c r="B160" s="1" t="str">
        <f>VLOOKUP(A160,Xtal_Templ!A:B,2,FALSE)</f>
        <v>5ht2c_human</v>
      </c>
      <c r="C160" s="5">
        <f>VLOOKUP($B160&amp;"__wt",'SegEnds_Xtal_BW#'!$A:$Z,3,FALSE)</f>
        <v>33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68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7">
        <v>38</v>
      </c>
      <c r="P160" s="1">
        <f>VLOOKUP($B160&amp;"__wt",'SegEnds_Xtal_BW#'!$A:$Z,16,FALSE)</f>
        <v>67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31">
        <f>VLOOKUP($B160&amp;"__wt",'SegEnds_Xtal_BW#'!$A:$Z,23,FALSE)</f>
        <v>27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 t="e">
        <f>VLOOKUP(A160,'SegEnds_NonXtal_Prot#'!A:AL,22,FALSE)-VLOOKUP(A160,'SegEnds_NonXtal_Prot#'!A:AL,19,FALSE)</f>
        <v>#VALUE!</v>
      </c>
      <c r="AG160" s="1">
        <f>VLOOKUP(A160,'SegEnds_NonXtal_Prot#'!A:AL,28,FALSE)-VLOOKUP(A160,'SegEnds_NonXtal_Prot#'!A:AL,25,FALSE)</f>
        <v>25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75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68</v>
      </c>
      <c r="U161" s="108">
        <v>27</v>
      </c>
      <c r="V161" s="1">
        <v>61</v>
      </c>
      <c r="W161" s="131">
        <f>VLOOKUP($B161&amp;"__wt",'SegEnds_Xtal_BW#'!$A:$Z,23,FALSE)</f>
        <v>30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58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48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31">
        <f>VLOOKUP($B162&amp;"__wt",'SegEnds_Xtal_BW#'!$A:$Z,23,FALSE)</f>
        <v>30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57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31">
        <f>VLOOKUP($B163&amp;"__wt",'SegEnds_Xtal_BW#'!$A:$Z,23,FALSE)</f>
        <v>30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46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08">
        <v>33</v>
      </c>
      <c r="T164" s="1">
        <f t="array" ref="T164">INDEX(ICL3_classA!$G$2:$G$37,MATCH(MIN(ABS(AI164-ICL3_classA!$F$2:$F$37)),ABS(AI164-ICL3_classA!$F$2:$F$37),0))</f>
        <v>67</v>
      </c>
      <c r="U164" s="108">
        <v>27</v>
      </c>
      <c r="V164" s="1">
        <v>61</v>
      </c>
      <c r="W164" s="131">
        <f>VLOOKUP($B164&amp;"__wt",'SegEnds_Xtal_BW#'!$A:$Z,23,FALSE)</f>
        <v>30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58</v>
      </c>
      <c r="AF164" s="1">
        <f>VLOOKUP(A164,'SegEnds_NonXtal_Prot#'!A:AL,22,FALSE)-VLOOKUP(A164,'SegEnds_NonXtal_Prot#'!A:AL,19,FALSE)</f>
        <v>20</v>
      </c>
      <c r="AG164" s="1" t="e">
        <f>VLOOKUP(A164,'SegEnds_NonXtal_Prot#'!A:AL,28,FALSE)-VLOOKUP(A164,'SegEnds_NonXtal_Prot#'!A:AL,25,FALSE)</f>
        <v>#VALUE!</v>
      </c>
      <c r="AH164" s="1">
        <f>VLOOKUP(A164,'SegEnds_NonXtal_Prot#'!A:AL,28,FALSE)-VLOOKUP(A164,'SegEnds_NonXtal_Prot#'!A:AL,22,FALSE)</f>
        <v>40</v>
      </c>
      <c r="AI164" s="1">
        <f>VLOOKUP(A164,'SegEnds_NonXtal_Prot#'!A:AL,31,FALSE)-VLOOKUP(A164,'SegEnds_NonXtal_Prot#'!A:AL,28,FALSE)</f>
        <v>47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310</v>
      </c>
      <c r="B165" s="1" t="str">
        <f>VLOOKUP(A165,Xtal_Templ!A:B,2,FALSE)</f>
        <v>ntr1_human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 t="str">
        <f>VLOOKUP($B165&amp;"__wt",'SegEnds_Xtal_BW#'!$A:$Z,5,FALSE)</f>
        <v>-</v>
      </c>
      <c r="F165" s="1" t="str">
        <f>VLOOKUP($B165&amp;"__wt",'SegEnds_Xtal_BW#'!$A:$Z,6,FALSE)</f>
        <v>-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31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1">
        <f>VLOOKUP($B165&amp;"__wt",'SegEnds_Xtal_BW#'!$A:$Z,23,FALSE)</f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62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24</v>
      </c>
      <c r="AH165" s="1">
        <f>VLOOKUP(A165,'SegEnds_NonXtal_Prot#'!A:AL,28,FALSE)-VLOOKUP(A165,'SegEnds_NonXtal_Prot#'!A:AL,22,FALSE)</f>
        <v>96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311</v>
      </c>
      <c r="B166" s="1" t="str">
        <f>VLOOKUP(A166,Xtal_Templ!A:B,2,FALSE)</f>
        <v>mtr1a_human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31">
        <f>VLOOKUP($B166&amp;"__wt",'SegEnds_Xtal_BW#'!$A:$Z,23,FALSE)</f>
        <v>31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63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Xtal</v>
      </c>
    </row>
    <row r="167" spans="1:38" x14ac:dyDescent="0.2">
      <c r="A167" s="1" t="s">
        <v>312</v>
      </c>
      <c r="B167" s="1" t="str">
        <f>VLOOKUP(A167,Xtal_Templ!A:B,2,FALSE)</f>
        <v>mtr1b_human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31">
        <f>VLOOKUP($B167&amp;"__wt",'SegEnds_Xtal_BW#'!$A:$Z,23,FALSE)</f>
        <v>31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63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54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Xtal</v>
      </c>
    </row>
    <row r="168" spans="1:38" x14ac:dyDescent="0.2">
      <c r="A168" s="1" t="s">
        <v>313</v>
      </c>
      <c r="B168" s="1" t="str">
        <f>VLOOKUP(A168,Xtal_Templ!A:B,2,FALSE)</f>
        <v>mtr1a_human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INDEX(ICL3_classA!$G$2:$G$37,MATCH(MIN(ABS(AI168-ICL3_classA!$F$2:$F$37)),ABS(AI168-ICL3_classA!$F$2:$F$37),0))</f>
        <v>72</v>
      </c>
      <c r="U168" s="1">
        <f t="array" ref="U168">INDEX(ICL3_classA!$H$2:$H$37,MATCH(MIN(ABS(AI168-ICL3_classA!$F$2:$F$37)),ABS(AI168-ICL3_classA!$F$2:$F$37),0))</f>
        <v>23</v>
      </c>
      <c r="V168" s="1">
        <v>61</v>
      </c>
      <c r="W168" s="131">
        <f>VLOOKUP($B168&amp;"__wt",'SegEnds_Xtal_BW#'!$A:$Z,23,FALSE)</f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63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22</v>
      </c>
      <c r="AH168" s="1">
        <f>VLOOKUP(A168,'SegEnds_NonXtal_Prot#'!A:AL,28,FALSE)-VLOOKUP(A168,'SegEnds_NonXtal_Prot#'!A:AL,22,FALSE)</f>
        <v>47</v>
      </c>
      <c r="AI168" s="1">
        <f>VLOOKUP(A168,'SegEnds_NonXtal_Prot#'!A:AL,31,FALSE)-VLOOKUP(A168,'SegEnds_NonXtal_Prot#'!A:AL,28,FALSE)</f>
        <v>52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314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1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Xtal</v>
      </c>
    </row>
    <row r="170" spans="1:38" x14ac:dyDescent="0.2">
      <c r="A170" s="1" t="s">
        <v>315</v>
      </c>
      <c r="B170" s="1" t="str">
        <f>VLOOKUP(A170,Xtal_Templ!A:B,2,FALSE)</f>
        <v>nk1r_human</v>
      </c>
      <c r="C170" s="5">
        <f>VLOOKUP($B170&amp;"__wt",'SegEnds_Xtal_BW#'!$A:$Z,3,FALSE)</f>
        <v>28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 t="str">
        <f>VLOOKUP($B170&amp;"__wt",'SegEnds_Xtal_BW#'!$A:$Z,13,FALSE)</f>
        <v>-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31">
        <f>VLOOKUP($B170&amp;"__wt",'SegEnds_Xtal_BW#'!$A:$Z,23,FALSE)</f>
        <v>30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56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316</v>
      </c>
      <c r="B171" s="1" t="str">
        <f>VLOOKUP(A171,Xtal_Templ!A:B,2,FALSE)</f>
        <v>nk1r_human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2">
        <v>56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1">
        <f>VLOOKUP($B171&amp;"__wt",'SegEnds_Xtal_BW#'!$A:$Z,23,FALSE)</f>
        <v>30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51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325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08" t="s">
        <v>23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31">
        <f>VLOOKUP($B172&amp;"__wt",'SegEnds_Xtal_BW#'!$A:$Z,23,FALSE)</f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60</v>
      </c>
      <c r="AI172" s="1">
        <f>VLOOKUP(A172,'SegEnds_NonXtal_Prot#'!A:AL,31,FALSE)-VLOOKUP(A172,'SegEnds_NonXtal_Prot#'!A:AL,28,FALSE)</f>
        <v>55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Xtal</v>
      </c>
    </row>
    <row r="173" spans="1:38" x14ac:dyDescent="0.2">
      <c r="A173" s="1" t="s">
        <v>326</v>
      </c>
      <c r="B173" s="1" t="str">
        <f>VLOOKUP(A173,Xtal_Templ!A:B,2,FALSE)</f>
        <v>npy1r_human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68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 t="str">
        <f>VLOOKUP($B173&amp;"__wt",'SegEnds_Xtal_BW#'!$A:$Z,13,FALSE)</f>
        <v>-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31</v>
      </c>
      <c r="T173" s="1">
        <f t="array" ref="T173">INDEX(ICL3_classA!$G$2:$G$37,MATCH(MIN(ABS(AI173-ICL3_classA!$F$2:$F$37)),ABS(AI173-ICL3_classA!$F$2:$F$37),0))</f>
        <v>72</v>
      </c>
      <c r="U173" s="1">
        <f t="array" ref="U173">INDEX(ICL3_classA!$H$2:$H$37,MATCH(MIN(ABS(AI173-ICL3_classA!$F$2:$F$37)),ABS(AI173-ICL3_classA!$F$2:$F$37),0))</f>
        <v>23</v>
      </c>
      <c r="V173" s="1">
        <v>61</v>
      </c>
      <c r="W173" s="131">
        <f>VLOOKUP($B173&amp;"__wt",'SegEnds_Xtal_BW#'!$A:$Z,23,FALSE)</f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28</v>
      </c>
      <c r="AH173" s="1">
        <f>VLOOKUP(A173,'SegEnds_NonXtal_Prot#'!A:AL,28,FALSE)-VLOOKUP(A173,'SegEnds_NonXtal_Prot#'!A:AL,22,FALSE)</f>
        <v>58</v>
      </c>
      <c r="AI173" s="1">
        <f>VLOOKUP(A173,'SegEnds_NonXtal_Prot#'!A:AL,31,FALSE)-VLOOKUP(A173,'SegEnds_NonXtal_Prot#'!A:AL,28,FALSE)</f>
        <v>52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327</v>
      </c>
      <c r="B174" s="1" t="str">
        <f>VLOOKUP(A174,Xtal_Templ!A:B,2,FALSE)</f>
        <v>npy1r_human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72</v>
      </c>
      <c r="U174" s="1">
        <f t="array" ref="U174">INDEX(ICL3_classA!$H$2:$H$37,MATCH(MIN(ABS(AI174-ICL3_classA!$F$2:$F$37)),ABS(AI174-ICL3_classA!$F$2:$F$37),0))</f>
        <v>24</v>
      </c>
      <c r="V174" s="1">
        <v>61</v>
      </c>
      <c r="W174" s="131">
        <f>VLOOKUP($B174&amp;"__wt",'SegEnds_Xtal_BW#'!$A:$Z,23,FALSE)</f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25</v>
      </c>
      <c r="AH174" s="1">
        <f>VLOOKUP(A174,'SegEnds_NonXtal_Prot#'!A:AL,28,FALSE)-VLOOKUP(A174,'SegEnds_NonXtal_Prot#'!A:AL,22,FALSE)</f>
        <v>62</v>
      </c>
      <c r="AI174" s="1">
        <f>VLOOKUP(A174,'SegEnds_NonXtal_Prot#'!A:AL,31,FALSE)-VLOOKUP(A174,'SegEnds_NonXtal_Prot#'!A:AL,28,FALSE)</f>
        <v>54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328</v>
      </c>
      <c r="B175" s="1" t="str">
        <f>VLOOKUP(A175,Xtal_Templ!A:B,2,FALSE)</f>
        <v>npy1r_human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08" t="s">
        <v>23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76</v>
      </c>
      <c r="U175" s="1">
        <f t="array" ref="U175">INDEX(ICL3_classA!$H$2:$H$37,MATCH(MIN(ABS(AI175-ICL3_classA!$F$2:$F$37)),ABS(AI175-ICL3_classA!$F$2:$F$37),0))</f>
        <v>24</v>
      </c>
      <c r="V175" s="1">
        <v>61</v>
      </c>
      <c r="W175" s="131">
        <f>VLOOKUP($B175&amp;"__wt",'SegEnds_Xtal_BW#'!$A:$Z,23,FALSE)</f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25</v>
      </c>
      <c r="AH175" s="1">
        <f>VLOOKUP(A175,'SegEnds_NonXtal_Prot#'!A:AL,28,FALSE)-VLOOKUP(A175,'SegEnds_NonXtal_Prot#'!A:AL,22,FALSE)</f>
        <v>59</v>
      </c>
      <c r="AI175" s="1">
        <f>VLOOKUP(A175,'SegEnds_NonXtal_Prot#'!A:AL,31,FALSE)-VLOOKUP(A175,'SegEnds_NonXtal_Prot#'!A:AL,28,FALSE)</f>
        <v>160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31">
        <f>VLOOKUP($B176&amp;"__wt",'SegEnds_Xtal_BW#'!$A:$Z,23,FALSE)</f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27</v>
      </c>
      <c r="AH176" s="1">
        <f>VLOOKUP(A176,'SegEnds_NonXtal_Prot#'!A:AL,28,FALSE)-VLOOKUP(A176,'SegEnds_NonXtal_Prot#'!A:AL,22,FALSE)</f>
        <v>52</v>
      </c>
      <c r="AI176" s="1">
        <f>VLOOKUP(A176,'SegEnds_NonXtal_Prot#'!A:AL,31,FALSE)-VLOOKUP(A176,'SegEnds_NonXtal_Prot#'!A:AL,28,FALSE)</f>
        <v>51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Xtal</v>
      </c>
    </row>
    <row r="177" spans="1:38" x14ac:dyDescent="0.2">
      <c r="A177" s="1" t="s">
        <v>915</v>
      </c>
      <c r="B177" s="1" t="str">
        <f>VLOOKUP(A177,Xtal_Templ!A:B,2,FALSE)</f>
        <v>oprd_mouse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23</v>
      </c>
      <c r="V177" s="1">
        <v>61</v>
      </c>
      <c r="W177" s="131">
        <f>VLOOKUP($B177&amp;"__wt",'SegEnds_Xtal_BW#'!$A:$Z,23,FALSE)</f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52</v>
      </c>
      <c r="AI177" s="1">
        <f>VLOOKUP(A177,'SegEnds_NonXtal_Prot#'!A:AL,31,FALSE)-VLOOKUP(A177,'SegEnds_NonXtal_Prot#'!A:AL,28,FALSE)</f>
        <v>51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Xtal</v>
      </c>
    </row>
    <row r="178" spans="1:38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24</v>
      </c>
      <c r="V178" s="1">
        <v>62</v>
      </c>
      <c r="W178" s="131">
        <f>VLOOKUP($B178&amp;"__wt",'SegEnds_Xtal_BW#'!$A:$Z,23,FALSE)</f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 t="e">
        <f>VLOOKUP(A178,'SegEnds_NonXtal_Prot#'!A:AL,10,FALSE)-VLOOKUP(A178,'SegEnds_NonXtal_Prot#'!A:AL,7,FALSE)</f>
        <v>#VALUE!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19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55</v>
      </c>
      <c r="AI178" s="1">
        <f>VLOOKUP(A178,'SegEnds_NonXtal_Prot#'!A:AL,31,FALSE)-VLOOKUP(A178,'SegEnds_NonXtal_Prot#'!A:AL,28,FALSE)</f>
        <v>48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30</v>
      </c>
      <c r="V179" s="1">
        <v>62</v>
      </c>
      <c r="W179" s="131">
        <f>VLOOKUP($B179&amp;"__wt",'SegEnds_Xtal_BW#'!$A:$Z,23,FALSE)</f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22</v>
      </c>
      <c r="AH179" s="1">
        <f>VLOOKUP(A179,'SegEnds_NonXtal_Prot#'!A:AL,28,FALSE)-VLOOKUP(A179,'SegEnds_NonXtal_Prot#'!A:AL,22,FALSE)</f>
        <v>56</v>
      </c>
      <c r="AI179" s="1">
        <f>VLOOKUP(A179,'SegEnds_NonXtal_Prot#'!A:AL,31,FALSE)-VLOOKUP(A179,'SegEnds_NonXtal_Prot#'!A:AL,28,FALSE)</f>
        <v>42</v>
      </c>
      <c r="AJ179" s="1">
        <f>VLOOKUP(A179,'SegEnds_NonXtal_Prot#'!A:AL,34,FALSE)-VLOOKUP(A179,'SegEnds_NonXtal_Prot#'!A:AL,31,FALSE)</f>
        <v>39</v>
      </c>
      <c r="AK179" s="1" t="e">
        <f>VLOOKUP(A179,'SegEnds_NonXtal_Prot#'!A:AL,37,FALSE)-VLOOKUP(A179,'SegEnds_NonXtal_Prot#'!A:AL,34,FALSE)</f>
        <v>#VALUE!</v>
      </c>
      <c r="AL179" s="1" t="str">
        <f>IF(ISERROR(MATCH(A179,'SegEnds_Xtal_Prot#'!B:B, 0)), "NoXtal", "Xtal")</f>
        <v>NoXtal</v>
      </c>
    </row>
    <row r="180" spans="1:38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62</v>
      </c>
      <c r="W180" s="131">
        <f>VLOOKUP($B180&amp;"__wt",'SegEnds_Xtal_BW#'!$A:$Z,23,FALSE)</f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55</v>
      </c>
      <c r="AI180" s="1">
        <f>VLOOKUP(A180,'SegEnds_NonXtal_Prot#'!A:AL,31,FALSE)-VLOOKUP(A180,'SegEnds_NonXtal_Prot#'!A:AL,28,FALSE)</f>
        <v>42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364</v>
      </c>
      <c r="B181" s="1" t="str">
        <f>VLOOKUP(A181,Xtal_Templ!A:B,2,FALSE)</f>
        <v>pe2r4_human</v>
      </c>
      <c r="C181" s="5">
        <f>VLOOKUP($B181&amp;"__wt",'SegEnds_Xtal_BW#'!$A:$Z,3,FALSE)</f>
        <v>33</v>
      </c>
      <c r="D181" s="1">
        <f>VLOOKUP($B181&amp;"__wt",'SegEnds_Xtal_BW#'!$A:$Z,4,FALSE)</f>
        <v>58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v>38</v>
      </c>
      <c r="P181" s="1">
        <f>VLOOKUP($B181&amp;"__wt",'SegEnds_Xtal_BW#'!$A:$Z,16,FALSE)</f>
        <v>63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31">
        <f>VLOOKUP($B181&amp;"__wt",'SegEnds_Xtal_BW#'!$A:$Z,23,FALSE)</f>
        <v>33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30</v>
      </c>
      <c r="AC181" s="1" t="e">
        <f>VLOOKUP(A181,'SegEnds_NonXtal_Prot#'!A:AL,10,FALSE)-VLOOKUP(A181,'SegEnds_NonXtal_Prot#'!A:AL,7,FALSE)</f>
        <v>#VALUE!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51</v>
      </c>
      <c r="AI181" s="1">
        <f>VLOOKUP(A181,'SegEnds_NonXtal_Prot#'!A:AL,31,FALSE)-VLOOKUP(A181,'SegEnds_NonXtal_Prot#'!A:AL,28,FALSE)</f>
        <v>92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Xtal</v>
      </c>
    </row>
    <row r="182" spans="1:38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68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7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33</v>
      </c>
      <c r="T182" s="4">
        <f t="array" ref="T182">INDEX(ICL3_classA!$G$2:$G$37,MATCH(MIN(ABS(AI182-ICL3_classA!$F$2:$F$37)),ABS(AI182-ICL3_classA!$F$2:$F$37),0))</f>
        <v>73</v>
      </c>
      <c r="U182" s="4">
        <f t="array" ref="U182">INDEX(ICL3_classA!$H$2:$H$37,MATCH(MIN(ABS(AI182-ICL3_classA!$F$2:$F$37)),ABS(AI182-ICL3_classA!$F$2:$F$37),0))</f>
        <v>22</v>
      </c>
      <c r="V182" s="4">
        <v>61</v>
      </c>
      <c r="W182" s="131">
        <f>VLOOKUP($B182&amp;"__wt",'SegEnds_Xtal_BW#'!$A:$Z,23,FALSE)</f>
        <v>27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63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4">
        <f>VLOOKUP(A182,'SegEnds_NonXtal_Prot#'!A:AL,10,FALSE)-VLOOKUP(A182,'SegEnds_NonXtal_Prot#'!A:AL,7,FALSE)</f>
        <v>15</v>
      </c>
      <c r="AD182" s="4">
        <f>VLOOKUP(A182,'SegEnds_NonXtal_Prot#'!A:AL,13,FALSE)-VLOOKUP(A182,'SegEnds_NonXtal_Prot#'!A:AL,10,FALSE)</f>
        <v>21</v>
      </c>
      <c r="AE182" s="4">
        <f>VLOOKUP(A182,'SegEnds_NonXtal_Prot#'!A:AL,16,FALSE)-VLOOKUP(A182,'SegEnds_NonXtal_Prot#'!A:AL,10,FALSE)</f>
        <v>53</v>
      </c>
      <c r="AF182" s="1">
        <f>VLOOKUP(A182,'SegEnds_NonXtal_Prot#'!A:AL,22,FALSE)-VLOOKUP(A182,'SegEnds_NonXtal_Prot#'!A:AL,19,FALSE)</f>
        <v>18</v>
      </c>
      <c r="AG182" s="4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53</v>
      </c>
      <c r="AI182" s="4">
        <f>VLOOKUP(A182,'SegEnds_NonXtal_Prot#'!A:AL,31,FALSE)-VLOOKUP(A182,'SegEnds_NonXtal_Prot#'!A:AL,28,FALSE)</f>
        <v>56</v>
      </c>
      <c r="AJ182" s="4">
        <f>VLOOKUP(A182,'SegEnds_NonXtal_Prot#'!A:AL,34,FALSE)-VLOOKUP(A182,'SegEnds_NonXtal_Prot#'!A:AL,31,FALSE)</f>
        <v>39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INDEX(ICL3_classA!$G$2:$G$37,MATCH(MIN(ABS(AI183-ICL3_classA!$F$2:$F$37)),ABS(AI183-ICL3_classA!$F$2:$F$37),0))</f>
        <v>72</v>
      </c>
      <c r="U183" s="1">
        <f t="array" ref="U183">INDEX(ICL3_classA!$H$2:$H$37,MATCH(MIN(ABS(AI183-ICL3_classA!$F$2:$F$37)),ABS(AI183-ICL3_classA!$F$2:$F$37),0))</f>
        <v>29</v>
      </c>
      <c r="V183" s="1">
        <v>61</v>
      </c>
      <c r="W183" s="131">
        <f>VLOOKUP($B183&amp;"__wt",'SegEnds_Xtal_BW#'!$A:$Z,23,FALSE)</f>
        <v>31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19</v>
      </c>
      <c r="AE183" s="1">
        <f>VLOOKUP(A183,'SegEnds_NonXtal_Prot#'!A:AL,16,FALSE)-VLOOKUP(A183,'SegEnds_NonXtal_Prot#'!A:AL,10,FALSE)</f>
        <v>51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24</v>
      </c>
      <c r="AH183" s="1">
        <f>VLOOKUP(A183,'SegEnds_NonXtal_Prot#'!A:AL,28,FALSE)-VLOOKUP(A183,'SegEnds_NonXtal_Prot#'!A:AL,22,FALSE)</f>
        <v>49</v>
      </c>
      <c r="AI183" s="1">
        <f>VLOOKUP(A183,'SegEnds_NonXtal_Prot#'!A:AL,31,FALSE)-VLOOKUP(A183,'SegEnds_NonXtal_Prot#'!A:AL,28,FALSE)</f>
        <v>50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08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08">
        <v>56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INDEX(ICL3_classA!$G$2:$G$37,MATCH(MIN(ABS(AI184-ICL3_classA!$F$2:$F$37)),ABS(AI184-ICL3_classA!$F$2:$F$37),0))</f>
        <v>76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31">
        <f>VLOOKUP($B184&amp;"__wt",'SegEnds_Xtal_BW#'!$A:$Z,23,FALSE)</f>
        <v>27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63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18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19</v>
      </c>
      <c r="AG184" s="1">
        <f>VLOOKUP(A184,'SegEnds_NonXtal_Prot#'!A:AL,28,FALSE)-VLOOKUP(A184,'SegEnds_NonXtal_Prot#'!A:AL,25,FALSE)</f>
        <v>25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78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398</v>
      </c>
      <c r="B185" s="1" t="str">
        <f>VLOOKUP(A185,Xtal_Templ!A:B,2,FALSE)</f>
        <v>ntr1_human</v>
      </c>
      <c r="C185" s="5">
        <f>VLOOKUP($B185&amp;"__wt",'SegEnds_Xtal_BW#'!$A:$Z,3,FALSE)</f>
        <v>28</v>
      </c>
      <c r="D185" s="1">
        <f>VLOOKUP($B185&amp;"__wt",'SegEnds_Xtal_BW#'!$A:$Z,4,FALSE)</f>
        <v>60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08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31">
        <f>VLOOKUP($B185&amp;"__wt",'SegEnds_Xtal_BW#'!$A:$Z,23,FALSE)</f>
        <v>24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62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18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85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164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08">
        <v>31</v>
      </c>
      <c r="V186" s="1">
        <v>61</v>
      </c>
      <c r="W186" s="108">
        <v>25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176</v>
      </c>
      <c r="AH186" s="1">
        <f>VLOOKUP(A186,'SegEnds_NonXtal_Prot#'!A:AL,28,FALSE)-VLOOKUP(A186,'SegEnds_NonXtal_Prot#'!A:AL,22,FALSE)</f>
        <v>201</v>
      </c>
      <c r="AI186" s="1">
        <f>VLOOKUP(A186,'SegEnds_NonXtal_Prot#'!A:AL,31,FALSE)-VLOOKUP(A186,'SegEnds_NonXtal_Prot#'!A:AL,28,FALSE)</f>
        <v>44</v>
      </c>
      <c r="AJ186" s="1">
        <f>VLOOKUP(A186,'SegEnds_NonXtal_Prot#'!A:AL,34,FALSE)-VLOOKUP(A186,'SegEnds_NonXtal_Prot#'!A:AL,31,FALSE)</f>
        <v>40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165</v>
      </c>
      <c r="B187" s="1" t="str">
        <f>VLOOKUP(A187,Xtal_Templ!A:B,2,FALSE)</f>
        <v>c5ar1_human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08">
        <v>31</v>
      </c>
      <c r="V187" s="1">
        <v>61</v>
      </c>
      <c r="W187" s="108">
        <v>25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56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26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43</v>
      </c>
      <c r="AJ187" s="1">
        <f>VLOOKUP(A187,'SegEnds_NonXtal_Prot#'!A:AL,34,FALSE)-VLOOKUP(A187,'SegEnds_NonXtal_Prot#'!A:AL,31,FALSE)</f>
        <v>40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166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64</v>
      </c>
      <c r="U188" s="108">
        <v>31</v>
      </c>
      <c r="V188" s="1">
        <v>61</v>
      </c>
      <c r="W188" s="108">
        <v>25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56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26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36</v>
      </c>
      <c r="AJ188" s="1">
        <f>VLOOKUP(A188,'SegEnds_NonXtal_Prot#'!A:AL,34,FALSE)-VLOOKUP(A188,'SegEnds_NonXtal_Prot#'!A:AL,31,FALSE)</f>
        <v>40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180</v>
      </c>
      <c r="B189" s="1" t="str">
        <f>VLOOKUP(A189,Xtal_Templ!A:B,2,FALSE)</f>
        <v>cltr2_human</v>
      </c>
      <c r="C189" s="5">
        <f>VLOOKUP($B189&amp;"__wt",'SegEnds_Xtal_BW#'!$A:$Z,3,FALSE)</f>
        <v>25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63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24</v>
      </c>
      <c r="V189" s="1">
        <f>VLOOKUP($B189&amp;"__wt",'SegEnds_Xtal_BW#'!$A:$Z,22,FALSE)</f>
        <v>62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60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 t="e">
        <f>VLOOKUP(A189,'SegEnds_NonXtal_Prot#'!A:AL,10,FALSE)-VLOOKUP(A189,'SegEnds_NonXtal_Prot#'!A:AL,7,FALSE)</f>
        <v>#VALUE!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50</v>
      </c>
      <c r="AI189" s="1">
        <f>VLOOKUP(A189,'SegEnds_NonXtal_Prot#'!A:AL,31,FALSE)-VLOOKUP(A189,'SegEnds_NonXtal_Prot#'!A:AL,28,FALSE)</f>
        <v>49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Xtal</v>
      </c>
    </row>
    <row r="190" spans="1:38" x14ac:dyDescent="0.2">
      <c r="A190" s="1" t="s">
        <v>217</v>
      </c>
      <c r="B190" s="1" t="str">
        <f>VLOOKUP(A190,Xtal_Templ!A:B,2,FALSE)</f>
        <v>ccr7_human</v>
      </c>
      <c r="C190" s="5">
        <f>VLOOKUP($B190&amp;"__wt",'SegEnds_Xtal_BW#'!$A:$Z,3,FALSE)</f>
        <v>29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33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30</v>
      </c>
      <c r="AH190" s="1">
        <f>VLOOKUP(A190,'SegEnds_NonXtal_Prot#'!A:AL,28,FALSE)-VLOOKUP(A190,'SegEnds_NonXtal_Prot#'!A:AL,22,FALSE)</f>
        <v>56</v>
      </c>
      <c r="AI190" s="1">
        <f>VLOOKUP(A190,'SegEnds_NonXtal_Prot#'!A:AL,31,FALSE)-VLOOKUP(A190,'SegEnds_NonXtal_Prot#'!A:AL,28,FALSE)</f>
        <v>44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11</v>
      </c>
      <c r="AL190" s="1" t="str">
        <f>IF(ISERROR(MATCH(A190,'SegEnds_Xtal_Prot#'!B:B, 0)), "NoXtal", "Xtal")</f>
        <v>NoXtal</v>
      </c>
    </row>
    <row r="191" spans="1:38" x14ac:dyDescent="0.2">
      <c r="A191" s="1" t="s">
        <v>224</v>
      </c>
      <c r="B191" s="1" t="str">
        <f>VLOOKUP(A191,Xtal_Templ!A:B,2,FALSE)</f>
        <v>pd2r2_human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64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30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22</v>
      </c>
      <c r="AH191" s="1">
        <f>VLOOKUP(A191,'SegEnds_NonXtal_Prot#'!A:AL,28,FALSE)-VLOOKUP(A191,'SegEnds_NonXtal_Prot#'!A:AL,22,FALSE)</f>
        <v>48</v>
      </c>
      <c r="AI191" s="1">
        <f>VLOOKUP(A191,'SegEnds_NonXtal_Prot#'!A:AL,31,FALSE)-VLOOKUP(A191,'SegEnds_NonXtal_Prot#'!A:AL,28,FALSE)</f>
        <v>48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28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68</v>
      </c>
      <c r="U192" s="1">
        <f t="array" ref="U192">INDEX(ICL3_classA!$H$2:$H$37,MATCH(MIN(ABS(AI192-ICL3_classA!$F$2:$F$37)),ABS(AI192-ICL3_classA!$F$2:$F$37),0))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31</v>
      </c>
      <c r="AH192" s="1">
        <f>VLOOKUP(A192,'SegEnds_NonXtal_Prot#'!A:AL,28,FALSE)-VLOOKUP(A192,'SegEnds_NonXtal_Prot#'!A:AL,22,FALSE)</f>
        <v>56</v>
      </c>
      <c r="AI192" s="1">
        <f>VLOOKUP(A192,'SegEnds_NonXtal_Prot#'!A:AL,31,FALSE)-VLOOKUP(A192,'SegEnds_NonXtal_Prot#'!A:AL,28,FALSE)</f>
        <v>43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26</v>
      </c>
      <c r="AH193" s="1">
        <f>VLOOKUP(A193,'SegEnds_NonXtal_Prot#'!A:AL,28,FALSE)-VLOOKUP(A193,'SegEnds_NonXtal_Prot#'!A:AL,22,FALSE)</f>
        <v>57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INDEX(ICL3_classA!$G$2:$G$37,MATCH(MIN(ABS(AI194-ICL3_classA!$F$2:$F$37)),ABS(AI194-ICL3_classA!$F$2:$F$37),0))</f>
        <v>67</v>
      </c>
      <c r="U194" s="1">
        <f t="array" ref="U194">INDEX(ICL3_classA!$H$2:$H$37,MATCH(MIN(ABS(AI194-ICL3_classA!$F$2:$F$37)),ABS(AI194-ICL3_classA!$F$2:$F$37),0))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23</v>
      </c>
      <c r="AH194" s="1">
        <f>VLOOKUP(A194,'SegEnds_NonXtal_Prot#'!A:AL,28,FALSE)-VLOOKUP(A194,'SegEnds_NonXtal_Prot#'!A:AL,22,FALSE)</f>
        <v>48</v>
      </c>
      <c r="AI194" s="1">
        <f>VLOOKUP(A194,'SegEnds_NonXtal_Prot#'!A:AL,31,FALSE)-VLOOKUP(A194,'SegEnds_NonXtal_Prot#'!A:AL,28,FALSE)</f>
        <v>47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56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331</v>
      </c>
      <c r="B196" s="1" t="str">
        <f>VLOOKUP(A196,Xtal_Templ!A:B,2,FALSE)</f>
        <v>agtr2_human</v>
      </c>
      <c r="C196" s="5">
        <f>VLOOKUP($B196&amp;"__wt",'SegEnds_Xtal_BW#'!$A:$Z,3,FALSE)</f>
        <v>33</v>
      </c>
      <c r="D196" s="108">
        <v>60</v>
      </c>
      <c r="E196" s="108">
        <v>48</v>
      </c>
      <c r="F196" s="108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47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INDEX(ICL3_classA!$G$2:$G$37,MATCH(MIN(ABS(AI196-ICL3_classA!$F$2:$F$37)),ABS(AI196-ICL3_classA!$F$2:$F$37),0))</f>
        <v>67</v>
      </c>
      <c r="U196" s="1">
        <f t="array" ref="U196">INDEX(ICL3_classA!$H$2:$H$37,MATCH(MIN(ABS(AI196-ICL3_classA!$F$2:$F$37)),ABS(AI196-ICL3_classA!$F$2:$F$37),0))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25</v>
      </c>
      <c r="AH196" s="1">
        <f>VLOOKUP(A196,'SegEnds_NonXtal_Prot#'!A:AL,28,FALSE)-VLOOKUP(A196,'SegEnds_NonXtal_Prot#'!A:AL,22,FALSE)</f>
        <v>51</v>
      </c>
      <c r="AI196" s="1">
        <f>VLOOKUP(A196,'SegEnds_NonXtal_Prot#'!A:AL,31,FALSE)-VLOOKUP(A196,'SegEnds_NonXtal_Prot#'!A:AL,28,FALSE)</f>
        <v>46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7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55</v>
      </c>
      <c r="AI197" s="1">
        <f>VLOOKUP(A197,'SegEnds_NonXtal_Prot#'!A:AL,31,FALSE)-VLOOKUP(A197,'SegEnds_NonXtal_Prot#'!A:AL,28,FALSE)</f>
        <v>46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Xtal</v>
      </c>
    </row>
    <row r="198" spans="1:38" x14ac:dyDescent="0.2">
      <c r="A198" s="1" t="s">
        <v>359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76</v>
      </c>
      <c r="U198" s="1">
        <f t="array" ref="U198">INDEX(ICL3_classA!$H$2:$H$37,MATCH(MIN(ABS(AI198-ICL3_classA!$F$2:$F$37)),ABS(AI198-ICL3_classA!$F$2:$F$37),0))</f>
        <v>24</v>
      </c>
      <c r="V198" s="1">
        <v>61</v>
      </c>
      <c r="W198" s="1">
        <v>28</v>
      </c>
      <c r="X198" s="124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38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58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29</v>
      </c>
      <c r="AH198" s="1">
        <f>VLOOKUP(A198,'SegEnds_NonXtal_Prot#'!A:AL,28,FALSE)-VLOOKUP(A198,'SegEnds_NonXtal_Prot#'!A:AL,22,FALSE)</f>
        <v>55</v>
      </c>
      <c r="AI198" s="1">
        <f>VLOOKUP(A198,'SegEnds_NonXtal_Prot#'!A:AL,31,FALSE)-VLOOKUP(A198,'SegEnds_NonXtal_Prot#'!A:AL,28,FALSE)</f>
        <v>68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360</v>
      </c>
      <c r="B199" s="1" t="str">
        <f>VLOOKUP(A199,Xtal_Templ!A:B,2,FALSE)</f>
        <v>pd2r2_human</v>
      </c>
      <c r="C199" s="5">
        <f>VLOOKUP($B199&amp;"__wt",'SegEnds_Xtal_BW#'!$A:$Z,3,FALSE)</f>
        <v>32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26</v>
      </c>
      <c r="T199" s="1">
        <f t="array" ref="T199">INDEX(ICL3_classA!$G$2:$G$37,MATCH(MIN(ABS(AI199-ICL3_classA!$F$2:$F$37)),ABS(AI199-ICL3_classA!$F$2:$F$37),0))</f>
        <v>68</v>
      </c>
      <c r="U199" s="1">
        <f t="array" ref="U199">INDEX(ICL3_classA!$H$2:$H$37,MATCH(MIN(ABS(AI199-ICL3_classA!$F$2:$F$37)),ABS(AI199-ICL3_classA!$F$2:$F$37),0))</f>
        <v>30</v>
      </c>
      <c r="V199" s="1">
        <v>61</v>
      </c>
      <c r="W199" s="108">
        <v>27</v>
      </c>
      <c r="X199" s="124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64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36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43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68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08" t="s">
        <v>23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33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63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22</v>
      </c>
      <c r="AE200" s="1">
        <f>VLOOKUP(A200,'SegEnds_NonXtal_Prot#'!A:AL,16,FALSE)-VLOOKUP(A200,'SegEnds_NonXtal_Prot#'!A:AL,10,FALSE)</f>
        <v>54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57</v>
      </c>
      <c r="AI200" s="1">
        <f>VLOOKUP(A200,'SegEnds_NonXtal_Prot#'!A:AL,31,FALSE)-VLOOKUP(A200,'SegEnds_NonXtal_Prot#'!A:AL,28,FALSE)</f>
        <v>55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11</v>
      </c>
      <c r="AL200" s="1" t="str">
        <f>IF(ISERROR(MATCH(A200,'SegEnds_Xtal_Prot#'!B:B, 0)), "NoXtal", "Xtal")</f>
        <v>NoXtal</v>
      </c>
    </row>
    <row r="201" spans="1:38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68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08" t="s">
        <v>23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INDEX(ICL3_classA!$G$2:$G$37,MATCH(MIN(ABS(AI201-ICL3_classA!$F$2:$F$37)),ABS(AI201-ICL3_classA!$F$2:$F$37),0))</f>
        <v>73</v>
      </c>
      <c r="U201" s="1">
        <f t="array" ref="U201">INDEX(ICL3_classA!$H$2:$H$37,MATCH(MIN(ABS(AI201-ICL3_classA!$F$2:$F$37)),ABS(AI201-ICL3_classA!$F$2:$F$37),0))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63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22</v>
      </c>
      <c r="AE201" s="1">
        <f>VLOOKUP(A201,'SegEnds_NonXtal_Prot#'!A:AL,16,FALSE)-VLOOKUP(A201,'SegEnds_NonXtal_Prot#'!A:AL,10,FALSE)</f>
        <v>54</v>
      </c>
      <c r="AF201" s="1" t="e">
        <f>VLOOKUP(A201,'SegEnds_NonXtal_Prot#'!A:AL,22,FALSE)-VLOOKUP(A201,'SegEnds_NonXtal_Prot#'!A:AL,19,FALSE)</f>
        <v>#VALUE!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57</v>
      </c>
      <c r="AI201" s="1">
        <f>VLOOKUP(A201,'SegEnds_NonXtal_Prot#'!A:AL,31,FALSE)-VLOOKUP(A201,'SegEnds_NonXtal_Prot#'!A:AL,28,FALSE)</f>
        <v>55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11</v>
      </c>
      <c r="AL201" s="1" t="str">
        <f>IF(ISERROR(MATCH(A201,'SegEnds_Xtal_Prot#'!B:B, 0)), "NoXtal", "Xtal")</f>
        <v>NoXtal</v>
      </c>
    </row>
    <row r="202" spans="1:38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20</v>
      </c>
      <c r="AH203" s="1">
        <f>VLOOKUP(A203,'SegEnds_NonXtal_Prot#'!A:AL,28,FALSE)-VLOOKUP(A203,'SegEnds_NonXtal_Prot#'!A:AL,22,FALSE)</f>
        <v>58</v>
      </c>
      <c r="AI203" s="1">
        <f>VLOOKUP(A203,'SegEnds_NonXtal_Prot#'!A:AL,31,FALSE)-VLOOKUP(A203,'SegEnds_NonXtal_Prot#'!A:AL,28,FALSE)</f>
        <v>81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254</v>
      </c>
      <c r="B204" s="1" t="str">
        <f>VLOOKUP(A204,Xtal_Templ!A:B,2,FALSE)</f>
        <v>oprk_human</v>
      </c>
      <c r="C204" s="5">
        <f>VLOOKUP($B204&amp;"__wt",'SegEnds_Xtal_BW#'!$A:$Z,3,FALSE)</f>
        <v>30</v>
      </c>
      <c r="D204" s="108"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 t="e">
        <f>VLOOKUP(A204,'SegEnds_NonXtal_Prot#'!A:AL,13,FALSE)-VLOOKUP(A204,'SegEnds_NonXtal_Prot#'!A:AL,10,FALSE)</f>
        <v>#VALUE!</v>
      </c>
      <c r="AE204" s="1">
        <f>VLOOKUP(A204,'SegEnds_NonXtal_Prot#'!A:AL,16,FALSE)-VLOOKUP(A204,'SegEnds_NonXtal_Prot#'!A:AL,10,FALSE)</f>
        <v>48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21</v>
      </c>
      <c r="AH204" s="1">
        <f>VLOOKUP(A204,'SegEnds_NonXtal_Prot#'!A:AL,28,FALSE)-VLOOKUP(A204,'SegEnds_NonXtal_Prot#'!A:AL,22,FALSE)</f>
        <v>42</v>
      </c>
      <c r="AI204" s="1">
        <f>VLOOKUP(A204,'SegEnds_NonXtal_Prot#'!A:AL,31,FALSE)-VLOOKUP(A204,'SegEnds_NonXtal_Prot#'!A:AL,28,FALSE)</f>
        <v>49</v>
      </c>
      <c r="AJ204" s="1">
        <f>VLOOKUP(A204,'SegEnds_NonXtal_Prot#'!A:AL,34,FALSE)-VLOOKUP(A204,'SegEnds_NonXtal_Prot#'!A:AL,31,FALSE)</f>
        <v>41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 t="str">
        <f>VLOOKUP($B205&amp;"__wt",'SegEnds_Xtal_BW#'!$A:$Z,5,FALSE)</f>
        <v>-</v>
      </c>
      <c r="F205" s="4" t="str">
        <f>VLOOKUP($B205&amp;"__wt",'SegEnds_Xtal_BW#'!$A:$Z,6,FALSE)</f>
        <v>-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7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INDEX(ICL3_classA!$G$2:$G$37,MATCH(MIN(ABS(AI205-ICL3_classA!$F$2:$F$37)),ABS(AI205-ICL3_classA!$F$2:$F$37),0))</f>
        <v>76</v>
      </c>
      <c r="U205" s="4">
        <f t="array" ref="U205">INDEX(ICL3_classA!$H$2:$H$37,MATCH(MIN(ABS(AI205-ICL3_classA!$F$2:$F$37)),ABS(AI205-ICL3_classA!$F$2:$F$37),0))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62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4">
        <f>VLOOKUP(A205,'SegEnds_NonXtal_Prot#'!A:AL,10,FALSE)-VLOOKUP(A205,'SegEnds_NonXtal_Prot#'!A:AL,7,FALSE)</f>
        <v>15</v>
      </c>
      <c r="AD205" s="4">
        <f>VLOOKUP(A205,'SegEnds_NonXtal_Prot#'!A:AL,13,FALSE)-VLOOKUP(A205,'SegEnds_NonXtal_Prot#'!A:AL,10,FALSE)</f>
        <v>19</v>
      </c>
      <c r="AE205" s="4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4">
        <f>VLOOKUP(A205,'SegEnds_NonXtal_Prot#'!A:AL,28,FALSE)-VLOOKUP(A205,'SegEnds_NonXtal_Prot#'!A:AL,25,FALSE)</f>
        <v>24</v>
      </c>
      <c r="AH205" s="1">
        <f>VLOOKUP(A205,'SegEnds_NonXtal_Prot#'!A:AL,28,FALSE)-VLOOKUP(A205,'SegEnds_NonXtal_Prot#'!A:AL,22,FALSE)</f>
        <v>57</v>
      </c>
      <c r="AI205" s="4">
        <f>VLOOKUP(A205,'SegEnds_NonXtal_Prot#'!A:AL,31,FALSE)-VLOOKUP(A205,'SegEnds_NonXtal_Prot#'!A:AL,28,FALSE)</f>
        <v>69</v>
      </c>
      <c r="AJ205" s="4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 t="str">
        <f>VLOOKUP($B206&amp;"__wt",'SegEnds_Xtal_BW#'!$A:$Z,5,FALSE)</f>
        <v>-</v>
      </c>
      <c r="F206" s="1" t="str">
        <f>VLOOKUP($B206&amp;"__wt",'SegEnds_Xtal_BW#'!$A:$Z,6,FALSE)</f>
        <v>-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62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19</v>
      </c>
      <c r="AE206" s="1">
        <f>VLOOKUP(A206,'SegEnds_NonXtal_Prot#'!A:AL,16,FALSE)-VLOOKUP(A206,'SegEnds_NonXtal_Prot#'!A:AL,10,FALSE)</f>
        <v>53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24</v>
      </c>
      <c r="AH206" s="1">
        <f>VLOOKUP(A206,'SegEnds_NonXtal_Prot#'!A:AL,28,FALSE)-VLOOKUP(A206,'SegEnds_NonXtal_Prot#'!A:AL,22,FALSE)</f>
        <v>57</v>
      </c>
      <c r="AI206" s="1">
        <f>VLOOKUP(A206,'SegEnds_NonXtal_Prot#'!A:AL,31,FALSE)-VLOOKUP(A206,'SegEnds_NonXtal_Prot#'!A:AL,28,FALSE)</f>
        <v>55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68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33</v>
      </c>
      <c r="T207" s="1">
        <f t="array" ref="T207">INDEX(ICL3_classA!$G$2:$G$37,MATCH(MIN(ABS(AI207-ICL3_classA!$F$2:$F$37)),ABS(AI207-ICL3_classA!$F$2:$F$37),0))</f>
        <v>73</v>
      </c>
      <c r="U207" s="1">
        <f t="array" ref="U207">INDEX(ICL3_classA!$H$2:$H$37,MATCH(MIN(ABS(AI207-ICL3_classA!$F$2:$F$37)),ABS(AI207-ICL3_classA!$F$2:$F$37),0))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63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57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323</v>
      </c>
      <c r="B208" s="1" t="str">
        <f>VLOOKUP(A208,Xtal_Templ!A:B,2,FALSE)</f>
        <v>ox1r_human</v>
      </c>
      <c r="C208" s="5">
        <f>VLOOKUP($B208&amp;"__wt",'SegEnds_Xtal_BW#'!$A:$Z,3,FALSE)</f>
        <v>32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68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33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63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63</v>
      </c>
      <c r="AI208" s="1">
        <f>VLOOKUP(A208,'SegEnds_NonXtal_Prot#'!A:AL,31,FALSE)-VLOOKUP(A208,'SegEnds_NonXtal_Prot#'!A:AL,28,FALSE)</f>
        <v>58</v>
      </c>
      <c r="AJ208" s="1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63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56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201</v>
      </c>
      <c r="B210" s="1" t="str">
        <f>VLOOKUP(A210,Xtal_Templ!A:B,2,FALSE)</f>
        <v>pd2r2_human</v>
      </c>
      <c r="C210" s="5">
        <f>VLOOKUP($B210&amp;"__wt",'SegEnds_Xtal_BW#'!$A:$Z,3,FALSE)</f>
        <v>32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26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64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27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37</v>
      </c>
      <c r="AH210" s="1">
        <f>VLOOKUP(A210,'SegEnds_NonXtal_Prot#'!A:AL,28,FALSE)-VLOOKUP(A210,'SegEnds_NonXtal_Prot#'!A:AL,22,FALSE)</f>
        <v>63</v>
      </c>
      <c r="AI210" s="1">
        <f>VLOOKUP(A210,'SegEnds_NonXtal_Prot#'!A:AL,31,FALSE)-VLOOKUP(A210,'SegEnds_NonXtal_Prot#'!A:AL,28,FALSE)</f>
        <v>43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209</v>
      </c>
      <c r="B211" s="1" t="str">
        <f>VLOOKUP(A211,Xtal_Templ!A:B,2,FALSE)</f>
        <v>ntr1_human</v>
      </c>
      <c r="C211" s="5">
        <f>VLOOKUP($B211&amp;"__wt",'SegEnds_Xtal_BW#'!$A:$Z,3,FALSE)</f>
        <v>28</v>
      </c>
      <c r="D211" s="1">
        <f>VLOOKUP($B211&amp;"__wt",'SegEnds_Xtal_BW#'!$A:$Z,4,FALSE)</f>
        <v>60</v>
      </c>
      <c r="E211" s="1" t="str">
        <f>VLOOKUP($B211&amp;"__wt",'SegEnds_Xtal_BW#'!$A:$Z,5,FALSE)</f>
        <v>-</v>
      </c>
      <c r="F211" s="1" t="str">
        <f>VLOOKUP($B211&amp;"__wt",'SegEnds_Xtal_BW#'!$A:$Z,6,FALSE)</f>
        <v>-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31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62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26</v>
      </c>
      <c r="AH211" s="1">
        <f>VLOOKUP(A211,'SegEnds_NonXtal_Prot#'!A:AL,28,FALSE)-VLOOKUP(A211,'SegEnds_NonXtal_Prot#'!A:AL,22,FALSE)</f>
        <v>56</v>
      </c>
      <c r="AI211" s="1">
        <f>VLOOKUP(A211,'SegEnds_NonXtal_Prot#'!A:AL,31,FALSE)-VLOOKUP(A211,'SegEnds_NonXtal_Prot#'!A:AL,28,FALSE)</f>
        <v>54</v>
      </c>
      <c r="AJ211" s="1">
        <f>VLOOKUP(A211,'SegEnds_NonXtal_Prot#'!A:AL,34,FALSE)-VLOOKUP(A211,'SegEnds_NonXtal_Prot#'!A:AL,31,FALSE)</f>
        <v>42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68</v>
      </c>
      <c r="U212" s="1">
        <f t="array" ref="U212">INDEX(ICL3_classA!$H$2:$H$37,MATCH(MIN(ABS(AI212-ICL3_classA!$F$2:$F$37)),ABS(AI212-ICL3_classA!$F$2:$F$37),0))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50</v>
      </c>
      <c r="AI212" s="1">
        <f>VLOOKUP(A212,'SegEnds_NonXtal_Prot#'!A:AL,31,FALSE)-VLOOKUP(A212,'SegEnds_NonXtal_Prot#'!A:AL,28,FALSE)</f>
        <v>48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251</v>
      </c>
      <c r="B213" s="1" t="str">
        <f>VLOOKUP(A213,Xtal_Templ!A:B,2,FALSE)</f>
        <v>oprd_human</v>
      </c>
      <c r="C213" s="5">
        <f>VLOOKUP($B213&amp;"__wt",'SegEnds_Xtal_BW#'!$A:$Z,3,FALSE)</f>
        <v>22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60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19</v>
      </c>
      <c r="AE213" s="1">
        <f>VLOOKUP(A213,'SegEnds_NonXtal_Prot#'!A:AL,16,FALSE)-VLOOKUP(A213,'SegEnds_NonXtal_Prot#'!A:AL,10,FALSE)</f>
        <v>51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62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68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56</v>
      </c>
      <c r="AF214" s="1">
        <f>VLOOKUP(A214,'SegEnds_NonXtal_Prot#'!A:AL,22,FALSE)-VLOOKUP(A214,'SegEnds_NonXtal_Prot#'!A:AL,19,FALSE)</f>
        <v>20</v>
      </c>
      <c r="AG214" s="1" t="e">
        <f>VLOOKUP(A214,'SegEnds_NonXtal_Prot#'!A:AL,28,FALSE)-VLOOKUP(A214,'SegEnds_NonXtal_Prot#'!A:AL,25,FALSE)</f>
        <v>#VALUE!</v>
      </c>
      <c r="AH214" s="1">
        <f>VLOOKUP(A214,'SegEnds_NonXtal_Prot#'!A:AL,28,FALSE)-VLOOKUP(A214,'SegEnds_NonXtal_Prot#'!A:AL,22,FALSE)</f>
        <v>53</v>
      </c>
      <c r="AI214" s="1">
        <f>VLOOKUP(A214,'SegEnds_NonXtal_Prot#'!A:AL,31,FALSE)-VLOOKUP(A214,'SegEnds_NonXtal_Prot#'!A:AL,28,FALSE)</f>
        <v>51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25</v>
      </c>
      <c r="AH215" s="1">
        <f>VLOOKUP(A215,'SegEnds_NonXtal_Prot#'!A:AL,28,FALSE)-VLOOKUP(A215,'SegEnds_NonXtal_Prot#'!A:AL,22,FALSE)</f>
        <v>49</v>
      </c>
      <c r="AI215" s="1">
        <f>VLOOKUP(A215,'SegEnds_NonXtal_Prot#'!A:AL,31,FALSE)-VLOOKUP(A215,'SegEnds_NonXtal_Prot#'!A:AL,28,FALSE)</f>
        <v>62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1174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68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33</v>
      </c>
      <c r="T216" s="1">
        <f t="array" ref="T216">INDEX(ICL3_classA!$G$2:$G$37,MATCH(MIN(ABS(AI216-ICL3_classA!$F$2:$F$37)),ABS(AI216-ICL3_classA!$F$2:$F$37),0))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63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18</v>
      </c>
      <c r="AG216" s="1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58</v>
      </c>
      <c r="AI216" s="12">
        <f>VLOOKUP(A216,'SegEnds_NonXtal_Prot#'!A:AL,31,FALSE)-VLOOKUP(A216,'SegEnds_NonXtal_Prot#'!A:AL,28,FALSE)</f>
        <v>86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2" t="str">
        <f>IF(ISERROR(MATCH(A216,'SegEnds_Xtal_Prot#'!B:B, 0)), "NoXtal", "Xtal")</f>
        <v>Xtal</v>
      </c>
    </row>
    <row r="217" spans="1:38" x14ac:dyDescent="0.2">
      <c r="A217" s="1" t="s">
        <v>1175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INDEX(ICL3_classA!$G$2:$G$37,MATCH(MIN(ABS(AI217-ICL3_classA!$F$2:$F$37)),ABS(AI217-ICL3_classA!$F$2:$F$37),0))</f>
        <v>76</v>
      </c>
      <c r="U217" s="1">
        <v>20</v>
      </c>
      <c r="V217" s="1">
        <v>61</v>
      </c>
      <c r="W217" s="108">
        <v>27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63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18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58</v>
      </c>
      <c r="AI217" s="12">
        <f>VLOOKUP(A217,'SegEnds_NonXtal_Prot#'!A:AL,31,FALSE)-VLOOKUP(A217,'SegEnds_NonXtal_Prot#'!A:AL,28,FALSE)</f>
        <v>84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2" t="str">
        <f>IF(ISERROR(MATCH(A217,'SegEnds_Xtal_Prot#'!B:B, 0)), "NoXtal", "Xtal")</f>
        <v>Xtal</v>
      </c>
    </row>
    <row r="218" spans="1:38" x14ac:dyDescent="0.2">
      <c r="A218" s="1" t="s">
        <v>342</v>
      </c>
      <c r="B218" s="1" t="str">
        <f>VLOOKUP(A218,Xtal_Templ!A:B,2,FALSE)</f>
        <v>pd2r2_human</v>
      </c>
      <c r="C218" s="5">
        <f>VLOOKUP($B218&amp;"__wt",'SegEnds_Xtal_BW#'!$A:$Z,3,FALSE)</f>
        <v>32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26</v>
      </c>
      <c r="T218" s="1">
        <f t="array" ref="T218">INDEX(ICL3_classA!$G$2:$G$37,MATCH(MIN(ABS(AI218-ICL3_classA!$F$2:$F$37)),ABS(AI218-ICL3_classA!$F$2:$F$37),0))</f>
        <v>67</v>
      </c>
      <c r="U218" s="1">
        <f t="array" ref="U218">INDEX(ICL3_classA!$H$2:$H$37,MATCH(MIN(ABS(AI218-ICL3_classA!$F$2:$F$37)),ABS(AI218-ICL3_classA!$F$2:$F$37),0))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64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47</v>
      </c>
      <c r="AI218" s="1">
        <f>VLOOKUP(A218,'SegEnds_NonXtal_Prot#'!A:AL,31,FALSE)-VLOOKUP(A218,'SegEnds_NonXtal_Prot#'!A:AL,28,FALSE)</f>
        <v>46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29</v>
      </c>
      <c r="V219" s="108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29</v>
      </c>
      <c r="AC219" s="1">
        <f>VLOOKUP(A219,'SegEnds_NonXtal_Prot#'!A:AL,10,FALSE)-VLOOKUP(A219,'SegEnds_NonXtal_Prot#'!A:AL,7,FALSE)</f>
        <v>16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32</v>
      </c>
      <c r="AH219" s="1">
        <f>VLOOKUP(A219,'SegEnds_NonXtal_Prot#'!A:AL,28,FALSE)-VLOOKUP(A219,'SegEnds_NonXtal_Prot#'!A:AL,22,FALSE)</f>
        <v>59</v>
      </c>
      <c r="AI219" s="1">
        <f>VLOOKUP(A219,'SegEnds_NonXtal_Prot#'!A:AL,31,FALSE)-VLOOKUP(A219,'SegEnds_NonXtal_Prot#'!A:AL,28,FALSE)</f>
        <v>50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Xtal</v>
      </c>
    </row>
    <row r="220" spans="1:38" x14ac:dyDescent="0.2">
      <c r="A220" s="1" t="s">
        <v>202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">
        <v>24</v>
      </c>
      <c r="X220" s="108"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37</v>
      </c>
      <c r="AH220" s="1">
        <f>VLOOKUP(A220,'SegEnds_NonXtal_Prot#'!A:AL,28,FALSE)-VLOOKUP(A220,'SegEnds_NonXtal_Prot#'!A:AL,22,FALSE)</f>
        <v>63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43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203</v>
      </c>
      <c r="B221" s="1" t="str">
        <f>VLOOKUP(A221,Xtal_Templ!A:B,2,FALSE)</f>
        <v>pd2r2_human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67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26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30</v>
      </c>
      <c r="V221" s="1">
        <v>61</v>
      </c>
      <c r="W221" s="1">
        <v>24</v>
      </c>
      <c r="X221" s="108">
        <v>56</v>
      </c>
      <c r="Y221" s="1">
        <f>VLOOKUP($B221&amp;"__wt",'SegEnds_Xtal_BW#'!$A:$Z,25,FALSE)</f>
        <v>47</v>
      </c>
      <c r="Z221" s="1">
        <f>VLOOKUP($B221&amp;"__wt",'SegEnds_Xtal_BW#'!$A:$Z,26,FALSE)</f>
        <v>64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27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37</v>
      </c>
      <c r="AH221" s="1">
        <f>VLOOKUP(A221,'SegEnds_NonXtal_Prot#'!A:AL,28,FALSE)-VLOOKUP(A221,'SegEnds_NonXtal_Prot#'!A:AL,22,FALSE)</f>
        <v>63</v>
      </c>
      <c r="AI221" s="1">
        <f>VLOOKUP(A221,'SegEnds_NonXtal_Prot#'!A:AL,31,FALSE)-VLOOKUP(A221,'SegEnds_NonXtal_Prot#'!A:AL,28,FALSE)</f>
        <v>43</v>
      </c>
      <c r="AJ221" s="1">
        <f>VLOOKUP(A221,'SegEnds_NonXtal_Prot#'!A:AL,34,FALSE)-VLOOKUP(A221,'SegEnds_NonXtal_Prot#'!A:AL,31,FALSE)</f>
        <v>43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24</v>
      </c>
      <c r="AH222" s="1">
        <f>VLOOKUP(A222,'SegEnds_NonXtal_Prot#'!A:AL,28,FALSE)-VLOOKUP(A222,'SegEnds_NonXtal_Prot#'!A:AL,22,FALSE)</f>
        <v>49</v>
      </c>
      <c r="AI222" s="1">
        <f>VLOOKUP(A222,'SegEnds_NonXtal_Prot#'!A:AL,31,FALSE)-VLOOKUP(A222,'SegEnds_NonXtal_Prot#'!A:AL,28,FALSE)</f>
        <v>49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253</v>
      </c>
      <c r="B223" s="1" t="str">
        <f>VLOOKUP(A223,Xtal_Templ!A:B,2,FALSE)</f>
        <v>cltr2_human</v>
      </c>
      <c r="C223" s="5">
        <f>VLOOKUP($B223&amp;"__wt",'SegEnds_Xtal_BW#'!$A:$Z,3,FALSE)</f>
        <v>25</v>
      </c>
      <c r="D223" s="1">
        <f>VLOOKUP($B223&amp;"__wt",'SegEnds_Xtal_BW#'!$A:$Z,4,FALSE)</f>
        <v>60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32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60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51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62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ntr1_human</v>
      </c>
      <c r="C225" s="5">
        <f>VLOOKUP($B225&amp;"__wt",'SegEnds_Xtal_BW#'!$A:$Z,3,FALSE)</f>
        <v>28</v>
      </c>
      <c r="D225" s="1">
        <f>VLOOKUP($B225&amp;"__wt",'SegEnds_Xtal_BW#'!$A:$Z,4,FALSE)</f>
        <v>60</v>
      </c>
      <c r="E225" s="1" t="str">
        <f>VLOOKUP($B225&amp;"__wt",'SegEnds_Xtal_BW#'!$A:$Z,5,FALSE)</f>
        <v>-</v>
      </c>
      <c r="F225" s="1" t="str">
        <f>VLOOKUP($B225&amp;"__wt",'SegEnds_Xtal_BW#'!$A:$Z,6,FALSE)</f>
        <v>-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31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62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Xtal</v>
      </c>
    </row>
    <row r="226" spans="1:38" x14ac:dyDescent="0.2">
      <c r="A226" s="1" t="s">
        <v>913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62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74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62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22</v>
      </c>
      <c r="AE227" s="1">
        <f>VLOOKUP(A227,'SegEnds_NonXtal_Prot#'!A:AL,16,FALSE)-VLOOKUP(A227,'SegEnds_NonXtal_Prot#'!A:AL,10,FALSE)</f>
        <v>54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24</v>
      </c>
      <c r="AH227" s="1">
        <f>VLOOKUP(A227,'SegEnds_NonXtal_Prot#'!A:AL,28,FALSE)-VLOOKUP(A227,'SegEnds_NonXtal_Prot#'!A:AL,22,FALSE)</f>
        <v>58</v>
      </c>
      <c r="AI227" s="1">
        <f>VLOOKUP(A227,'SegEnds_NonXtal_Prot#'!A:AL,31,FALSE)-VLOOKUP(A227,'SegEnds_NonXtal_Prot#'!A:AL,28,FALSE)</f>
        <v>94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52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INDEX(ICL3_classA!$G$2:$G$37,MATCH(MIN(ABS(AI229-ICL3_classA!$F$2:$F$37)),ABS(AI229-ICL3_classA!$F$2:$F$37),0))</f>
        <v>72</v>
      </c>
      <c r="U229" s="1">
        <f t="array" ref="U229">INDEX(ICL3_classA!$H$2:$H$37,MATCH(MIN(ABS(AI229-ICL3_classA!$F$2:$F$37)),ABS(AI229-ICL3_classA!$F$2:$F$37),0))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27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50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52</v>
      </c>
      <c r="AI230" s="1">
        <f>VLOOKUP(A230,'SegEnds_NonXtal_Prot#'!A:AL,31,FALSE)-VLOOKUP(A230,'SegEnds_NonXtal_Prot#'!A:AL,28,FALSE)</f>
        <v>48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371</v>
      </c>
      <c r="B231" s="1" t="str">
        <f>VLOOKUP(A231,Xtal_Templ!A:B,2,FALSE)</f>
        <v>ptafr_human</v>
      </c>
      <c r="C231" s="5">
        <f>VLOOKUP($B231&amp;"__wt",'SegEnds_Xtal_BW#'!$A:$Z,3,FALSE)</f>
        <v>27</v>
      </c>
      <c r="D231" s="1">
        <f>VLOOKUP($B231&amp;"__wt",'SegEnds_Xtal_BW#'!$A:$Z,4,FALSE)</f>
        <v>61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08">
        <v>36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08">
        <v>64</v>
      </c>
      <c r="W231" s="1">
        <v>24</v>
      </c>
      <c r="X231" s="1">
        <f>VLOOKUP($B231&amp;"__wt",'SegEnds_Xtal_BW#'!$A:$Z,24,FALSE)</f>
        <v>59</v>
      </c>
      <c r="Y231" s="1">
        <f>VLOOKUP($B231&amp;"__wt",'SegEnds_Xtal_BW#'!$A:$Z,25,FALSE)</f>
        <v>50</v>
      </c>
      <c r="Z231" s="1">
        <f>VLOOKUP($B231&amp;"__wt",'SegEnds_Xtal_BW#'!$A:$Z,26,FALSE)</f>
        <v>63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49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1451</v>
      </c>
      <c r="B232" s="1" t="s">
        <v>1451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1">
        <f>VLOOKUP(A232,'SegEnds_NonXtal_Prot#'!A:AL,31,FALSE)-VLOOKUP(A232,'SegEnds_NonXtal_Prot#'!A:AL,28,FALSE)</f>
        <v>43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143</v>
      </c>
      <c r="B233" s="1" t="str">
        <f>VLOOKUP(A233,Xtal_Templ!A:B,2,FALSE)</f>
        <v>ccr5_human</v>
      </c>
      <c r="C233" s="5">
        <f>VLOOKUP($B233&amp;"__wt",'SegEnds_Xtal_BW#'!$A:$Z,3,FALSE)</f>
        <v>24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08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30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50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43</v>
      </c>
      <c r="AJ233" s="1">
        <f>VLOOKUP(A233,'SegEnds_NonXtal_Prot#'!A:AL,34,FALSE)-VLOOKUP(A233,'SegEnds_NonXtal_Prot#'!A:AL,31,FALSE)</f>
        <v>44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158</v>
      </c>
      <c r="B234" s="1" t="str">
        <f>VLOOKUP(A234,Xtal_Templ!A:B,2,FALSE)</f>
        <v>agtr1_human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24</v>
      </c>
      <c r="V234" s="1">
        <v>64</v>
      </c>
      <c r="W234" s="1">
        <v>24</v>
      </c>
      <c r="X234" s="124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54</v>
      </c>
      <c r="AI234" s="1">
        <f>VLOOKUP(A234,'SegEnds_NonXtal_Prot#'!A:AL,31,FALSE)-VLOOKUP(A234,'SegEnds_NonXtal_Prot#'!A:AL,28,FALSE)</f>
        <v>48</v>
      </c>
      <c r="AJ234" s="1">
        <f>VLOOKUP(A234,'SegEnds_NonXtal_Prot#'!A:AL,34,FALSE)-VLOOKUP(A234,'SegEnds_NonXtal_Prot#'!A:AL,31,FALSE)</f>
        <v>44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159</v>
      </c>
      <c r="B235" s="1" t="str">
        <f>VLOOKUP(A235,Xtal_Templ!A:B,2,FALSE)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8">
        <v>38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56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19</v>
      </c>
      <c r="AG235" s="1">
        <f>VLOOKUP(A235,'SegEnds_NonXtal_Prot#'!A:AL,28,FALSE)-VLOOKUP(A235,'SegEnds_NonXtal_Prot#'!A:AL,25,FALSE)</f>
        <v>28</v>
      </c>
      <c r="AH235" s="1">
        <f>VLOOKUP(A235,'SegEnds_NonXtal_Prot#'!A:AL,28,FALSE)-VLOOKUP(A235,'SegEnds_NonXtal_Prot#'!A:AL,22,FALSE)</f>
        <v>55</v>
      </c>
      <c r="AI235" s="1">
        <f>VLOOKUP(A235,'SegEnds_NonXtal_Prot#'!A:AL,31,FALSE)-VLOOKUP(A235,'SegEnds_NonXtal_Prot#'!A:AL,28,FALSE)</f>
        <v>48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Xtal</v>
      </c>
    </row>
    <row r="236" spans="1:38" x14ac:dyDescent="0.2">
      <c r="A236" s="1" t="s">
        <v>161</v>
      </c>
      <c r="B236" s="1" t="str">
        <f>VLOOKUP(A236,Xtal_Templ!A:B,2,FALSE)</f>
        <v>agtr1_human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34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23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51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162</v>
      </c>
      <c r="B237" s="1" t="str">
        <f>VLOOKUP(A237,Xtal_Templ!A:B,2,FALSE)</f>
        <v>agtr2_human</v>
      </c>
      <c r="C237" s="5">
        <f>VLOOKUP($B237&amp;"__wt",'SegEnds_Xtal_BW#'!$A:$Z,3,FALSE)</f>
        <v>33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08"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24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25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49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168</v>
      </c>
      <c r="B238" s="1" t="str">
        <f>VLOOKUP(A238,Xtal_Templ!A:B,2,FALSE)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19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28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43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170</v>
      </c>
      <c r="B239" s="1" t="str">
        <f>VLOOKUP(A239,Xtal_Templ!A:B,2,FALSE)</f>
        <v>ccr2_human</v>
      </c>
      <c r="C239" s="5">
        <f>VLOOKUP($B239&amp;"__wt",'SegEnds_Xtal_BW#'!$A:$Z,3,FALSE)</f>
        <v>27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28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18</v>
      </c>
      <c r="AE239" s="1">
        <f>VLOOKUP(A239,'SegEnds_NonXtal_Prot#'!A:AL,16,FALSE)-VLOOKUP(A239,'SegEnds_NonXtal_Prot#'!A:AL,10,FALSE)</f>
        <v>50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49</v>
      </c>
      <c r="AI239" s="1">
        <f>VLOOKUP(A239,'SegEnds_NonXtal_Prot#'!A:AL,31,FALSE)-VLOOKUP(A239,'SegEnds_NonXtal_Prot#'!A:AL,28,FALSE)</f>
        <v>44</v>
      </c>
      <c r="AJ239" s="1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171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28</v>
      </c>
      <c r="AH240" s="1">
        <f>VLOOKUP(A240,'SegEnds_NonXtal_Prot#'!A:AL,28,FALSE)-VLOOKUP(A240,'SegEnds_NonXtal_Prot#'!A:AL,22,FALSE)</f>
        <v>53</v>
      </c>
      <c r="AI240" s="1">
        <f>VLOOKUP(A240,'SegEnds_NonXtal_Prot#'!A:AL,31,FALSE)-VLOOKUP(A240,'SegEnds_NonXtal_Prot#'!A:AL,28,FALSE)</f>
        <v>43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172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68</v>
      </c>
      <c r="U241" s="1">
        <f t="array" ref="U241">INDEX(ICL3_classA!$H$2:$H$37,MATCH(MIN(ABS(AI241-ICL3_classA!$F$2:$F$37)),ABS(AI241-ICL3_classA!$F$2:$F$37),0))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18</v>
      </c>
      <c r="AE241" s="1">
        <f>VLOOKUP(A241,'SegEnds_NonXtal_Prot#'!A:AL,16,FALSE)-VLOOKUP(A241,'SegEnds_NonXtal_Prot#'!A:AL,10,FALSE)</f>
        <v>50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27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173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INDEX(ICL3_classA!$G$2:$G$37,MATCH(MIN(ABS(AI242-ICL3_classA!$F$2:$F$37)),ABS(AI242-ICL3_classA!$F$2:$F$37),0))</f>
        <v>68</v>
      </c>
      <c r="U242" s="1">
        <f t="array" ref="U242">INDEX(ICL3_classA!$H$2:$H$37,MATCH(MIN(ABS(AI242-ICL3_classA!$F$2:$F$37)),ABS(AI242-ICL3_classA!$F$2:$F$37),0))</f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50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28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2" t="s">
        <v>174</v>
      </c>
      <c r="B243" s="12" t="str">
        <f>VLOOKUP(A243,Xtal_Templ!A:B,2,FALSE)</f>
        <v>ccr7_human</v>
      </c>
      <c r="C243" s="13">
        <f>VLOOKUP($B243&amp;"__wt",'SegEnds_Xtal_BW#'!$A:$Z,3,FALSE)</f>
        <v>29</v>
      </c>
      <c r="D243" s="12">
        <f>VLOOKUP($B243&amp;"__wt",'SegEnds_Xtal_BW#'!$A:$Z,4,FALSE)</f>
        <v>60</v>
      </c>
      <c r="E243" s="12">
        <f>VLOOKUP($B243&amp;"__wt",'SegEnds_Xtal_BW#'!$A:$Z,5,FALSE)</f>
        <v>48</v>
      </c>
      <c r="F243" s="12">
        <f>VLOOKUP($B243&amp;"__wt",'SegEnds_Xtal_BW#'!$A:$Z,6,FALSE)</f>
        <v>51</v>
      </c>
      <c r="G243" s="12">
        <v>37</v>
      </c>
      <c r="H243" s="12">
        <v>66</v>
      </c>
      <c r="I243" s="12">
        <f>VLOOKUP($B243&amp;"__wt",'SegEnds_Xtal_BW#'!$A:$Z,9,FALSE)</f>
        <v>49</v>
      </c>
      <c r="J243" s="12">
        <f>VLOOKUP($B243&amp;"__wt",'SegEnds_Xtal_BW#'!$A:$Z,10,FALSE)</f>
        <v>52</v>
      </c>
      <c r="K243" s="12">
        <v>21</v>
      </c>
      <c r="L243" s="12">
        <f>VLOOKUP($B243&amp;"__wt",'SegEnds_Xtal_BW#'!$A:$Z,12,FALSE)</f>
        <v>56</v>
      </c>
      <c r="M243" s="12">
        <f>VLOOKUP($B243&amp;"__wt",'SegEnds_Xtal_BW#'!$A:$Z,13,FALSE)</f>
        <v>50</v>
      </c>
      <c r="N243" s="12">
        <v>58</v>
      </c>
      <c r="O243" s="87">
        <v>38</v>
      </c>
      <c r="P243" s="12">
        <f>VLOOKUP($B243&amp;"__wt",'SegEnds_Xtal_BW#'!$A:$Z,16,FALSE)</f>
        <v>64</v>
      </c>
      <c r="Q243" s="12">
        <f>VLOOKUP($B243&amp;"__wt",'SegEnds_Xtal_BW#'!$A:$Z,17,FALSE)</f>
        <v>50</v>
      </c>
      <c r="R243" s="12">
        <f>VLOOKUP($B243&amp;"__wt",'SegEnds_Xtal_BW#'!$A:$Z,18,FALSE)</f>
        <v>52</v>
      </c>
      <c r="S243" s="12">
        <f>VLOOKUP($B243&amp;"__wt",'SegEnds_Xtal_BW#'!$A:$Z,19,FALSE)</f>
        <v>33</v>
      </c>
      <c r="T243" s="12">
        <f t="array" ref="T243">INDEX(ICL3_classA!$G$2:$G$37,MATCH(MIN(ABS(AI243-ICL3_classA!$F$2:$F$37)),ABS(AI243-ICL3_classA!$F$2:$F$37),0))</f>
        <v>68</v>
      </c>
      <c r="U243" s="12">
        <f t="array" ref="U243">INDEX(ICL3_classA!$H$2:$H$37,MATCH(MIN(ABS(AI243-ICL3_classA!$F$2:$F$37)),ABS(AI243-ICL3_classA!$F$2:$F$37),0))</f>
        <v>30</v>
      </c>
      <c r="V243" s="12">
        <v>65</v>
      </c>
      <c r="W243" s="12">
        <v>24</v>
      </c>
      <c r="X243" s="12">
        <f>VLOOKUP($B243&amp;"__wt",'SegEnds_Xtal_BW#'!$A:$Z,24,FALSE)</f>
        <v>56</v>
      </c>
      <c r="Y243" s="12">
        <f>VLOOKUP($B243&amp;"__wt",'SegEnds_Xtal_BW#'!$A:$Z,25,FALSE)</f>
        <v>47</v>
      </c>
      <c r="Z243" s="12">
        <f>VLOOKUP($B243&amp;"__wt",'SegEnds_Xtal_BW#'!$A:$Z,26,FALSE)</f>
        <v>59</v>
      </c>
      <c r="AA243" s="36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2">
        <f>VLOOKUP(A243,'SegEnds_NonXtal_Prot#'!A:AL,10,FALSE)-VLOOKUP(A243,'SegEnds_NonXtal_Prot#'!A:AL,7,FALSE)</f>
        <v>15</v>
      </c>
      <c r="AD243" s="12">
        <f>VLOOKUP(A243,'SegEnds_NonXtal_Prot#'!A:AL,13,FALSE)-VLOOKUP(A243,'SegEnds_NonXtal_Prot#'!A:AL,10,FALSE)</f>
        <v>19</v>
      </c>
      <c r="AE243" s="12">
        <f>VLOOKUP(A243,'SegEnds_NonXtal_Prot#'!A:AL,16,FALSE)-VLOOKUP(A243,'SegEnds_NonXtal_Prot#'!A:AL,10,FALSE)</f>
        <v>51</v>
      </c>
      <c r="AF243" s="1">
        <f>VLOOKUP(A243,'SegEnds_NonXtal_Prot#'!A:AL,22,FALSE)-VLOOKUP(A243,'SegEnds_NonXtal_Prot#'!A:AL,19,FALSE)</f>
        <v>22</v>
      </c>
      <c r="AG243" s="12">
        <f>VLOOKUP(A243,'SegEnds_NonXtal_Prot#'!A:AL,28,FALSE)-VLOOKUP(A243,'SegEnds_NonXtal_Prot#'!A:AL,25,FALSE)</f>
        <v>29</v>
      </c>
      <c r="AH243" s="1">
        <f>VLOOKUP(A243,'SegEnds_NonXtal_Prot#'!A:AL,28,FALSE)-VLOOKUP(A243,'SegEnds_NonXtal_Prot#'!A:AL,22,FALSE)</f>
        <v>54</v>
      </c>
      <c r="AI243" s="12">
        <f>VLOOKUP(A243,'SegEnds_NonXtal_Prot#'!A:AL,31,FALSE)-VLOOKUP(A243,'SegEnds_NonXtal_Prot#'!A:AL,28,FALSE)</f>
        <v>43</v>
      </c>
      <c r="AJ243" s="12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2" t="str">
        <f>IF(ISERROR(MATCH(A243,'SegEnds_Xtal_Prot#'!B:B, 0)), "NoXtal", "Xtal")</f>
        <v>NoXtal</v>
      </c>
    </row>
    <row r="244" spans="1:38" x14ac:dyDescent="0.2">
      <c r="A244" s="1" t="s">
        <v>176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30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50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27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43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178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63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08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58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INDEX(ICL3_classA!$G$2:$G$37,MATCH(MIN(ABS(AI245-ICL3_classA!$F$2:$F$37)),ABS(AI245-ICL3_classA!$F$2:$F$37),0))</f>
        <v>67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 t="e">
        <f>VLOOKUP(A245,'SegEnds_NonXtal_Prot#'!A:AL,13,FALSE)-VLOOKUP(A245,'SegEnds_NonXtal_Prot#'!A:AL,10,FALSE)</f>
        <v>#VALUE!</v>
      </c>
      <c r="AE245" s="1">
        <f>VLOOKUP(A245,'SegEnds_NonXtal_Prot#'!A:AL,16,FALSE)-VLOOKUP(A245,'SegEnds_NonXtal_Prot#'!A:AL,10,FALSE)</f>
        <v>44</v>
      </c>
      <c r="AF245" s="1">
        <f>VLOOKUP(A245,'SegEnds_NonXtal_Prot#'!A:AL,22,FALSE)-VLOOKUP(A245,'SegEnds_NonXtal_Prot#'!A:AL,19,FALSE)</f>
        <v>21</v>
      </c>
      <c r="AG245" s="1">
        <f>VLOOKUP(A245,'SegEnds_NonXtal_Prot#'!A:AL,28,FALSE)-VLOOKUP(A245,'SegEnds_NonXtal_Prot#'!A:AL,25,FALSE)</f>
        <v>31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41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179</v>
      </c>
      <c r="B246" s="1" t="str">
        <f>VLOOKUP(A246,Xtal_Templ!A:B,2,FALSE)</f>
        <v>cltr1_human</v>
      </c>
      <c r="C246" s="5">
        <f>VLOOKUP($B246&amp;"__wt",'SegEnds_Xtal_BW#'!$A:$Z,3,FALSE)</f>
        <v>20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63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28</v>
      </c>
      <c r="T246" s="1">
        <f t="array" ref="T246">INDEX(ICL3_classA!$G$2:$G$37,MATCH(MIN(ABS(AI246-ICL3_classA!$F$2:$F$37)),ABS(AI246-ICL3_classA!$F$2:$F$37),0))</f>
        <v>67</v>
      </c>
      <c r="U246" s="1">
        <f t="array" ref="U246">INDEX(ICL3_classA!$H$2:$H$37,MATCH(MIN(ABS(AI246-ICL3_classA!$F$2:$F$37)),ABS(AI246-ICL3_classA!$F$2:$F$37),0))</f>
        <v>26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28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47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Xtal</v>
      </c>
    </row>
    <row r="247" spans="1:38" x14ac:dyDescent="0.2">
      <c r="A247" s="1" t="s">
        <v>184</v>
      </c>
      <c r="B247" s="1" t="str">
        <f>VLOOKUP(A247,Xtal_Templ!A:B,2,FALSE)</f>
        <v>ccr5_human</v>
      </c>
      <c r="C247" s="5">
        <f>VLOOKUP($B247&amp;"__wt",'SegEnds_Xtal_BW#'!$A:$Z,3,FALSE)</f>
        <v>24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24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59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 t="e">
        <f>VLOOKUP(A247,'SegEnds_NonXtal_Prot#'!A:AL,13,FALSE)-VLOOKUP(A247,'SegEnds_NonXtal_Prot#'!A:AL,10,FALSE)</f>
        <v>#VALUE!</v>
      </c>
      <c r="AE247" s="1">
        <f>VLOOKUP(A247,'SegEnds_NonXtal_Prot#'!A:AL,16,FALSE)-VLOOKUP(A247,'SegEnds_NonXtal_Prot#'!A:AL,10,FALSE)</f>
        <v>50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28</v>
      </c>
      <c r="AH247" s="1">
        <f>VLOOKUP(A247,'SegEnds_NonXtal_Prot#'!A:AL,28,FALSE)-VLOOKUP(A247,'SegEnds_NonXtal_Prot#'!A:AL,22,FALSE)</f>
        <v>49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229</v>
      </c>
      <c r="B248" s="1" t="str">
        <f>VLOOKUP(A248,Xtal_Templ!A:B,2,FALSE)</f>
        <v>p2y12_human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26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 t="e">
        <f>VLOOKUP(A248,'SegEnds_NonXtal_Prot#'!A:AL,13,FALSE)-VLOOKUP(A248,'SegEnds_NonXtal_Prot#'!A:AL,10,FALSE)</f>
        <v>#VALUE!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52</v>
      </c>
      <c r="AI248" s="1">
        <f>VLOOKUP(A248,'SegEnds_NonXtal_Prot#'!A:AL,31,FALSE)-VLOOKUP(A248,'SegEnds_NonXtal_Prot#'!A:AL,28,FALSE)</f>
        <v>47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231</v>
      </c>
      <c r="B249" s="1" t="str">
        <f>VLOOKUP(A249,Xtal_Templ!A:B,2,FALSE)</f>
        <v>p2ry1_human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08">
        <v>56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19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19</v>
      </c>
      <c r="AG249" s="1">
        <f>VLOOKUP(A249,'SegEnds_NonXtal_Prot#'!A:AL,28,FALSE)-VLOOKUP(A249,'SegEnds_NonXtal_Prot#'!A:AL,25,FALSE)</f>
        <v>29</v>
      </c>
      <c r="AH249" s="1">
        <f>VLOOKUP(A249,'SegEnds_NonXtal_Prot#'!A:AL,28,FALSE)-VLOOKUP(A249,'SegEnds_NonXtal_Prot#'!A:AL,22,FALSE)</f>
        <v>55</v>
      </c>
      <c r="AI249" s="1">
        <f>VLOOKUP(A249,'SegEnds_NonXtal_Prot#'!A:AL,31,FALSE)-VLOOKUP(A249,'SegEnds_NonXtal_Prot#'!A:AL,28,FALSE)</f>
        <v>48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233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28</v>
      </c>
      <c r="AH250" s="1">
        <f>VLOOKUP(A250,'SegEnds_NonXtal_Prot#'!A:AL,28,FALSE)-VLOOKUP(A250,'SegEnds_NonXtal_Prot#'!A:AL,22,FALSE)</f>
        <v>52</v>
      </c>
      <c r="AI250" s="1">
        <f>VLOOKUP(A250,'SegEnds_NonXtal_Prot#'!A:AL,31,FALSE)-VLOOKUP(A250,'SegEnds_NonXtal_Prot#'!A:AL,28,FALSE)</f>
        <v>43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240</v>
      </c>
      <c r="B251" s="1" t="str">
        <f>VLOOKUP(A251,Xtal_Templ!A:B,2,FALSE)</f>
        <v>cltr2_human</v>
      </c>
      <c r="C251" s="5">
        <f>VLOOKUP($B251&amp;"__wt",'SegEnds_Xtal_BW#'!$A:$Z,3,FALSE)</f>
        <v>25</v>
      </c>
      <c r="D251" s="1">
        <f>VLOOKUP($B251&amp;"__wt",'SegEnds_Xtal_BW#'!$A:$Z,4,FALSE)</f>
        <v>60</v>
      </c>
      <c r="E251" s="1" t="str">
        <f>VLOOKUP($B251&amp;"__wt",'SegEnds_Xtal_BW#'!$A:$Z,5,FALSE)</f>
        <v>-</v>
      </c>
      <c r="F251" s="1" t="str">
        <f>VLOOKUP($B251&amp;"__wt",'SegEnds_Xtal_BW#'!$A:$Z,6,FALSE)</f>
        <v>-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f>VLOOKUP($B251&amp;"__wt",'SegEnds_Xtal_BW#'!$A:$Z,15,FALSE)</f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08">
        <v>31</v>
      </c>
      <c r="T251" s="1">
        <f t="array" ref="T251">INDEX(ICL3_classA!$G$2:$G$37,MATCH(MIN(ABS(AI251-ICL3_classA!$F$2:$F$37)),ABS(AI251-ICL3_classA!$F$2:$F$37),0))</f>
        <v>67</v>
      </c>
      <c r="U251" s="1">
        <f t="array" ref="U251">INDEX(ICL3_classA!$H$2:$H$37,MATCH(MIN(ABS(AI251-ICL3_classA!$F$2:$F$37)),ABS(AI251-ICL3_classA!$F$2:$F$37),0))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60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 t="e">
        <f>VLOOKUP(A251,'SegEnds_NonXtal_Prot#'!A:AL,10,FALSE)-VLOOKUP(A251,'SegEnds_NonXtal_Prot#'!A:AL,7,FALSE)</f>
        <v>#VALUE!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23</v>
      </c>
      <c r="AH251" s="1">
        <f>VLOOKUP(A251,'SegEnds_NonXtal_Prot#'!A:AL,28,FALSE)-VLOOKUP(A251,'SegEnds_NonXtal_Prot#'!A:AL,22,FALSE)</f>
        <v>48</v>
      </c>
      <c r="AI251" s="1">
        <f>VLOOKUP(A251,'SegEnds_NonXtal_Prot#'!A:AL,31,FALSE)-VLOOKUP(A251,'SegEnds_NonXtal_Prot#'!A:AL,28,FALSE)</f>
        <v>46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257</v>
      </c>
      <c r="B252" s="1" t="str">
        <f>VLOOKUP(A252,Xtal_Templ!A:B,2,FALSE)</f>
        <v>ptafr_human</v>
      </c>
      <c r="C252" s="5">
        <f>VLOOKUP($B252&amp;"__wt",'SegEnds_Xtal_BW#'!$A:$Z,3,FALSE)</f>
        <v>27</v>
      </c>
      <c r="D252" s="1">
        <f>VLOOKUP($B252&amp;"__wt",'SegEnds_Xtal_BW#'!$A:$Z,4,FALSE)</f>
        <v>61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33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26</v>
      </c>
      <c r="V252" s="1">
        <v>64</v>
      </c>
      <c r="W252" s="1">
        <v>24</v>
      </c>
      <c r="X252" s="1">
        <f>VLOOKUP($B252&amp;"__wt",'SegEnds_Xtal_BW#'!$A:$Z,24,FALSE)</f>
        <v>59</v>
      </c>
      <c r="Y252" s="1">
        <f>VLOOKUP($B252&amp;"__wt",'SegEnds_Xtal_BW#'!$A:$Z,25,FALSE)</f>
        <v>50</v>
      </c>
      <c r="Z252" s="1">
        <f>VLOOKUP($B252&amp;"__wt",'SegEnds_Xtal_BW#'!$A:$Z,26,FALSE)</f>
        <v>63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25</v>
      </c>
      <c r="AH252" s="1">
        <f>VLOOKUP(A252,'SegEnds_NonXtal_Prot#'!A:AL,28,FALSE)-VLOOKUP(A252,'SegEnds_NonXtal_Prot#'!A:AL,22,FALSE)</f>
        <v>51</v>
      </c>
      <c r="AI252" s="1">
        <f>VLOOKUP(A252,'SegEnds_NonXtal_Prot#'!A:AL,31,FALSE)-VLOOKUP(A252,'SegEnds_NonXtal_Prot#'!A:AL,28,FALSE)</f>
        <v>46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261</v>
      </c>
      <c r="B253" s="1" t="str">
        <f>VLOOKUP(A253,Xtal_Templ!A:B,2,FALSE)</f>
        <v>oprk_human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24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INDEX(ICL3_classA!$G$2:$G$37,MATCH(MIN(ABS(AI253-ICL3_classA!$F$2:$F$37)),ABS(AI253-ICL3_classA!$F$2:$F$37),0))</f>
        <v>68</v>
      </c>
      <c r="U253" s="1">
        <f t="array" ref="U253">INDEX(ICL3_classA!$H$2:$H$37,MATCH(MIN(ABS(AI253-ICL3_classA!$F$2:$F$37)),ABS(AI253-ICL3_classA!$F$2:$F$37),0))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32</v>
      </c>
      <c r="AC253" s="1" t="e">
        <f>VLOOKUP(A253,'SegEnds_NonXtal_Prot#'!A:AL,10,FALSE)-VLOOKUP(A253,'SegEnds_NonXtal_Prot#'!A:AL,7,FALSE)</f>
        <v>#VALUE!</v>
      </c>
      <c r="AD253" s="1" t="e">
        <f>VLOOKUP(A253,'SegEnds_NonXtal_Prot#'!A:AL,13,FALSE)-VLOOKUP(A253,'SegEnds_NonXtal_Prot#'!A:AL,10,FALSE)</f>
        <v>#VALUE!</v>
      </c>
      <c r="AE253" s="1">
        <f>VLOOKUP(A253,'SegEnds_NonXtal_Prot#'!A:AL,16,FALSE)-VLOOKUP(A253,'SegEnds_NonXtal_Prot#'!A:AL,10,FALSE)</f>
        <v>49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47</v>
      </c>
      <c r="AI253" s="1">
        <f>VLOOKUP(A253,'SegEnds_NonXtal_Prot#'!A:AL,31,FALSE)-VLOOKUP(A253,'SegEnds_NonXtal_Prot#'!A:AL,28,FALSE)</f>
        <v>48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272</v>
      </c>
      <c r="B254" s="1" t="str">
        <f>VLOOKUP(A254,Xtal_Templ!A:B,2,FALSE)</f>
        <v>p2y12_human</v>
      </c>
      <c r="C254" s="5">
        <f>VLOOKUP($B254&amp;"__wt",'SegEnds_Xtal_BW#'!$A:$Z,3,FALSE)</f>
        <v>28</v>
      </c>
      <c r="D254" s="1">
        <f>VLOOKUP($B254&amp;"__wt",'SegEnds_Xtal_BW#'!$A:$Z,4,FALSE)</f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66</v>
      </c>
      <c r="I254" s="1" t="str">
        <f>VLOOKUP($B254&amp;"__wt",'SegEnds_Xtal_BW#'!$A:$Z,9,FALSE)</f>
        <v>-</v>
      </c>
      <c r="J254" s="1" t="str">
        <f>VLOOKUP($B254&amp;"__wt",'SegEnds_Xtal_BW#'!$A:$Z,10,FALSE)</f>
        <v>-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57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27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26</v>
      </c>
      <c r="AH254" s="1">
        <f>VLOOKUP(A254,'SegEnds_NonXtal_Prot#'!A:AL,28,FALSE)-VLOOKUP(A254,'SegEnds_NonXtal_Prot#'!A:AL,22,FALSE)</f>
        <v>52</v>
      </c>
      <c r="AI254" s="1">
        <f>VLOOKUP(A254,'SegEnds_NonXtal_Prot#'!A:AL,31,FALSE)-VLOOKUP(A254,'SegEnds_NonXtal_Prot#'!A:AL,28,FALSE)</f>
        <v>49</v>
      </c>
      <c r="AJ254" s="1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288</v>
      </c>
      <c r="B255" s="1" t="str">
        <f>VLOOKUP(A255,Xtal_Templ!A:B,2,FALSE)</f>
        <v>oprk_human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INDEX(ICL3_classA!$G$2:$G$37,MATCH(MIN(ABS(AI255-ICL3_classA!$F$2:$F$37)),ABS(AI255-ICL3_classA!$F$2:$F$37),0))</f>
        <v>68</v>
      </c>
      <c r="U255" s="1">
        <f t="array" ref="U255">INDEX(ICL3_classA!$H$2:$H$37,MATCH(MIN(ABS(AI255-ICL3_classA!$F$2:$F$37)),ABS(AI255-ICL3_classA!$F$2:$F$37),0))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51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28</v>
      </c>
      <c r="AH255" s="1">
        <f>VLOOKUP(A255,'SegEnds_NonXtal_Prot#'!A:AL,28,FALSE)-VLOOKUP(A255,'SegEnds_NonXtal_Prot#'!A:AL,22,FALSE)</f>
        <v>53</v>
      </c>
      <c r="AI255" s="1">
        <f>VLOOKUP(A255,'SegEnds_NonXtal_Prot#'!A:AL,31,FALSE)-VLOOKUP(A255,'SegEnds_NonXtal_Prot#'!A:AL,28,FALSE)</f>
        <v>48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290</v>
      </c>
      <c r="B256" s="1" t="str">
        <f>VLOOKUP(A256,Xtal_Templ!A:B,2,FALSE)</f>
        <v>cltr1_human</v>
      </c>
      <c r="C256" s="5">
        <f>VLOOKUP($B256&amp;"__wt",'SegEnds_Xtal_BW#'!$A:$Z,3,FALSE)</f>
        <v>20</v>
      </c>
      <c r="D256" s="108"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28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59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19</v>
      </c>
      <c r="AE256" s="1">
        <f>VLOOKUP(A256,'SegEnds_NonXtal_Prot#'!A:AL,16,FALSE)-VLOOKUP(A256,'SegEnds_NonXtal_Prot#'!A:AL,10,FALSE)</f>
        <v>51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28</v>
      </c>
      <c r="AH256" s="1">
        <f>VLOOKUP(A256,'SegEnds_NonXtal_Prot#'!A:AL,28,FALSE)-VLOOKUP(A256,'SegEnds_NonXtal_Prot#'!A:AL,22,FALSE)</f>
        <v>55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348</v>
      </c>
      <c r="B257" s="1" t="str">
        <f>VLOOKUP(A257,Xtal_Templ!A:B,2,FALSE)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21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4" t="s">
        <v>350</v>
      </c>
      <c r="B258" s="4" t="str">
        <f>VLOOKUP(A258,Xtal_Templ!A:B,2,FALSE)</f>
        <v>ptafr_human</v>
      </c>
      <c r="C258" s="5">
        <f>VLOOKUP($B258&amp;"__wt",'SegEnds_Xtal_BW#'!$A:$Z,3,FALSE)</f>
        <v>27</v>
      </c>
      <c r="D258" s="4">
        <f>VLOOKUP($B258&amp;"__wt",'SegEnds_Xtal_BW#'!$A:$Z,4,FALSE)</f>
        <v>61</v>
      </c>
      <c r="E258" s="4" t="str">
        <f>VLOOKUP($B258&amp;"__wt",'SegEnds_Xtal_BW#'!$A:$Z,5,FALSE)</f>
        <v>-</v>
      </c>
      <c r="F258" s="4" t="str">
        <f>VLOOKUP($B258&amp;"__wt",'SegEnds_Xtal_BW#'!$A:$Z,6,FALSE)</f>
        <v>-</v>
      </c>
      <c r="G258" s="4">
        <v>37</v>
      </c>
      <c r="H258" s="11">
        <v>66</v>
      </c>
      <c r="I258" s="4">
        <f>VLOOKUP($B258&amp;"__wt",'SegEnds_Xtal_BW#'!$A:$Z,9,FALSE)</f>
        <v>49</v>
      </c>
      <c r="J258" s="4">
        <f>VLOOKUP($B258&amp;"__wt",'SegEnds_Xtal_BW#'!$A:$Z,10,FALSE)</f>
        <v>52</v>
      </c>
      <c r="K258" s="11">
        <v>21</v>
      </c>
      <c r="L258" s="4">
        <f>VLOOKUP($B258&amp;"__wt",'SegEnds_Xtal_BW#'!$A:$Z,12,FALSE)</f>
        <v>56</v>
      </c>
      <c r="M258" s="4">
        <f>VLOOKUP($B258&amp;"__wt",'SegEnds_Xtal_BW#'!$A:$Z,13,FALSE)</f>
        <v>50</v>
      </c>
      <c r="N258" s="108">
        <v>56</v>
      </c>
      <c r="O258" s="87">
        <f>VLOOKUP($B258&amp;"__wt",'SegEnds_Xtal_BW#'!$A:$Z,15,FALSE)</f>
        <v>38</v>
      </c>
      <c r="P258" s="4">
        <f>VLOOKUP($B258&amp;"__wt",'SegEnds_Xtal_BW#'!$A:$Z,16,FALSE)</f>
        <v>63</v>
      </c>
      <c r="Q258" s="4">
        <f>VLOOKUP($B258&amp;"__wt",'SegEnds_Xtal_BW#'!$A:$Z,17,FALSE)</f>
        <v>50</v>
      </c>
      <c r="R258" s="4">
        <f>VLOOKUP($B258&amp;"__wt",'SegEnds_Xtal_BW#'!$A:$Z,18,FALSE)</f>
        <v>52</v>
      </c>
      <c r="S258" s="4">
        <f>VLOOKUP($B258&amp;"__wt",'SegEnds_Xtal_BW#'!$A:$Z,19,FALSE)</f>
        <v>33</v>
      </c>
      <c r="T258" s="4">
        <f t="array" ref="T258">INDEX(ICL3_classA!$G$2:$G$37,MATCH(MIN(ABS(AI258-ICL3_classA!$F$2:$F$37)),ABS(AI258-ICL3_classA!$F$2:$F$37),0))</f>
        <v>68</v>
      </c>
      <c r="U258" s="4">
        <f t="array" ref="U258">INDEX(ICL3_classA!$H$2:$H$37,MATCH(MIN(ABS(AI258-ICL3_classA!$F$2:$F$37)),ABS(AI258-ICL3_classA!$F$2:$F$37),0))</f>
        <v>24</v>
      </c>
      <c r="V258" s="4">
        <v>64</v>
      </c>
      <c r="W258" s="4">
        <v>24</v>
      </c>
      <c r="X258" s="4">
        <f>VLOOKUP($B258&amp;"__wt",'SegEnds_Xtal_BW#'!$A:$Z,24,FALSE)</f>
        <v>59</v>
      </c>
      <c r="Y258" s="4">
        <f>VLOOKUP($B258&amp;"__wt",'SegEnds_Xtal_BW#'!$A:$Z,25,FALSE)</f>
        <v>50</v>
      </c>
      <c r="Z258" s="4">
        <f>VLOOKUP($B258&amp;"__wt",'SegEnds_Xtal_BW#'!$A:$Z,26,FALSE)</f>
        <v>63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4" t="e">
        <f>VLOOKUP(A258,'SegEnds_NonXtal_Prot#'!A:AL,10,FALSE)-VLOOKUP(A258,'SegEnds_NonXtal_Prot#'!A:AL,7,FALSE)</f>
        <v>#VALUE!</v>
      </c>
      <c r="AD258" s="4">
        <f>VLOOKUP(A258,'SegEnds_NonXtal_Prot#'!A:AL,13,FALSE)-VLOOKUP(A258,'SegEnds_NonXtal_Prot#'!A:AL,10,FALSE)</f>
        <v>19</v>
      </c>
      <c r="AE258" s="4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19</v>
      </c>
      <c r="AG258" s="4">
        <f>VLOOKUP(A258,'SegEnds_NonXtal_Prot#'!A:AL,28,FALSE)-VLOOKUP(A258,'SegEnds_NonXtal_Prot#'!A:AL,25,FALSE)</f>
        <v>29</v>
      </c>
      <c r="AH258" s="1">
        <f>VLOOKUP(A258,'SegEnds_NonXtal_Prot#'!A:AL,28,FALSE)-VLOOKUP(A258,'SegEnds_NonXtal_Prot#'!A:AL,22,FALSE)</f>
        <v>53</v>
      </c>
      <c r="AI258" s="4">
        <f>VLOOKUP(A258,'SegEnds_NonXtal_Prot#'!A:AL,31,FALSE)-VLOOKUP(A258,'SegEnds_NonXtal_Prot#'!A:AL,28,FALSE)</f>
        <v>48</v>
      </c>
      <c r="AJ258" s="4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352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INDEX(ICL3_classA!$G$2:$G$37,MATCH(MIN(ABS(AI259-ICL3_classA!$F$2:$F$37)),ABS(AI259-ICL3_classA!$F$2:$F$37),0))</f>
        <v>72</v>
      </c>
      <c r="U259" s="1">
        <f t="array" ref="U259">INDEX(ICL3_classA!$H$2:$H$37,MATCH(MIN(ABS(AI259-ICL3_classA!$F$2:$F$37)),ABS(AI259-ICL3_classA!$F$2:$F$37),0))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27</v>
      </c>
      <c r="AC259" s="1" t="e">
        <f>VLOOKUP(A259,'SegEnds_NonXtal_Prot#'!A:AL,10,FALSE)-VLOOKUP(A259,'SegEnds_NonXtal_Prot#'!A:AL,7,FALSE)</f>
        <v>#VALUE!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26</v>
      </c>
      <c r="AH259" s="1">
        <f>VLOOKUP(A259,'SegEnds_NonXtal_Prot#'!A:AL,28,FALSE)-VLOOKUP(A259,'SegEnds_NonXtal_Prot#'!A:AL,22,FALSE)</f>
        <v>52</v>
      </c>
      <c r="AI259" s="1">
        <f>VLOOKUP(A259,'SegEnds_NonXtal_Prot#'!A:AL,31,FALSE)-VLOOKUP(A259,'SegEnds_NonXtal_Prot#'!A:AL,28,FALSE)</f>
        <v>50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353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INDEX(ICL3_classA!$G$2:$G$37,MATCH(MIN(ABS(AI260-ICL3_classA!$F$2:$F$37)),ABS(AI260-ICL3_classA!$F$2:$F$37),0))</f>
        <v>72</v>
      </c>
      <c r="U260" s="1">
        <f t="array" ref="U260">INDEX(ICL3_classA!$H$2:$H$37,MATCH(MIN(ABS(AI260-ICL3_classA!$F$2:$F$37)),ABS(AI260-ICL3_classA!$F$2:$F$37),0))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27</v>
      </c>
      <c r="AC260" s="1" t="e">
        <f>VLOOKUP(A260,'SegEnds_NonXtal_Prot#'!A:AL,10,FALSE)-VLOOKUP(A260,'SegEnds_NonXtal_Prot#'!A:AL,7,FALSE)</f>
        <v>#VALUE!</v>
      </c>
      <c r="AD260" s="1" t="e">
        <f>VLOOKUP(A260,'SegEnds_NonXtal_Prot#'!A:AL,13,FALSE)-VLOOKUP(A260,'SegEnds_NonXtal_Prot#'!A:AL,10,FALSE)</f>
        <v>#VALUE!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26</v>
      </c>
      <c r="AH260" s="1">
        <f>VLOOKUP(A260,'SegEnds_NonXtal_Prot#'!A:AL,28,FALSE)-VLOOKUP(A260,'SegEnds_NonXtal_Prot#'!A:AL,22,FALSE)</f>
        <v>52</v>
      </c>
      <c r="AI260" s="1">
        <f>VLOOKUP(A260,'SegEnds_NonXtal_Prot#'!A:AL,31,FALSE)-VLOOKUP(A260,'SegEnds_NonXtal_Prot#'!A:AL,28,FALSE)</f>
        <v>50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354</v>
      </c>
      <c r="B261" s="1" t="str">
        <f>VLOOKUP(A261,Xtal_Templ!A:B,2,FALSE)</f>
        <v>p2y12_human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INDEX(ICL3_classA!$G$2:$G$37,MATCH(MIN(ABS(AI261-ICL3_classA!$F$2:$F$37)),ABS(AI261-ICL3_classA!$F$2:$F$37),0))</f>
        <v>72</v>
      </c>
      <c r="U261" s="1">
        <f t="array" ref="U261">INDEX(ICL3_classA!$H$2:$H$37,MATCH(MIN(ABS(AI261-ICL3_classA!$F$2:$F$37)),ABS(AI261-ICL3_classA!$F$2:$F$37),0))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57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26</v>
      </c>
      <c r="AH261" s="1">
        <f>VLOOKUP(A261,'SegEnds_NonXtal_Prot#'!A:AL,28,FALSE)-VLOOKUP(A261,'SegEnds_NonXtal_Prot#'!A:AL,22,FALSE)</f>
        <v>52</v>
      </c>
      <c r="AI261" s="1">
        <f>VLOOKUP(A261,'SegEnds_NonXtal_Prot#'!A:AL,31,FALSE)-VLOOKUP(A261,'SegEnds_NonXtal_Prot#'!A:AL,28,FALSE)</f>
        <v>50</v>
      </c>
      <c r="AJ261" s="1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1440</v>
      </c>
      <c r="B262" s="1" t="str">
        <f>VLOOKUP(A262,Xtal_Templ!A:B,2,FALSE)</f>
        <v>q08bg4_danre</v>
      </c>
      <c r="C262" s="5">
        <f>VLOOKUP($B262&amp;"__wt",'SegEnds_Xtal_BW#'!$A:$Z,3,FALSE)</f>
        <v>31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f>VLOOKUP($B262&amp;"__wt",'SegEnds_Xtal_BW#'!$A:$Z,11,FALSE)</f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08">
        <f>VLOOKUP($B262&amp;"__wt",'SegEnds_Xtal_BW#'!$A:$Z,14,FALSE)</f>
        <v>57</v>
      </c>
      <c r="O262" s="108">
        <f>VLOOKUP($B262&amp;"__wt",'SegEnds_Xtal_BW#'!$A:$Z,15,FALSE)</f>
        <v>38</v>
      </c>
      <c r="P262" s="1">
        <f>VLOOKUP($B262&amp;"__wt",'SegEnds_Xtal_BW#'!$A:$Z,16,FALSE)</f>
        <v>65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31</v>
      </c>
      <c r="T262" s="1">
        <f t="array" ref="T262">INDEX(ICL3_classA!$G$2:$G$37,MATCH(MIN(ABS(AI262-ICL3_classA!$F$2:$F$37)),ABS(AI262-ICL3_classA!$F$2:$F$37),0))</f>
        <v>68</v>
      </c>
      <c r="U262" s="1">
        <f t="array" ref="U262">INDEX(ICL3_classA!$H$2:$H$37,MATCH(MIN(ABS(AI262-ICL3_classA!$F$2:$F$37)),ABS(AI262-ICL3_classA!$F$2:$F$37),0))</f>
        <v>24</v>
      </c>
      <c r="V262" s="108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19</v>
      </c>
      <c r="AE262" s="1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28</v>
      </c>
      <c r="AH262" s="1">
        <f>VLOOKUP(A262,'SegEnds_NonXtal_Prot#'!A:AL,28,FALSE)-VLOOKUP(A262,'SegEnds_NonXtal_Prot#'!A:AL,22,FALSE)</f>
        <v>55</v>
      </c>
      <c r="AI262" s="1">
        <f>VLOOKUP(A262,'SegEnds_NonXtal_Prot#'!A:AL,31,FALSE)-VLOOKUP(A262,'SegEnds_NonXtal_Prot#'!A:AL,28,FALSE)</f>
        <v>49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4" t="s">
        <v>1597</v>
      </c>
      <c r="B263" s="4" t="str">
        <f>VLOOKUP(A263,Xtal_Templ!A:B,2,FALSE)</f>
        <v>sucr1_rat</v>
      </c>
      <c r="C263" s="5">
        <f>VLOOKUP($B263&amp;"__wt",'SegEnds_Xtal_BW#'!$A:$Z,3,FALSE)</f>
        <v>20</v>
      </c>
      <c r="D263" s="4">
        <f>VLOOKUP($B263&amp;"__wt",'SegEnds_Xtal_BW#'!$A:$Z,4,FALSE)</f>
        <v>61</v>
      </c>
      <c r="E263" s="4" t="str">
        <f>VLOOKUP($B263&amp;"__wt",'SegEnds_Xtal_BW#'!$A:$Z,5,FALSE)</f>
        <v>-</v>
      </c>
      <c r="F263" s="4" t="str">
        <f>VLOOKUP($B263&amp;"__wt",'SegEnds_Xtal_BW#'!$A:$Z,6,FALSE)</f>
        <v>-</v>
      </c>
      <c r="G263" s="4">
        <v>37</v>
      </c>
      <c r="H263" s="11">
        <f>VLOOKUP($B263&amp;"__wt",'SegEnds_Xtal_BW#'!$A:$Z,8,FALSE)</f>
        <v>67</v>
      </c>
      <c r="I263" s="4">
        <f>VLOOKUP($B263&amp;"__wt",'SegEnds_Xtal_BW#'!$A:$Z,9,FALSE)</f>
        <v>49</v>
      </c>
      <c r="J263" s="4">
        <f>VLOOKUP($B263&amp;"__wt",'SegEnds_Xtal_BW#'!$A:$Z,10,FALSE)</f>
        <v>52</v>
      </c>
      <c r="K263" s="11">
        <v>21</v>
      </c>
      <c r="L263" s="4">
        <f>VLOOKUP($B263&amp;"__wt",'SegEnds_Xtal_BW#'!$A:$Z,12,FALSE)</f>
        <v>56</v>
      </c>
      <c r="M263" s="4">
        <f>VLOOKUP($B263&amp;"__wt",'SegEnds_Xtal_BW#'!$A:$Z,13,FALSE)</f>
        <v>50</v>
      </c>
      <c r="N263" s="12">
        <f>VLOOKUP($B263&amp;"__wt",'SegEnds_Xtal_BW#'!$A:$Z,14,FALSE)</f>
        <v>57</v>
      </c>
      <c r="O263" s="87">
        <f>VLOOKUP($B263&amp;"__wt",'SegEnds_Xtal_BW#'!$A:$Z,15,FALSE)</f>
        <v>38</v>
      </c>
      <c r="P263" s="115">
        <f>VLOOKUP($B263&amp;"__wt",'SegEnds_Xtal_BW#'!$A:$Z,16,FALSE)</f>
        <v>67</v>
      </c>
      <c r="Q263" s="4">
        <f>VLOOKUP($B263&amp;"__wt",'SegEnds_Xtal_BW#'!$A:$Z,17,FALSE)</f>
        <v>50</v>
      </c>
      <c r="R263" s="4">
        <f>VLOOKUP($B263&amp;"__wt",'SegEnds_Xtal_BW#'!$A:$Z,18,FALSE)</f>
        <v>52</v>
      </c>
      <c r="S263" s="1">
        <f>VLOOKUP($B263&amp;"__wt",'SegEnds_Xtal_BW#'!$A:$Z,19,FALSE)</f>
        <v>31</v>
      </c>
      <c r="T263" s="4">
        <f t="array" ref="T263">INDEX(ICL3_classA!$G$2:$G$37,MATCH(MIN(ABS(AI263-ICL3_classA!$F$2:$F$37)),ABS(AI263-ICL3_classA!$F$2:$F$37),0))</f>
        <v>68</v>
      </c>
      <c r="U263" s="4">
        <f t="array" ref="U263">INDEX(ICL3_classA!$H$2:$H$37,MATCH(MIN(ABS(AI263-ICL3_classA!$F$2:$F$37)),ABS(AI263-ICL3_classA!$F$2:$F$37),0))</f>
        <v>24</v>
      </c>
      <c r="V263" s="115">
        <v>63</v>
      </c>
      <c r="W263" s="115">
        <v>26</v>
      </c>
      <c r="X263" s="4">
        <f>VLOOKUP($B263&amp;"__wt",'SegEnds_Xtal_BW#'!$A:$Z,24,FALSE)</f>
        <v>56</v>
      </c>
      <c r="Y263" s="4">
        <f>VLOOKUP($B263&amp;"__wt",'SegEnds_Xtal_BW#'!$A:$Z,25,FALSE)</f>
        <v>47</v>
      </c>
      <c r="Z263" s="4">
        <f>VLOOKUP($B263&amp;"__wt",'SegEnds_Xtal_BW#'!$A:$Z,26,FALSE)</f>
        <v>65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4" t="e">
        <f>VLOOKUP(A263,'SegEnds_NonXtal_Prot#'!A:AL,10,FALSE)-VLOOKUP(A263,'SegEnds_NonXtal_Prot#'!A:AL,7,FALSE)</f>
        <v>#VALUE!</v>
      </c>
      <c r="AD263" s="4">
        <f>VLOOKUP(A263,'SegEnds_NonXtal_Prot#'!A:AL,13,FALSE)-VLOOKUP(A263,'SegEnds_NonXtal_Prot#'!A:AL,10,FALSE)</f>
        <v>19</v>
      </c>
      <c r="AE263" s="4">
        <f>VLOOKUP(A263,'SegEnds_NonXtal_Prot#'!A:AL,16,FALSE)-VLOOKUP(A263,'SegEnds_NonXtal_Prot#'!A:AL,10,FALSE)</f>
        <v>51</v>
      </c>
      <c r="AF263" s="1">
        <f>VLOOKUP(A263,'SegEnds_NonXtal_Prot#'!A:AL,22,FALSE)-VLOOKUP(A263,'SegEnds_NonXtal_Prot#'!A:AL,19,FALSE)</f>
        <v>20</v>
      </c>
      <c r="AG263" s="4">
        <f>VLOOKUP(A263,'SegEnds_NonXtal_Prot#'!A:AL,28,FALSE)-VLOOKUP(A263,'SegEnds_NonXtal_Prot#'!A:AL,25,FALSE)</f>
        <v>27</v>
      </c>
      <c r="AH263" s="1">
        <f>VLOOKUP(A263,'SegEnds_NonXtal_Prot#'!A:AL,28,FALSE)-VLOOKUP(A263,'SegEnds_NonXtal_Prot#'!A:AL,22,FALSE)</f>
        <v>52</v>
      </c>
      <c r="AI263" s="4">
        <f>VLOOKUP(A263,'SegEnds_NonXtal_Prot#'!A:AL,31,FALSE)-VLOOKUP(A263,'SegEnds_NonXtal_Prot#'!A:AL,28,FALSE)</f>
        <v>48</v>
      </c>
      <c r="AJ263" s="4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Xtal</v>
      </c>
    </row>
    <row r="264" spans="1:38" x14ac:dyDescent="0.2">
      <c r="A264" s="1" t="s">
        <v>400</v>
      </c>
      <c r="B264" s="1" t="str">
        <f>VLOOKUP(A264,Xtal_Templ!A:B,2,FALSE)</f>
        <v>ccr5_human</v>
      </c>
      <c r="C264" s="5">
        <f>VLOOKUP($B264&amp;"__wt",'SegEnds_Xtal_BW#'!$A:$Z,3,FALSE)</f>
        <v>24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v>57</v>
      </c>
      <c r="O264" s="87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v>35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59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18</v>
      </c>
      <c r="AE264" s="1">
        <f>VLOOKUP(A264,'SegEnds_NonXtal_Prot#'!A:AL,16,FALSE)-VLOOKUP(A264,'SegEnds_NonXtal_Prot#'!A:AL,10,FALSE)</f>
        <v>50</v>
      </c>
      <c r="AF264" s="1">
        <f>VLOOKUP(A264,'SegEnds_NonXtal_Prot#'!A:AL,22,FALSE)-VLOOKUP(A264,'SegEnds_NonXtal_Prot#'!A:AL,19,FALSE)</f>
        <v>20</v>
      </c>
      <c r="AG264" s="1">
        <f>VLOOKUP(A264,'SegEnds_NonXtal_Prot#'!A:AL,28,FALSE)-VLOOKUP(A264,'SegEnds_NonXtal_Prot#'!A:AL,25,FALSE)</f>
        <v>22</v>
      </c>
      <c r="AH264" s="1">
        <f>VLOOKUP(A264,'SegEnds_NonXtal_Prot#'!A:AL,28,FALSE)-VLOOKUP(A264,'SegEnds_NonXtal_Prot#'!A:AL,22,FALSE)</f>
        <v>43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44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144</v>
      </c>
      <c r="B265" s="1" t="str">
        <f>VLOOKUP(A265,Xtal_Templ!A:B,2,FALSE)</f>
        <v>ccr7_human</v>
      </c>
      <c r="C265" s="5">
        <f>VLOOKUP($B265&amp;"__wt",'SegEnds_Xtal_BW#'!$A:$Z,3,FALSE)</f>
        <v>29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f>VLOOKUP($B265&amp;"__wt",'SegEnds_Xtal_BW#'!$A:$Z,8,FALSE)</f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58</v>
      </c>
      <c r="O265" s="87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59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20</v>
      </c>
      <c r="AE265" s="1">
        <f>VLOOKUP(A265,'SegEnds_NonXtal_Prot#'!A:AL,16,FALSE)-VLOOKUP(A265,'SegEnds_NonXtal_Prot#'!A:AL,10,FALSE)</f>
        <v>52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55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145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08">
        <v>21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64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28</v>
      </c>
      <c r="AC266" s="1">
        <f>VLOOKUP(A266,'SegEnds_NonXtal_Prot#'!A:AL,10,FALSE)-VLOOKUP(A266,'SegEnds_NonXtal_Prot#'!A:AL,7,FALSE)</f>
        <v>15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50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" t="s">
        <v>169</v>
      </c>
      <c r="B267" s="1" t="str">
        <f>VLOOKUP(A267,Xtal_Templ!A:B,2,FALSE)</f>
        <v>ccr7_human</v>
      </c>
      <c r="C267" s="5">
        <f>VLOOKUP($B267&amp;"__wt",'SegEnds_Xtal_BW#'!$A:$Z,3,FALSE)</f>
        <v>29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66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f>VLOOKUP($B267&amp;"__wt",'SegEnds_Xtal_BW#'!$A:$Z,14,FALSE)</f>
        <v>58</v>
      </c>
      <c r="O267" s="87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33</v>
      </c>
      <c r="T267" s="1">
        <f t="array" ref="T267">INDEX(ICL3_classA!$G$2:$G$37,MATCH(MIN(ABS(AI267-ICL3_classA!$F$2:$F$37)),ABS(AI267-ICL3_classA!$F$2:$F$37),0))</f>
        <v>68</v>
      </c>
      <c r="U267" s="1">
        <f t="array" ref="U267">INDEX(ICL3_classA!$H$2:$H$37,MATCH(MIN(ABS(AI267-ICL3_classA!$F$2:$F$37)),ABS(AI267-ICL3_classA!$F$2:$F$37),0))</f>
        <v>30</v>
      </c>
      <c r="V267" s="1">
        <v>65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59</v>
      </c>
      <c r="AA267" s="27" t="str">
        <f>VLOOKUP(A267,Classification!A:B,2,FALSE)</f>
        <v>A</v>
      </c>
      <c r="AB267" s="1">
        <f>VLOOKUP(A267,'SegEnds_NonXtal_Prot#'!A:AL,10,FALSE)-VLOOKUP(A267,'SegEnds_NonXtal_Prot#'!A:AL,4,FALSE)</f>
        <v>29</v>
      </c>
      <c r="AC267" s="1">
        <f>VLOOKUP(A267,'SegEnds_NonXtal_Prot#'!A:AL,10,FALSE)-VLOOKUP(A267,'SegEnds_NonXtal_Prot#'!A:AL,7,FALSE)</f>
        <v>16</v>
      </c>
      <c r="AD267" s="1">
        <f>VLOOKUP(A267,'SegEnds_NonXtal_Prot#'!A:AL,13,FALSE)-VLOOKUP(A267,'SegEnds_NonXtal_Prot#'!A:AL,10,FALSE)</f>
        <v>18</v>
      </c>
      <c r="AE267" s="1">
        <f>VLOOKUP(A267,'SegEnds_NonXtal_Prot#'!A:AL,16,FALSE)-VLOOKUP(A267,'SegEnds_NonXtal_Prot#'!A:AL,10,FALSE)</f>
        <v>50</v>
      </c>
      <c r="AF267" s="1" t="e">
        <f>VLOOKUP(A267,'SegEnds_NonXtal_Prot#'!A:AL,22,FALSE)-VLOOKUP(A267,'SegEnds_NonXtal_Prot#'!A:AL,19,FALSE)</f>
        <v>#VALUE!</v>
      </c>
      <c r="AG267" s="1">
        <f>VLOOKUP(A267,'SegEnds_NonXtal_Prot#'!A:AL,28,FALSE)-VLOOKUP(A267,'SegEnds_NonXtal_Prot#'!A:AL,25,FALSE)</f>
        <v>28</v>
      </c>
      <c r="AH267" s="1">
        <f>VLOOKUP(A267,'SegEnds_NonXtal_Prot#'!A:AL,28,FALSE)-VLOOKUP(A267,'SegEnds_NonXtal_Prot#'!A:AL,22,FALSE)</f>
        <v>53</v>
      </c>
      <c r="AI267" s="1">
        <f>VLOOKUP(A267,'SegEnds_NonXtal_Prot#'!A:AL,31,FALSE)-VLOOKUP(A267,'SegEnds_NonXtal_Prot#'!A:AL,28,FALSE)</f>
        <v>43</v>
      </c>
      <c r="AJ267" s="1">
        <f>VLOOKUP(A267,'SegEnds_NonXtal_Prot#'!A:AL,34,FALSE)-VLOOKUP(A267,'SegEnds_NonXtal_Prot#'!A:AL,31,FALSE)</f>
        <v>45</v>
      </c>
      <c r="AK267" s="1">
        <f>VLOOKUP(A267,'SegEnds_NonXtal_Prot#'!A:AL,37,FALSE)-VLOOKUP(A267,'SegEnds_NonXtal_Prot#'!A:AL,34,FALSE)</f>
        <v>10</v>
      </c>
      <c r="AL267" s="1" t="str">
        <f>IF(ISERROR(MATCH(A267,'SegEnds_Xtal_Prot#'!B:B, 0)), "NoXtal", "Xtal")</f>
        <v>NoXtal</v>
      </c>
    </row>
    <row r="268" spans="1:38" x14ac:dyDescent="0.2">
      <c r="A268" s="12" t="s">
        <v>175</v>
      </c>
      <c r="B268" s="12" t="str">
        <f>VLOOKUP(A268,Xtal_Templ!A:B,2,FALSE)</f>
        <v>ccr7_human</v>
      </c>
      <c r="C268" s="13">
        <f>VLOOKUP($B268&amp;"__wt",'SegEnds_Xtal_BW#'!$A:$Z,3,FALSE)</f>
        <v>29</v>
      </c>
      <c r="D268" s="12">
        <f>VLOOKUP($B268&amp;"__wt",'SegEnds_Xtal_BW#'!$A:$Z,4,FALSE)</f>
        <v>60</v>
      </c>
      <c r="E268" s="12">
        <f>VLOOKUP($B268&amp;"__wt",'SegEnds_Xtal_BW#'!$A:$Z,5,FALSE)</f>
        <v>48</v>
      </c>
      <c r="F268" s="12">
        <f>VLOOKUP($B268&amp;"__wt",'SegEnds_Xtal_BW#'!$A:$Z,6,FALSE)</f>
        <v>51</v>
      </c>
      <c r="G268" s="12">
        <v>37</v>
      </c>
      <c r="H268" s="12">
        <v>66</v>
      </c>
      <c r="I268" s="12">
        <f>VLOOKUP($B268&amp;"__wt",'SegEnds_Xtal_BW#'!$A:$Z,9,FALSE)</f>
        <v>49</v>
      </c>
      <c r="J268" s="12">
        <f>VLOOKUP($B268&amp;"__wt",'SegEnds_Xtal_BW#'!$A:$Z,10,FALSE)</f>
        <v>52</v>
      </c>
      <c r="K268" s="12">
        <v>24</v>
      </c>
      <c r="L268" s="12">
        <f>VLOOKUP($B268&amp;"__wt",'SegEnds_Xtal_BW#'!$A:$Z,12,FALSE)</f>
        <v>56</v>
      </c>
      <c r="M268" s="12">
        <f>VLOOKUP($B268&amp;"__wt",'SegEnds_Xtal_BW#'!$A:$Z,13,FALSE)</f>
        <v>50</v>
      </c>
      <c r="N268" s="12">
        <v>58</v>
      </c>
      <c r="O268" s="87">
        <v>38</v>
      </c>
      <c r="P268" s="12">
        <f>VLOOKUP($B268&amp;"__wt",'SegEnds_Xtal_BW#'!$A:$Z,16,FALSE)</f>
        <v>64</v>
      </c>
      <c r="Q268" s="12">
        <f>VLOOKUP($B268&amp;"__wt",'SegEnds_Xtal_BW#'!$A:$Z,17,FALSE)</f>
        <v>50</v>
      </c>
      <c r="R268" s="12">
        <f>VLOOKUP($B268&amp;"__wt",'SegEnds_Xtal_BW#'!$A:$Z,18,FALSE)</f>
        <v>52</v>
      </c>
      <c r="S268" s="12">
        <f>VLOOKUP($B268&amp;"__wt",'SegEnds_Xtal_BW#'!$A:$Z,19,FALSE)</f>
        <v>33</v>
      </c>
      <c r="T268" s="12">
        <f t="array" ref="T268">INDEX(ICL3_classA!$G$2:$G$37,MATCH(MIN(ABS(AI268-ICL3_classA!$F$2:$F$37)),ABS(AI268-ICL3_classA!$F$2:$F$37),0))</f>
        <v>68</v>
      </c>
      <c r="U268" s="12">
        <f t="array" ref="U268">INDEX(ICL3_classA!$H$2:$H$37,MATCH(MIN(ABS(AI268-ICL3_classA!$F$2:$F$37)),ABS(AI268-ICL3_classA!$F$2:$F$37),0))</f>
        <v>30</v>
      </c>
      <c r="V268" s="12">
        <v>65</v>
      </c>
      <c r="W268" s="12">
        <v>24</v>
      </c>
      <c r="X268" s="12">
        <f>VLOOKUP($B268&amp;"__wt",'SegEnds_Xtal_BW#'!$A:$Z,24,FALSE)</f>
        <v>56</v>
      </c>
      <c r="Y268" s="12">
        <f>VLOOKUP($B268&amp;"__wt",'SegEnds_Xtal_BW#'!$A:$Z,25,FALSE)</f>
        <v>47</v>
      </c>
      <c r="Z268" s="12">
        <f>VLOOKUP($B268&amp;"__wt",'SegEnds_Xtal_BW#'!$A:$Z,26,FALSE)</f>
        <v>59</v>
      </c>
      <c r="AA268" s="36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2">
        <f>VLOOKUP(A268,'SegEnds_NonXtal_Prot#'!A:AL,10,FALSE)-VLOOKUP(A268,'SegEnds_NonXtal_Prot#'!A:AL,7,FALSE)</f>
        <v>15</v>
      </c>
      <c r="AD268" s="12">
        <f>VLOOKUP(A268,'SegEnds_NonXtal_Prot#'!A:AL,13,FALSE)-VLOOKUP(A268,'SegEnds_NonXtal_Prot#'!A:AL,10,FALSE)</f>
        <v>18</v>
      </c>
      <c r="AE268" s="12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22</v>
      </c>
      <c r="AG268" s="12">
        <f>VLOOKUP(A268,'SegEnds_NonXtal_Prot#'!A:AL,28,FALSE)-VLOOKUP(A268,'SegEnds_NonXtal_Prot#'!A:AL,25,FALSE)</f>
        <v>25</v>
      </c>
      <c r="AH268" s="1">
        <f>VLOOKUP(A268,'SegEnds_NonXtal_Prot#'!A:AL,28,FALSE)-VLOOKUP(A268,'SegEnds_NonXtal_Prot#'!A:AL,22,FALSE)</f>
        <v>52</v>
      </c>
      <c r="AI268" s="12">
        <f>VLOOKUP(A268,'SegEnds_NonXtal_Prot#'!A:AL,31,FALSE)-VLOOKUP(A268,'SegEnds_NonXtal_Prot#'!A:AL,28,FALSE)</f>
        <v>43</v>
      </c>
      <c r="AJ268" s="12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2" t="str">
        <f>IF(ISERROR(MATCH(A268,'SegEnds_Xtal_Prot#'!B:B, 0)), "NoXtal", "Xtal")</f>
        <v>Xtal</v>
      </c>
    </row>
    <row r="269" spans="1:38" x14ac:dyDescent="0.2">
      <c r="A269" s="12" t="s">
        <v>177</v>
      </c>
      <c r="B269" s="12" t="str">
        <f>VLOOKUP(A269,Xtal_Templ!A:B,2,FALSE)</f>
        <v>ccr9_human</v>
      </c>
      <c r="C269" s="13">
        <f>VLOOKUP($B269&amp;"__wt",'SegEnds_Xtal_BW#'!$A:$Z,3,FALSE)</f>
        <v>27</v>
      </c>
      <c r="D269" s="12">
        <f>VLOOKUP($B269&amp;"__wt",'SegEnds_Xtal_BW#'!$A:$Z,4,FALSE)</f>
        <v>60</v>
      </c>
      <c r="E269" s="12">
        <f>VLOOKUP($B269&amp;"__wt",'SegEnds_Xtal_BW#'!$A:$Z,5,FALSE)</f>
        <v>48</v>
      </c>
      <c r="F269" s="12">
        <f>VLOOKUP($B269&amp;"__wt",'SegEnds_Xtal_BW#'!$A:$Z,6,FALSE)</f>
        <v>51</v>
      </c>
      <c r="G269" s="12">
        <v>37</v>
      </c>
      <c r="H269" s="12">
        <v>66</v>
      </c>
      <c r="I269" s="12">
        <f>VLOOKUP($B269&amp;"__wt",'SegEnds_Xtal_BW#'!$A:$Z,9,FALSE)</f>
        <v>49</v>
      </c>
      <c r="J269" s="12">
        <f>VLOOKUP($B269&amp;"__wt",'SegEnds_Xtal_BW#'!$A:$Z,10,FALSE)</f>
        <v>52</v>
      </c>
      <c r="K269" s="12">
        <v>24</v>
      </c>
      <c r="L269" s="12">
        <f>VLOOKUP($B269&amp;"__wt",'SegEnds_Xtal_BW#'!$A:$Z,12,FALSE)</f>
        <v>56</v>
      </c>
      <c r="M269" s="12">
        <f>VLOOKUP($B269&amp;"__wt",'SegEnds_Xtal_BW#'!$A:$Z,13,FALSE)</f>
        <v>50</v>
      </c>
      <c r="N269" s="12">
        <f>VLOOKUP($B269&amp;"__wt",'SegEnds_Xtal_BW#'!$A:$Z,14,FALSE)</f>
        <v>56</v>
      </c>
      <c r="O269" s="87">
        <f>VLOOKUP($B269&amp;"__wt",'SegEnds_Xtal_BW#'!$A:$Z,15,FALSE)</f>
        <v>35</v>
      </c>
      <c r="P269" s="12">
        <f>VLOOKUP($B269&amp;"__wt",'SegEnds_Xtal_BW#'!$A:$Z,16,FALSE)</f>
        <v>64</v>
      </c>
      <c r="Q269" s="12">
        <f>VLOOKUP($B269&amp;"__wt",'SegEnds_Xtal_BW#'!$A:$Z,17,FALSE)</f>
        <v>50</v>
      </c>
      <c r="R269" s="12">
        <f>VLOOKUP($B269&amp;"__wt",'SegEnds_Xtal_BW#'!$A:$Z,18,FALSE)</f>
        <v>52</v>
      </c>
      <c r="S269" s="12">
        <f>VLOOKUP($B269&amp;"__wt",'SegEnds_Xtal_BW#'!$A:$Z,19,FALSE)</f>
        <v>33</v>
      </c>
      <c r="T269" s="12">
        <f t="array" ref="T269">INDEX(ICL3_classA!$G$2:$G$37,MATCH(MIN(ABS(AI269-ICL3_classA!$F$2:$F$37)),ABS(AI269-ICL3_classA!$F$2:$F$37),0))</f>
        <v>68</v>
      </c>
      <c r="U269" s="12">
        <f t="array" ref="U269">INDEX(ICL3_classA!$H$2:$H$37,MATCH(MIN(ABS(AI269-ICL3_classA!$F$2:$F$37)),ABS(AI269-ICL3_classA!$F$2:$F$37),0))</f>
        <v>30</v>
      </c>
      <c r="V269" s="12">
        <v>65</v>
      </c>
      <c r="W269" s="12">
        <v>24</v>
      </c>
      <c r="X269" s="12">
        <f>VLOOKUP($B269&amp;"__wt",'SegEnds_Xtal_BW#'!$A:$Z,24,FALSE)</f>
        <v>56</v>
      </c>
      <c r="Y269" s="12">
        <f>VLOOKUP($B269&amp;"__wt",'SegEnds_Xtal_BW#'!$A:$Z,25,FALSE)</f>
        <v>47</v>
      </c>
      <c r="Z269" s="12">
        <f>VLOOKUP($B269&amp;"__wt",'SegEnds_Xtal_BW#'!$A:$Z,26,FALSE)</f>
        <v>67</v>
      </c>
      <c r="AA269" s="36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2">
        <f>VLOOKUP(A269,'SegEnds_NonXtal_Prot#'!A:AL,10,FALSE)-VLOOKUP(A269,'SegEnds_NonXtal_Prot#'!A:AL,7,FALSE)</f>
        <v>15</v>
      </c>
      <c r="AD269" s="12">
        <f>VLOOKUP(A269,'SegEnds_NonXtal_Prot#'!A:AL,13,FALSE)-VLOOKUP(A269,'SegEnds_NonXtal_Prot#'!A:AL,10,FALSE)</f>
        <v>18</v>
      </c>
      <c r="AE269" s="12">
        <f>VLOOKUP(A269,'SegEnds_NonXtal_Prot#'!A:AL,16,FALSE)-VLOOKUP(A269,'SegEnds_NonXtal_Prot#'!A:AL,10,FALSE)</f>
        <v>50</v>
      </c>
      <c r="AF269" s="1">
        <f>VLOOKUP(A269,'SegEnds_NonXtal_Prot#'!A:AL,22,FALSE)-VLOOKUP(A269,'SegEnds_NonXtal_Prot#'!A:AL,19,FALSE)</f>
        <v>22</v>
      </c>
      <c r="AG269" s="12">
        <f>VLOOKUP(A269,'SegEnds_NonXtal_Prot#'!A:AL,28,FALSE)-VLOOKUP(A269,'SegEnds_NonXtal_Prot#'!A:AL,25,FALSE)</f>
        <v>28</v>
      </c>
      <c r="AH269" s="1">
        <f>VLOOKUP(A269,'SegEnds_NonXtal_Prot#'!A:AL,28,FALSE)-VLOOKUP(A269,'SegEnds_NonXtal_Prot#'!A:AL,22,FALSE)</f>
        <v>53</v>
      </c>
      <c r="AI269" s="12">
        <f>VLOOKUP(A269,'SegEnds_NonXtal_Prot#'!A:AL,31,FALSE)-VLOOKUP(A269,'SegEnds_NonXtal_Prot#'!A:AL,28,FALSE)</f>
        <v>43</v>
      </c>
      <c r="AJ269" s="12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2" t="str">
        <f>IF(ISERROR(MATCH(A269,'SegEnds_Xtal_Prot#'!B:B, 0)), "NoXtal", "Xtal")</f>
        <v>Xtal</v>
      </c>
    </row>
    <row r="270" spans="1:38" x14ac:dyDescent="0.2">
      <c r="A270" s="1" t="s">
        <v>185</v>
      </c>
      <c r="B270" s="1" t="str">
        <f>VLOOKUP(A270,Xtal_Templ!A:B,2,FALSE)</f>
        <v>ccr7_human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08">
        <v>56</v>
      </c>
      <c r="O270" s="87">
        <f>VLOOKUP($B270&amp;"__wt",'SegEnds_Xtal_BW#'!$A:$Z,15,FALSE)</f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>
        <f>VLOOKUP(A270,'SegEnds_NonXtal_Prot#'!A:AL,22,FALSE)-VLOOKUP(A270,'SegEnds_NonXtal_Prot#'!A:AL,19,FALSE)</f>
        <v>19</v>
      </c>
      <c r="AG270" s="1">
        <f>VLOOKUP(A270,'SegEnds_NonXtal_Prot#'!A:AL,28,FALSE)-VLOOKUP(A270,'SegEnds_NonXtal_Prot#'!A:AL,25,FALSE)</f>
        <v>27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186</v>
      </c>
      <c r="B271" s="1" t="str">
        <f>VLOOKUP(A271,Xtal_Templ!A:B,2,FALSE)</f>
        <v>ccr7_human</v>
      </c>
      <c r="C271" s="5">
        <f>VLOOKUP($B271&amp;"__wt",'SegEnds_Xtal_BW#'!$A:$Z,3,FALSE)</f>
        <v>29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08">
        <v>56</v>
      </c>
      <c r="O271" s="108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33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19</v>
      </c>
      <c r="AG271" s="1">
        <f>VLOOKUP(A271,'SegEnds_NonXtal_Prot#'!A:AL,28,FALSE)-VLOOKUP(A271,'SegEnds_NonXtal_Prot#'!A:AL,25,FALSE)</f>
        <v>27</v>
      </c>
      <c r="AH271" s="1">
        <f>VLOOKUP(A271,'SegEnds_NonXtal_Prot#'!A:AL,28,FALSE)-VLOOKUP(A271,'SegEnds_NonXtal_Prot#'!A:AL,22,FALSE)</f>
        <v>53</v>
      </c>
      <c r="AI271" s="1">
        <f>VLOOKUP(A271,'SegEnds_NonXtal_Prot#'!A:AL,31,FALSE)-VLOOKUP(A271,'SegEnds_NonXtal_Prot#'!A:AL,28,FALSE)</f>
        <v>43</v>
      </c>
      <c r="AJ271" s="1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187</v>
      </c>
      <c r="B272" s="1" t="str">
        <f>VLOOKUP(A272,Xtal_Templ!A:B,2,FALSE)</f>
        <v>ccr7_human</v>
      </c>
      <c r="C272" s="5">
        <f>VLOOKUP($B272&amp;"__wt",'SegEnds_Xtal_BW#'!$A:$Z,3,FALSE)</f>
        <v>29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33</v>
      </c>
      <c r="T272" s="1">
        <f t="array" ref="T272">INDEX(ICL3_classA!$G$2:$G$37,MATCH(MIN(ABS(AI272-ICL3_classA!$F$2:$F$37)),ABS(AI272-ICL3_classA!$F$2:$F$37),0))</f>
        <v>68</v>
      </c>
      <c r="U272" s="1">
        <f t="array" ref="U272">INDEX(ICL3_classA!$H$2:$H$37,MATCH(MIN(ABS(AI272-ICL3_classA!$F$2:$F$37)),ABS(AI272-ICL3_classA!$F$2:$F$37),0))</f>
        <v>30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24</v>
      </c>
      <c r="AH272" s="1">
        <f>VLOOKUP(A272,'SegEnds_NonXtal_Prot#'!A:AL,28,FALSE)-VLOOKUP(A272,'SegEnds_NonXtal_Prot#'!A:AL,22,FALSE)</f>
        <v>51</v>
      </c>
      <c r="AI272" s="1">
        <f>VLOOKUP(A272,'SegEnds_NonXtal_Prot#'!A:AL,31,FALSE)-VLOOKUP(A272,'SegEnds_NonXtal_Prot#'!A:AL,28,FALSE)</f>
        <v>43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1171</v>
      </c>
      <c r="B273" s="1" t="str">
        <f>VLOOKUP(A273,Xtal_Templ!A:B,2,FALSE)</f>
        <v>cxcr4_human</v>
      </c>
      <c r="C273" s="5">
        <f>VLOOKUP($B273&amp;"__wt",'SegEnds_Xtal_BW#'!$A:$Z,3,FALSE)</f>
        <v>24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30</v>
      </c>
      <c r="V273" s="1">
        <v>64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25</v>
      </c>
      <c r="AH273" s="1">
        <f>VLOOKUP(A273,'SegEnds_NonXtal_Prot#'!A:AL,28,FALSE)-VLOOKUP(A273,'SegEnds_NonXtal_Prot#'!A:AL,22,FALSE)</f>
        <v>50</v>
      </c>
      <c r="AI273" s="1">
        <f>VLOOKUP(A273,'SegEnds_NonXtal_Prot#'!A:AL,31,FALSE)-VLOOKUP(A273,'SegEnds_NonXtal_Prot#'!A:AL,28,FALSE)</f>
        <v>43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Xtal</v>
      </c>
    </row>
    <row r="274" spans="1:38" x14ac:dyDescent="0.2">
      <c r="A274" s="1" t="s">
        <v>188</v>
      </c>
      <c r="B274" s="1" t="str">
        <f>VLOOKUP(A274,Xtal_Templ!A:B,2,FALSE)</f>
        <v>ccr7_human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24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33</v>
      </c>
      <c r="T274" s="1">
        <f t="array" ref="T274">INDEX(ICL3_classA!$G$2:$G$37,MATCH(MIN(ABS(AI274-ICL3_classA!$F$2:$F$37)),ABS(AI274-ICL3_classA!$F$2:$F$37),0))</f>
        <v>68</v>
      </c>
      <c r="U274" s="1">
        <f t="array" ref="U274">INDEX(ICL3_classA!$H$2:$H$37,MATCH(MIN(ABS(AI274-ICL3_classA!$F$2:$F$37)),ABS(AI274-ICL3_classA!$F$2:$F$37),0))</f>
        <v>28</v>
      </c>
      <c r="V274" s="1">
        <v>64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28</v>
      </c>
      <c r="AC274" s="1">
        <f>VLOOKUP(A274,'SegEnds_NonXtal_Prot#'!A:AL,10,FALSE)-VLOOKUP(A274,'SegEnds_NonXtal_Prot#'!A:AL,7,FALSE)</f>
        <v>15</v>
      </c>
      <c r="AD274" s="1">
        <f>VLOOKUP(A274,'SegEnds_NonXtal_Prot#'!A:AL,13,FALSE)-VLOOKUP(A274,'SegEnds_NonXtal_Prot#'!A:AL,10,FALSE)</f>
        <v>18</v>
      </c>
      <c r="AE274" s="1">
        <f>VLOOKUP(A274,'SegEnds_NonXtal_Prot#'!A:AL,16,FALSE)-VLOOKUP(A274,'SegEnds_NonXtal_Prot#'!A:AL,10,FALSE)</f>
        <v>50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28</v>
      </c>
      <c r="AH274" s="1">
        <f>VLOOKUP(A274,'SegEnds_NonXtal_Prot#'!A:AL,28,FALSE)-VLOOKUP(A274,'SegEnds_NonXtal_Prot#'!A:AL,22,FALSE)</f>
        <v>56</v>
      </c>
      <c r="AI274" s="1">
        <f>VLOOKUP(A274,'SegEnds_NonXtal_Prot#'!A:AL,31,FALSE)-VLOOKUP(A274,'SegEnds_NonXtal_Prot#'!A:AL,28,FALSE)</f>
        <v>44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194</v>
      </c>
      <c r="B275" s="1" t="str">
        <f>VLOOKUP(A275,Xtal_Templ!A:B,2,FALSE)</f>
        <v>adrb2_human</v>
      </c>
      <c r="C275" s="5">
        <f>VLOOKUP($B275&amp;"__wt",'SegEnds_Xtal_BW#'!$A:$Z,3,FALSE)</f>
        <v>25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INDEX(ICL3_classA!$G$2:$G$37,MATCH(MIN(ABS(AI275-ICL3_classA!$F$2:$F$37)),ABS(AI275-ICL3_classA!$F$2:$F$37),0))</f>
        <v>76</v>
      </c>
      <c r="U275" s="1">
        <f t="array" ref="U275">INDEX(ICL3_classA!$H$2:$H$37,MATCH(MIN(ABS(AI275-ICL3_classA!$F$2:$F$37)),ABS(AI275-ICL3_classA!$F$2:$F$37),0))</f>
        <v>24</v>
      </c>
      <c r="V275" s="1">
        <v>64</v>
      </c>
      <c r="W275" s="1">
        <v>24</v>
      </c>
      <c r="X275" s="125">
        <v>56</v>
      </c>
      <c r="Y275" s="1">
        <f>VLOOKUP($B275&amp;"__wt",'SegEnds_Xtal_BW#'!$A:$Z,25,FALSE)</f>
        <v>47</v>
      </c>
      <c r="Z275" s="1">
        <f>VLOOKUP($B275&amp;"__wt",'SegEnds_Xtal_BW#'!$A:$Z,26,FALSE)</f>
        <v>59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29</v>
      </c>
      <c r="AC275" s="1">
        <f>VLOOKUP(A275,'SegEnds_NonXtal_Prot#'!A:AL,10,FALSE)-VLOOKUP(A275,'SegEnds_NonXtal_Prot#'!A:AL,7,FALSE)</f>
        <v>16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51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20</v>
      </c>
      <c r="AH275" s="1">
        <f>VLOOKUP(A275,'SegEnds_NonXtal_Prot#'!A:AL,28,FALSE)-VLOOKUP(A275,'SegEnds_NonXtal_Prot#'!A:AL,22,FALSE)</f>
        <v>72</v>
      </c>
      <c r="AI275" s="1">
        <f>VLOOKUP(A275,'SegEnds_NonXtal_Prot#'!A:AL,31,FALSE)-VLOOKUP(A275,'SegEnds_NonXtal_Prot#'!A:AL,28,FALSE)</f>
        <v>74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195</v>
      </c>
      <c r="B276" s="1" t="str">
        <f>VLOOKUP(A276,Xtal_Templ!A:B,2,FALSE)</f>
        <v>ednrb_human</v>
      </c>
      <c r="C276" s="5">
        <f>VLOOKUP($B276&amp;"__wt",'SegEnds_Xtal_BW#'!$A:$Z,3,FALSE)</f>
        <v>22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52</v>
      </c>
      <c r="G276" s="1">
        <v>38</v>
      </c>
      <c r="H276" s="12"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9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28</v>
      </c>
      <c r="T276" s="1">
        <f t="array" ref="T276">INDEX(ICL3_classA!$G$2:$G$37,MATCH(MIN(ABS(AI276-ICL3_classA!$F$2:$F$37)),ABS(AI276-ICL3_classA!$F$2:$F$37),0))</f>
        <v>72</v>
      </c>
      <c r="U276" s="1">
        <f t="array" ref="U276">INDEX(ICL3_classA!$H$2:$H$37,MATCH(MIN(ABS(AI276-ICL3_classA!$F$2:$F$37)),ABS(AI276-ICL3_classA!$F$2:$F$37),0))</f>
        <v>24</v>
      </c>
      <c r="V276" s="1">
        <v>62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60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57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28</v>
      </c>
      <c r="AH276" s="1">
        <f>VLOOKUP(A276,'SegEnds_NonXtal_Prot#'!A:AL,28,FALSE)-VLOOKUP(A276,'SegEnds_NonXtal_Prot#'!A:AL,22,FALSE)</f>
        <v>57</v>
      </c>
      <c r="AI276" s="1">
        <f>VLOOKUP(A276,'SegEnds_NonXtal_Prot#'!A:AL,31,FALSE)-VLOOKUP(A276,'SegEnds_NonXtal_Prot#'!A:AL,28,FALSE)</f>
        <v>54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196</v>
      </c>
      <c r="B277" s="1" t="str">
        <f>VLOOKUP(A277,Xtal_Templ!A:B,2,FALSE)</f>
        <v>ednrb_human</v>
      </c>
      <c r="C277" s="5">
        <f>VLOOKUP($B277&amp;"__wt",'SegEnds_Xtal_BW#'!$A:$Z,3,FALSE)</f>
        <v>22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52</v>
      </c>
      <c r="G277" s="1">
        <v>38</v>
      </c>
      <c r="H277" s="12">
        <f>VLOOKUP($B277&amp;"__wt",'SegEnds_Xtal_BW#'!$A:$Z,8,FALSE)</f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21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f>VLOOKUP($B277&amp;"__wt",'SegEnds_Xtal_BW#'!$A:$Z,14,FALSE)</f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28</v>
      </c>
      <c r="T277" s="1">
        <f t="array" ref="T277">INDEX(ICL3_classA!$G$2:$G$37,MATCH(MIN(ABS(AI277-ICL3_classA!$F$2:$F$37)),ABS(AI277-ICL3_classA!$F$2:$F$37),0))</f>
        <v>72</v>
      </c>
      <c r="U277" s="1">
        <f t="array" ref="U277">INDEX(ICL3_classA!$H$2:$H$37,MATCH(MIN(ABS(AI277-ICL3_classA!$F$2:$F$37)),ABS(AI277-ICL3_classA!$F$2:$F$37),0))</f>
        <v>24</v>
      </c>
      <c r="V277" s="1">
        <v>62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60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>
        <f>VLOOKUP(A277,'SegEnds_NonXtal_Prot#'!A:AL,10,FALSE)-VLOOKUP(A277,'SegEnds_NonXtal_Prot#'!A:AL,7,FALSE)</f>
        <v>15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30</v>
      </c>
      <c r="AH277" s="1">
        <f>VLOOKUP(A277,'SegEnds_NonXtal_Prot#'!A:AL,28,FALSE)-VLOOKUP(A277,'SegEnds_NonXtal_Prot#'!A:AL,22,FALSE)</f>
        <v>59</v>
      </c>
      <c r="AI277" s="1">
        <f>VLOOKUP(A277,'SegEnds_NonXtal_Prot#'!A:AL,31,FALSE)-VLOOKUP(A277,'SegEnds_NonXtal_Prot#'!A:AL,28,FALSE)</f>
        <v>53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Xtal</v>
      </c>
    </row>
    <row r="278" spans="1:38" s="12" customFormat="1" x14ac:dyDescent="0.2">
      <c r="A278" s="1" t="s">
        <v>219</v>
      </c>
      <c r="B278" s="1" t="str">
        <f>VLOOKUP(A278,Xtal_Templ!A:B,2,FALSE)</f>
        <v>agtr1_human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v>63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24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56</v>
      </c>
      <c r="O278" s="87"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34</v>
      </c>
      <c r="T278" s="1">
        <f t="array" ref="T278">INDEX(ICL3_classA!$G$2:$G$37,MATCH(MIN(ABS(AI278-ICL3_classA!$F$2:$F$37)),ABS(AI278-ICL3_classA!$F$2:$F$37),0))</f>
        <v>68</v>
      </c>
      <c r="U278" s="1">
        <f t="array" ref="U278">INDEX(ICL3_classA!$H$2:$H$37,MATCH(MIN(ABS(AI278-ICL3_classA!$F$2:$F$37)),ABS(AI278-ICL3_classA!$F$2:$F$37),0))</f>
        <v>24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33</v>
      </c>
      <c r="AC278" s="1" t="e">
        <f>VLOOKUP(A278,'SegEnds_NonXtal_Prot#'!A:AL,10,FALSE)-VLOOKUP(A278,'SegEnds_NonXtal_Prot#'!A:AL,7,FALSE)</f>
        <v>#VALUE!</v>
      </c>
      <c r="AD278" s="1">
        <f>VLOOKUP(A278,'SegEnds_NonXtal_Prot#'!A:AL,13,FALSE)-VLOOKUP(A278,'SegEnds_NonXtal_Prot#'!A:AL,10,FALSE)</f>
        <v>17</v>
      </c>
      <c r="AE278" s="1">
        <f>VLOOKUP(A278,'SegEnds_NonXtal_Prot#'!A:AL,16,FALSE)-VLOOKUP(A278,'SegEnds_NonXtal_Prot#'!A:AL,10,FALSE)</f>
        <v>49</v>
      </c>
      <c r="AF278" s="1" t="e">
        <f>VLOOKUP(A278,'SegEnds_NonXtal_Prot#'!A:AL,22,FALSE)-VLOOKUP(A278,'SegEnds_NonXtal_Prot#'!A:AL,19,FALSE)</f>
        <v>#VALUE!</v>
      </c>
      <c r="AG278" s="1" t="e">
        <f>VLOOKUP(A278,'SegEnds_NonXtal_Prot#'!A:AL,28,FALSE)-VLOOKUP(A278,'SegEnds_NonXtal_Prot#'!A:AL,25,FALSE)</f>
        <v>#VALUE!</v>
      </c>
      <c r="AH278" s="1">
        <f>VLOOKUP(A278,'SegEnds_NonXtal_Prot#'!A:AL,28,FALSE)-VLOOKUP(A278,'SegEnds_NonXtal_Prot#'!A:AL,22,FALSE)</f>
        <v>47</v>
      </c>
      <c r="AI278" s="1">
        <f>VLOOKUP(A278,'SegEnds_NonXtal_Prot#'!A:AL,31,FALSE)-VLOOKUP(A278,'SegEnds_NonXtal_Prot#'!A:AL,28,FALSE)</f>
        <v>49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246</v>
      </c>
      <c r="B279" s="1" t="str">
        <f>VLOOKUP(A279,Xtal_Templ!A:B,2,FALSE)</f>
        <v>agtr1_human</v>
      </c>
      <c r="C279" s="5">
        <f>VLOOKUP($B279&amp;"__wt",'SegEnds_Xtal_BW#'!$A:$Z,3,FALSE)</f>
        <v>28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34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28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>
        <f>VLOOKUP(A279,'SegEnds_NonXtal_Prot#'!A:AL,10,FALSE)-VLOOKUP(A279,'SegEnds_NonXtal_Prot#'!A:AL,7,FALSE)</f>
        <v>15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23</v>
      </c>
      <c r="AH279" s="1">
        <f>VLOOKUP(A279,'SegEnds_NonXtal_Prot#'!A:AL,28,FALSE)-VLOOKUP(A279,'SegEnds_NonXtal_Prot#'!A:AL,22,FALSE)</f>
        <v>50</v>
      </c>
      <c r="AI279" s="1">
        <f>VLOOKUP(A279,'SegEnds_NonXtal_Prot#'!A:AL,31,FALSE)-VLOOKUP(A279,'SegEnds_NonXtal_Prot#'!A:AL,28,FALSE)</f>
        <v>45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276</v>
      </c>
      <c r="B280" s="1" t="str">
        <f>VLOOKUP(A280,Xtal_Templ!A:B,2,FALSE)</f>
        <v>cltr2_human</v>
      </c>
      <c r="C280" s="5">
        <f>VLOOKUP($B280&amp;"__wt",'SegEnds_Xtal_BW#'!$A:$Z,3,FALSE)</f>
        <v>25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63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60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 t="e">
        <f>VLOOKUP(A280,'SegEnds_NonXtal_Prot#'!A:AL,10,FALSE)-VLOOKUP(A280,'SegEnds_NonXtal_Prot#'!A:AL,7,FALSE)</f>
        <v>#VALUE!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23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46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277</v>
      </c>
      <c r="B281" s="1" t="str">
        <f>VLOOKUP(A281,Xtal_Templ!A:B,2,FALSE)</f>
        <v>p2ry1_human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f>VLOOKUP($B281&amp;"__wt",'SegEnds_Xtal_BW#'!$A:$Z,8,FALSE)</f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18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32</v>
      </c>
      <c r="T281" s="1">
        <f t="array" ref="T281">INDEX(ICL3_classA!$G$2:$G$37,MATCH(MIN(ABS(AI281-ICL3_classA!$F$2:$F$37)),ABS(AI281-ICL3_classA!$F$2:$F$37),0))</f>
        <v>67</v>
      </c>
      <c r="U281" s="1">
        <f t="array" ref="U281">INDEX(ICL3_classA!$H$2:$H$37,MATCH(MIN(ABS(AI281-ICL3_classA!$F$2:$F$37)),ABS(AI281-ICL3_classA!$F$2:$F$37),0))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20</v>
      </c>
      <c r="AE281" s="1">
        <f>VLOOKUP(A281,'SegEnds_NonXtal_Prot#'!A:AL,16,FALSE)-VLOOKUP(A281,'SegEnds_NonXtal_Prot#'!A:AL,10,FALSE)</f>
        <v>52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23</v>
      </c>
      <c r="AH281" s="1">
        <f>VLOOKUP(A281,'SegEnds_NonXtal_Prot#'!A:AL,28,FALSE)-VLOOKUP(A281,'SegEnds_NonXtal_Prot#'!A:AL,22,FALSE)</f>
        <v>48</v>
      </c>
      <c r="AI281" s="1">
        <f>VLOOKUP(A281,'SegEnds_NonXtal_Prot#'!A:AL,31,FALSE)-VLOOKUP(A281,'SegEnds_NonXtal_Prot#'!A:AL,28,FALSE)</f>
        <v>46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289</v>
      </c>
      <c r="B282" s="1" t="str">
        <f>VLOOKUP(A282,Xtal_Templ!A:B,2,FALSE)</f>
        <v>cltr2_human</v>
      </c>
      <c r="C282" s="5">
        <f>VLOOKUP($B282&amp;"__wt",'SegEnds_Xtal_BW#'!$A:$Z,3,FALSE)</f>
        <v>25</v>
      </c>
      <c r="D282" s="1">
        <f>VLOOKUP($B282&amp;"__wt",'SegEnds_Xtal_BW#'!$A:$Z,4,FALSE)</f>
        <v>60</v>
      </c>
      <c r="E282" s="1" t="str">
        <f>VLOOKUP($B282&amp;"__wt",'SegEnds_Xtal_BW#'!$A:$Z,5,FALSE)</f>
        <v>-</v>
      </c>
      <c r="F282" s="1" t="str">
        <f>VLOOKUP($B282&amp;"__wt",'SegEnds_Xtal_BW#'!$A:$Z,6,FALSE)</f>
        <v>-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v>57</v>
      </c>
      <c r="O282" s="87">
        <v>38</v>
      </c>
      <c r="P282" s="1">
        <f>VLOOKUP($B282&amp;"__wt",'SegEnds_Xtal_BW#'!$A:$Z,16,FALSE)</f>
        <v>63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32</v>
      </c>
      <c r="T282" s="1">
        <f t="array" ref="T282">INDEX(ICL3_classA!$G$2:$G$37,MATCH(MIN(ABS(AI282-ICL3_classA!$F$2:$F$37)),ABS(AI282-ICL3_classA!$F$2:$F$37),0))</f>
        <v>67</v>
      </c>
      <c r="U282" s="1">
        <f t="array" ref="U282">INDEX(ICL3_classA!$H$2:$H$37,MATCH(MIN(ABS(AI282-ICL3_classA!$F$2:$F$37)),ABS(AI282-ICL3_classA!$F$2:$F$37),0))</f>
        <v>26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>
        <f>VLOOKUP(A282,'SegEnds_NonXtal_Prot#'!A:AL,13,FALSE)-VLOOKUP(A282,'SegEnds_NonXtal_Prot#'!A:AL,10,FALSE)</f>
        <v>19</v>
      </c>
      <c r="AE282" s="1">
        <f>VLOOKUP(A282,'SegEnds_NonXtal_Prot#'!A:AL,16,FALSE)-VLOOKUP(A282,'SegEnds_NonXtal_Prot#'!A:AL,10,FALSE)</f>
        <v>51</v>
      </c>
      <c r="AF282" s="1">
        <f>VLOOKUP(A282,'SegEnds_NonXtal_Prot#'!A:AL,22,FALSE)-VLOOKUP(A282,'SegEnds_NonXtal_Prot#'!A:AL,19,FALSE)</f>
        <v>20</v>
      </c>
      <c r="AG282" s="1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57</v>
      </c>
      <c r="AI282" s="1">
        <f>VLOOKUP(A282,'SegEnds_NonXtal_Prot#'!A:AL,31,FALSE)-VLOOKUP(A282,'SegEnds_NonXtal_Prot#'!A:AL,28,FALSE)</f>
        <v>46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NoXtal</v>
      </c>
    </row>
    <row r="283" spans="1:38" x14ac:dyDescent="0.2">
      <c r="A283" s="1" t="s">
        <v>1507</v>
      </c>
      <c r="B283" s="1" t="str">
        <f>VLOOKUP(A283,Xtal_Templ!A:B,2,FALSE)</f>
        <v>q80km9_hcmv</v>
      </c>
      <c r="C283" s="5">
        <f>VLOOKUP($B283&amp;"__wt",'SegEnds_Xtal_BW#'!$A:$Z,3,FALSE)</f>
        <v>24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66</v>
      </c>
      <c r="I283" s="1" t="str">
        <f>VLOOKUP($B283&amp;"__wt",'SegEnds_Xtal_BW#'!$A:$Z,9,FALSE)</f>
        <v>-</v>
      </c>
      <c r="J283" s="1" t="str">
        <f>VLOOKUP($B283&amp;"__wt",'SegEnds_Xtal_BW#'!$A:$Z,10,FALSE)</f>
        <v>-</v>
      </c>
      <c r="K283" s="108">
        <v>21</v>
      </c>
      <c r="L283" s="1">
        <f>VLOOKUP($B283&amp;"__wt",'SegEnds_Xtal_BW#'!$A:$Z,12,FALSE)</f>
        <v>55</v>
      </c>
      <c r="M283" s="1" t="str">
        <f>VLOOKUP($B283&amp;"__wt",'SegEnds_Xtal_BW#'!$A:$Z,13,FALSE)</f>
        <v>-</v>
      </c>
      <c r="N283" s="12" t="str">
        <f>VLOOKUP($B283&amp;"__wt",'SegEnds_Xtal_BW#'!$A:$Z,14,FALSE)</f>
        <v>-</v>
      </c>
      <c r="O283" s="87">
        <f>VLOOKUP($B283&amp;"__wt",'SegEnds_Xtal_BW#'!$A:$Z,15,FALSE)</f>
        <v>38</v>
      </c>
      <c r="P283" s="1">
        <f>VLOOKUP($B283&amp;"__wt",'SegEnds_Xtal_BW#'!$A:$Z,16,FALSE)</f>
        <v>62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33</v>
      </c>
      <c r="T283" s="1">
        <f t="array" ref="T283">INDEX(ICL3_classA!$G$2:$G$37,MATCH(MIN(ABS(AI283-ICL3_classA!$F$2:$F$37)),ABS(AI283-ICL3_classA!$F$2:$F$37),0))</f>
        <v>68</v>
      </c>
      <c r="U283" s="1">
        <v>29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62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 t="e">
        <f>VLOOKUP(A283,'SegEnds_NonXtal_Prot#'!A:AL,13,FALSE)-VLOOKUP(A283,'SegEnds_NonXtal_Prot#'!A:AL,10,FALSE)</f>
        <v>#VALUE!</v>
      </c>
      <c r="AE283" s="1">
        <f>VLOOKUP(A283,'SegEnds_NonXtal_Prot#'!A:AL,16,FALSE)-VLOOKUP(A283,'SegEnds_NonXtal_Prot#'!A:AL,10,FALSE)</f>
        <v>50</v>
      </c>
      <c r="AF283" s="1" t="e">
        <f>VLOOKUP(A283,'SegEnds_NonXtal_Prot#'!A:AL,22,FALSE)-VLOOKUP(A283,'SegEnds_NonXtal_Prot#'!A:AL,19,FALSE)</f>
        <v>#VALUE!</v>
      </c>
      <c r="AG283" s="1">
        <f>VLOOKUP(A283,'SegEnds_NonXtal_Prot#'!A:AL,28,FALSE)-VLOOKUP(A283,'SegEnds_NonXtal_Prot#'!A:AL,25,FALSE)</f>
        <v>27</v>
      </c>
      <c r="AH283" s="1">
        <f>VLOOKUP(A283,'SegEnds_NonXtal_Prot#'!A:AL,28,FALSE)-VLOOKUP(A283,'SegEnds_NonXtal_Prot#'!A:AL,22,FALSE)</f>
        <v>48</v>
      </c>
      <c r="AI283" s="1">
        <f>VLOOKUP(A283,'SegEnds_NonXtal_Prot#'!A:AL,31,FALSE)-VLOOKUP(A283,'SegEnds_NonXtal_Prot#'!A:AL,28,FALSE)</f>
        <v>43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373</v>
      </c>
      <c r="B284" s="1" t="str">
        <f>VLOOKUP(A284,Xtal_Templ!A:B,2,FALSE)</f>
        <v>agtr1_human</v>
      </c>
      <c r="C284" s="5">
        <f>VLOOKUP($B284&amp;"__wt",'SegEnds_Xtal_BW#'!$A:$Z,3,FALSE)</f>
        <v>28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66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58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34</v>
      </c>
      <c r="T284" s="1">
        <f t="array" ref="T284">INDEX(ICL3_classA!$G$2:$G$37,MATCH(MIN(ABS(AI284-ICL3_classA!$F$2:$F$37)),ABS(AI284-ICL3_classA!$F$2:$F$37),0))</f>
        <v>74</v>
      </c>
      <c r="U284" s="1">
        <f t="array" ref="U284">INDEX(ICL3_classA!$H$2:$H$37,MATCH(MIN(ABS(AI284-ICL3_classA!$F$2:$F$37)),ABS(AI284-ICL3_classA!$F$2:$F$37),0))</f>
        <v>21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61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29</v>
      </c>
      <c r="AC284" s="1">
        <f>VLOOKUP(A284,'SegEnds_NonXtal_Prot#'!A:AL,10,FALSE)-VLOOKUP(A284,'SegEnds_NonXtal_Prot#'!A:AL,7,FALSE)</f>
        <v>16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 t="e">
        <f>VLOOKUP(A284,'SegEnds_NonXtal_Prot#'!A:AL,22,FALSE)-VLOOKUP(A284,'SegEnds_NonXtal_Prot#'!A:AL,19,FALSE)</f>
        <v>#VALUE!</v>
      </c>
      <c r="AG284" s="1">
        <f>VLOOKUP(A284,'SegEnds_NonXtal_Prot#'!A:AL,28,FALSE)-VLOOKUP(A284,'SegEnds_NonXtal_Prot#'!A:AL,25,FALSE)</f>
        <v>32</v>
      </c>
      <c r="AH284" s="1">
        <f>VLOOKUP(A284,'SegEnds_NonXtal_Prot#'!A:AL,28,FALSE)-VLOOKUP(A284,'SegEnds_NonXtal_Prot#'!A:AL,22,FALSE)</f>
        <v>57</v>
      </c>
      <c r="AI284" s="1">
        <f>VLOOKUP(A284,'SegEnds_NonXtal_Prot#'!A:AL,31,FALSE)-VLOOKUP(A284,'SegEnds_NonXtal_Prot#'!A:AL,28,FALSE)</f>
        <v>62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374</v>
      </c>
      <c r="B285" s="1" t="str">
        <f>VLOOKUP(A285,Xtal_Templ!A:B,2,FALSE)</f>
        <v>oprk_human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30</v>
      </c>
      <c r="T285" s="1">
        <f t="array" ref="T285">INDEX(ICL3_classA!$G$2:$G$37,MATCH(MIN(ABS(AI285-ICL3_classA!$F$2:$F$37)),ABS(AI285-ICL3_classA!$F$2:$F$37),0))</f>
        <v>67</v>
      </c>
      <c r="U285" s="1">
        <f t="array" ref="U285">INDEX(ICL3_classA!$H$2:$H$37,MATCH(MIN(ABS(AI285-ICL3_classA!$F$2:$F$37)),ABS(AI285-ICL3_classA!$F$2:$F$37),0))</f>
        <v>28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30</v>
      </c>
      <c r="AC285" s="1">
        <f>VLOOKUP(A285,'SegEnds_NonXtal_Prot#'!A:AL,10,FALSE)-VLOOKUP(A285,'SegEnds_NonXtal_Prot#'!A:AL,7,FALSE)</f>
        <v>16</v>
      </c>
      <c r="AD285" s="1">
        <f>VLOOKUP(A285,'SegEnds_NonXtal_Prot#'!A:AL,13,FALSE)-VLOOKUP(A285,'SegEnds_NonXtal_Prot#'!A:AL,10,FALSE)</f>
        <v>20</v>
      </c>
      <c r="AE285" s="1">
        <f>VLOOKUP(A285,'SegEnds_NonXtal_Prot#'!A:AL,16,FALSE)-VLOOKUP(A285,'SegEnds_NonXtal_Prot#'!A:AL,10,FALSE)</f>
        <v>52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25</v>
      </c>
      <c r="AH285" s="1">
        <f>VLOOKUP(A285,'SegEnds_NonXtal_Prot#'!A:AL,28,FALSE)-VLOOKUP(A285,'SegEnds_NonXtal_Prot#'!A:AL,22,FALSE)</f>
        <v>50</v>
      </c>
      <c r="AI285" s="1">
        <f>VLOOKUP(A285,'SegEnds_NonXtal_Prot#'!A:AL,31,FALSE)-VLOOKUP(A285,'SegEnds_NonXtal_Prot#'!A:AL,28,FALSE)</f>
        <v>45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386</v>
      </c>
      <c r="B286" s="1" t="str">
        <f>VLOOKUP(A286,Xtal_Templ!A:B,2,FALSE)</f>
        <v>sucr1_rat</v>
      </c>
      <c r="C286" s="5">
        <f>VLOOKUP($B286&amp;"__wt",'SegEnds_Xtal_BW#'!$A:$Z,3,FALSE)</f>
        <v>20</v>
      </c>
      <c r="D286" s="1">
        <f>VLOOKUP($B286&amp;"__wt",'SegEnds_Xtal_BW#'!$A:$Z,4,FALSE)</f>
        <v>61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66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21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67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31</v>
      </c>
      <c r="T286" s="1">
        <f t="array" ref="T286">INDEX(ICL3_classA!$G$2:$G$37,MATCH(MIN(ABS(AI286-ICL3_classA!$F$2:$F$37)),ABS(AI286-ICL3_classA!$F$2:$F$37),0))</f>
        <v>68</v>
      </c>
      <c r="U286" s="1">
        <f t="array" ref="U286">INDEX(ICL3_classA!$H$2:$H$37,MATCH(MIN(ABS(AI286-ICL3_classA!$F$2:$F$37)),ABS(AI286-ICL3_classA!$F$2:$F$37),0))</f>
        <v>24</v>
      </c>
      <c r="V286" s="1">
        <v>64</v>
      </c>
      <c r="W286" s="1">
        <v>24</v>
      </c>
      <c r="X286" s="124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65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28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19</v>
      </c>
      <c r="AE286" s="1">
        <f>VLOOKUP(A286,'SegEnds_NonXtal_Prot#'!A:AL,16,FALSE)-VLOOKUP(A286,'SegEnds_NonXtal_Prot#'!A:AL,10,FALSE)</f>
        <v>51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27</v>
      </c>
      <c r="AH286" s="1">
        <f>VLOOKUP(A286,'SegEnds_NonXtal_Prot#'!A:AL,28,FALSE)-VLOOKUP(A286,'SegEnds_NonXtal_Prot#'!A:AL,22,FALSE)</f>
        <v>52</v>
      </c>
      <c r="AI286" s="1">
        <f>VLOOKUP(A286,'SegEnds_NonXtal_Prot#'!A:AL,31,FALSE)-VLOOKUP(A286,'SegEnds_NonXtal_Prot#'!A:AL,28,FALSE)</f>
        <v>48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NoXtal</v>
      </c>
    </row>
    <row r="287" spans="1:38" x14ac:dyDescent="0.2">
      <c r="A287" s="1" t="s">
        <v>473</v>
      </c>
      <c r="B287" s="1" t="str">
        <f>VLOOKUP(A287,Xtal_Templ!A:B,2,FALSE)</f>
        <v>ta2r_human</v>
      </c>
      <c r="C287" s="5">
        <f>VLOOKUP($B287&amp;"__wt",'SegEnds_Xtal_BW#'!$A:$Z,3,FALSE)</f>
        <v>35</v>
      </c>
      <c r="D287" s="1">
        <f>VLOOKUP($B287&amp;"__wt",'SegEnds_Xtal_BW#'!$A:$Z,4,FALSE)</f>
        <v>62</v>
      </c>
      <c r="E287" s="1" t="str">
        <f>VLOOKUP($B287&amp;"__wt",'SegEnds_Xtal_BW#'!$A:$Z,5,FALSE)</f>
        <v>-</v>
      </c>
      <c r="F287" s="1" t="str">
        <f>VLOOKUP($B287&amp;"__wt",'SegEnds_Xtal_BW#'!$A:$Z,6,FALSE)</f>
        <v>-</v>
      </c>
      <c r="G287" s="1">
        <v>37</v>
      </c>
      <c r="H287" s="12">
        <v>67</v>
      </c>
      <c r="I287" s="1">
        <f>VLOOKUP($B287&amp;"__wt",'SegEnds_Xtal_BW#'!$A:$Z,9,FALSE)</f>
        <v>49</v>
      </c>
      <c r="J287" s="1">
        <f>VLOOKUP($B287&amp;"__wt",'SegEnds_Xtal_BW#'!$A:$Z,10,FALSE)</f>
        <v>53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57</v>
      </c>
      <c r="O287" s="87">
        <f>VLOOKUP($B287&amp;"__wt",'SegEnds_Xtal_BW#'!$A:$Z,15,FALSE)</f>
        <v>38</v>
      </c>
      <c r="P287" s="1">
        <f>VLOOKUP($B287&amp;"__wt",'SegEnds_Xtal_BW#'!$A:$Z,16,FALSE)</f>
        <v>63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72</v>
      </c>
      <c r="U287" s="1">
        <f t="array" ref="U287">INDEX(ICL3_classA!$H$2:$H$37,MATCH(MIN(ABS(AI287-ICL3_classA!$F$2:$F$37)),ABS(AI287-ICL3_classA!$F$2:$F$37),0))</f>
        <v>24</v>
      </c>
      <c r="V287" s="108">
        <v>61</v>
      </c>
      <c r="W287" s="108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66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32</v>
      </c>
      <c r="AC287" s="1" t="e">
        <f>VLOOKUP(A287,'SegEnds_NonXtal_Prot#'!A:AL,10,FALSE)-VLOOKUP(A287,'SegEnds_NonXtal_Prot#'!A:AL,7,FALSE)</f>
        <v>#VALUE!</v>
      </c>
      <c r="AD287" s="1">
        <f>VLOOKUP(A287,'SegEnds_NonXtal_Prot#'!A:AL,13,FALSE)-VLOOKUP(A287,'SegEnds_NonXtal_Prot#'!A:AL,10,FALSE)</f>
        <v>21</v>
      </c>
      <c r="AE287" s="1">
        <f>VLOOKUP(A287,'SegEnds_NonXtal_Prot#'!A:AL,16,FALSE)-VLOOKUP(A287,'SegEnds_NonXtal_Prot#'!A:AL,10,FALSE)</f>
        <v>56</v>
      </c>
      <c r="AF287" s="1">
        <f>VLOOKUP(A287,'SegEnds_NonXtal_Prot#'!A:AL,22,FALSE)-VLOOKUP(A287,'SegEnds_NonXtal_Prot#'!A:AL,19,FALSE)</f>
        <v>20</v>
      </c>
      <c r="AG287" s="1">
        <f>VLOOKUP(A287,'SegEnds_NonXtal_Prot#'!A:AL,28,FALSE)-VLOOKUP(A287,'SegEnds_NonXtal_Prot#'!A:AL,25,FALSE)</f>
        <v>24</v>
      </c>
      <c r="AH287" s="1">
        <f>VLOOKUP(A287,'SegEnds_NonXtal_Prot#'!A:AL,28,FALSE)-VLOOKUP(A287,'SegEnds_NonXtal_Prot#'!A:AL,22,FALSE)</f>
        <v>50</v>
      </c>
      <c r="AI287" s="1">
        <f>VLOOKUP(A287,'SegEnds_NonXtal_Prot#'!A:AL,31,FALSE)-VLOOKUP(A287,'SegEnds_NonXtal_Prot#'!A:AL,28,FALSE)</f>
        <v>53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923</v>
      </c>
      <c r="B288" s="1" t="str">
        <f>VLOOKUP(A288,Xtal_Templ!A:B,2,FALSE)</f>
        <v>us28_hcmva</v>
      </c>
      <c r="C288" s="5">
        <f>VLOOKUP($B288&amp;"__wt",'SegEnds_Xtal_BW#'!$A:$Z,3,FALSE)</f>
        <v>24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v>66</v>
      </c>
      <c r="I288" s="1" t="str">
        <f>VLOOKUP($B288&amp;"__wt",'SegEnds_Xtal_BW#'!$A:$Z,9,FALSE)</f>
        <v>-</v>
      </c>
      <c r="J288" s="1" t="str">
        <f>VLOOKUP($B288&amp;"__wt",'SegEnds_Xtal_BW#'!$A:$Z,10,FALSE)</f>
        <v>-</v>
      </c>
      <c r="K288" s="108">
        <v>21</v>
      </c>
      <c r="L288" s="1">
        <f>VLOOKUP($B288&amp;"__wt",'SegEnds_Xtal_BW#'!$A:$Z,12,FALSE)</f>
        <v>55</v>
      </c>
      <c r="M288" s="1" t="str">
        <f>VLOOKUP($B288&amp;"__wt",'SegEnds_Xtal_BW#'!$A:$Z,13,FALSE)</f>
        <v>-</v>
      </c>
      <c r="N288" s="12" t="str">
        <f>VLOOKUP($B288&amp;"__wt",'SegEnds_Xtal_BW#'!$A:$Z,14,FALSE)</f>
        <v>-</v>
      </c>
      <c r="O288" s="87">
        <f>VLOOKUP($B288&amp;"__wt",'SegEnds_Xtal_BW#'!$A:$Z,15,FALSE)</f>
        <v>38</v>
      </c>
      <c r="P288" s="1">
        <f>VLOOKUP($B288&amp;"__wt",'SegEnds_Xtal_BW#'!$A:$Z,16,FALSE)</f>
        <v>62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33</v>
      </c>
      <c r="T288" s="1">
        <f t="array" ref="T288">INDEX(ICL3_classA!$G$2:$G$37,MATCH(MIN(ABS(AI288-ICL3_classA!$F$2:$F$37)),ABS(AI288-ICL3_classA!$F$2:$F$37),0))</f>
        <v>68</v>
      </c>
      <c r="U288" s="1">
        <v>29</v>
      </c>
      <c r="V288" s="1">
        <v>64</v>
      </c>
      <c r="W288" s="1">
        <v>24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62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28</v>
      </c>
      <c r="AC288" s="1">
        <f>VLOOKUP(A288,'SegEnds_NonXtal_Prot#'!A:AL,10,FALSE)-VLOOKUP(A288,'SegEnds_NonXtal_Prot#'!A:AL,7,FALSE)</f>
        <v>15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50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27</v>
      </c>
      <c r="AH288" s="1">
        <f>VLOOKUP(A288,'SegEnds_NonXtal_Prot#'!A:AL,28,FALSE)-VLOOKUP(A288,'SegEnds_NonXtal_Prot#'!A:AL,22,FALSE)</f>
        <v>48</v>
      </c>
      <c r="AI288" s="1">
        <f>VLOOKUP(A288,'SegEnds_NonXtal_Prot#'!A:AL,31,FALSE)-VLOOKUP(A288,'SegEnds_NonXtal_Prot#'!A:AL,28,FALSE)</f>
        <v>43</v>
      </c>
      <c r="AJ288" s="1">
        <f>VLOOKUP(A288,'SegEnds_NonXtal_Prot#'!A:AL,34,FALSE)-VLOOKUP(A288,'SegEnds_NonXtal_Prot#'!A:AL,31,FALSE)</f>
        <v>45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Xtal</v>
      </c>
    </row>
    <row r="289" spans="1:38" x14ac:dyDescent="0.2">
      <c r="A289" s="1" t="s">
        <v>142</v>
      </c>
      <c r="B289" s="1" t="str">
        <f>VLOOKUP(A289,Xtal_Templ!A:B,2,FALSE)</f>
        <v>c5ar1_human</v>
      </c>
      <c r="C289" s="5">
        <f>VLOOKUP($B289&amp;"__wt",'SegEnds_Xtal_BW#'!$A:$Z,3,FALSE)</f>
        <v>29</v>
      </c>
      <c r="D289" s="1">
        <f>VLOOKUP($B289&amp;"__wt",'SegEnds_Xtal_BW#'!$A:$Z,4,FALSE)</f>
        <v>60</v>
      </c>
      <c r="E289" s="1" t="str">
        <f>VLOOKUP($B289&amp;"__wt",'SegEnds_Xtal_BW#'!$A:$Z,5,FALSE)</f>
        <v>-</v>
      </c>
      <c r="F289" s="1" t="str">
        <f>VLOOKUP($B289&amp;"__wt",'SegEnds_Xtal_BW#'!$A:$Z,6,FALSE)</f>
        <v>-</v>
      </c>
      <c r="G289" s="1">
        <v>37</v>
      </c>
      <c r="H289" s="12"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24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57</v>
      </c>
      <c r="O289" s="87"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31</v>
      </c>
      <c r="T289" s="1">
        <f t="array" ref="T289">INDEX(ICL3_classA!$G$2:$G$37,MATCH(MIN(ABS(AI289-ICL3_classA!$F$2:$F$37)),ABS(AI289-ICL3_classA!$F$2:$F$37),0))</f>
        <v>64</v>
      </c>
      <c r="U289" s="1">
        <f t="array" ref="U289">INDEX(ICL3_classA!$H$2:$H$37,MATCH(MIN(ABS(AI289-ICL3_classA!$F$2:$F$37)),ABS(AI289-ICL3_classA!$F$2:$F$37),0))</f>
        <v>34</v>
      </c>
      <c r="V289" s="1">
        <v>64</v>
      </c>
      <c r="W289" s="1">
        <v>24</v>
      </c>
      <c r="X289" s="108">
        <v>56</v>
      </c>
      <c r="Y289" s="1">
        <f>VLOOKUP($B289&amp;"__wt",'SegEnds_Xtal_BW#'!$A:$Z,25,FALSE)</f>
        <v>47</v>
      </c>
      <c r="Z289" s="1">
        <f>VLOOKUP($B289&amp;"__wt",'SegEnds_Xtal_BW#'!$A:$Z,26,FALSE)</f>
        <v>56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30</v>
      </c>
      <c r="AC289" s="1" t="e">
        <f>VLOOKUP(A289,'SegEnds_NonXtal_Prot#'!A:AL,10,FALSE)-VLOOKUP(A289,'SegEnds_NonXtal_Prot#'!A:AL,7,FALSE)</f>
        <v>#VALUE!</v>
      </c>
      <c r="AD289" s="1" t="e">
        <f>VLOOKUP(A289,'SegEnds_NonXtal_Prot#'!A:AL,13,FALSE)-VLOOKUP(A289,'SegEnds_NonXtal_Prot#'!A:AL,10,FALSE)</f>
        <v>#VALUE!</v>
      </c>
      <c r="AE289" s="1">
        <f>VLOOKUP(A289,'SegEnds_NonXtal_Prot#'!A:AL,16,FALSE)-VLOOKUP(A289,'SegEnds_NonXtal_Prot#'!A:AL,10,FALSE)</f>
        <v>48</v>
      </c>
      <c r="AF289" s="1" t="e">
        <f>VLOOKUP(A289,'SegEnds_NonXtal_Prot#'!A:AL,22,FALSE)-VLOOKUP(A289,'SegEnds_NonXtal_Prot#'!A:AL,19,FALSE)</f>
        <v>#VALUE!</v>
      </c>
      <c r="AG289" s="1">
        <f>VLOOKUP(A289,'SegEnds_NonXtal_Prot#'!A:AL,28,FALSE)-VLOOKUP(A289,'SegEnds_NonXtal_Prot#'!A:AL,25,FALSE)</f>
        <v>23</v>
      </c>
      <c r="AH289" s="1">
        <f>VLOOKUP(A289,'SegEnds_NonXtal_Prot#'!A:AL,28,FALSE)-VLOOKUP(A289,'SegEnds_NonXtal_Prot#'!A:AL,22,FALSE)</f>
        <v>44</v>
      </c>
      <c r="AI289" s="1">
        <f>VLOOKUP(A289,'SegEnds_NonXtal_Prot#'!A:AL,31,FALSE)-VLOOKUP(A289,'SegEnds_NonXtal_Prot#'!A:AL,28,FALSE)</f>
        <v>37</v>
      </c>
      <c r="AJ289" s="1">
        <f>VLOOKUP(A289,'SegEnds_NonXtal_Prot#'!A:AL,34,FALSE)-VLOOKUP(A289,'SegEnds_NonXtal_Prot#'!A:AL,31,FALSE)</f>
        <v>46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234</v>
      </c>
      <c r="B290" s="1" t="str">
        <f>VLOOKUP(A290,Xtal_Templ!A:B,2,FALSE)</f>
        <v>ccr5_human</v>
      </c>
      <c r="C290" s="5">
        <f>VLOOKUP($B290&amp;"__wt",'SegEnds_Xtal_BW#'!$A:$Z,3,FALSE)</f>
        <v>24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f>VLOOKUP($B290&amp;"__wt",'SegEnds_Xtal_BW#'!$A:$Z,15,FALSE)</f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30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23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20</v>
      </c>
      <c r="AE290" s="1">
        <f>VLOOKUP(A290,'SegEnds_NonXtal_Prot#'!A:AL,16,FALSE)-VLOOKUP(A290,'SegEnds_NonXtal_Prot#'!A:AL,10,FALSE)</f>
        <v>52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27</v>
      </c>
      <c r="AH290" s="1">
        <f>VLOOKUP(A290,'SegEnds_NonXtal_Prot#'!A:AL,28,FALSE)-VLOOKUP(A290,'SegEnds_NonXtal_Prot#'!A:AL,22,FALSE)</f>
        <v>52</v>
      </c>
      <c r="AI290" s="1">
        <f>VLOOKUP(A290,'SegEnds_NonXtal_Prot#'!A:AL,31,FALSE)-VLOOKUP(A290,'SegEnds_NonXtal_Prot#'!A:AL,28,FALSE)</f>
        <v>51</v>
      </c>
      <c r="AJ290" s="1">
        <f>VLOOKUP(A290,'SegEnds_NonXtal_Prot#'!A:AL,34,FALSE)-VLOOKUP(A290,'SegEnds_NonXtal_Prot#'!A:AL,31,FALSE)</f>
        <v>46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292</v>
      </c>
      <c r="B291" s="1" t="str">
        <f>VLOOKUP(A291,Xtal_Templ!A:B,2,FALSE)</f>
        <v>ccr7_human</v>
      </c>
      <c r="C291" s="5">
        <f>VLOOKUP($B291&amp;"__wt",'SegEnds_Xtal_BW#'!$A:$Z,3,FALSE)</f>
        <v>29</v>
      </c>
      <c r="D291" s="1">
        <f>VLOOKUP($B291&amp;"__wt",'SegEnds_Xtal_BW#'!$A:$Z,4,FALSE)</f>
        <v>60</v>
      </c>
      <c r="E291" s="1">
        <f>VLOOKUP($B291&amp;"__wt",'SegEnds_Xtal_BW#'!$A:$Z,5,FALSE)</f>
        <v>48</v>
      </c>
      <c r="F291" s="1">
        <f>VLOOKUP($B291&amp;"__wt",'SegEnds_Xtal_BW#'!$A:$Z,6,FALSE)</f>
        <v>51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08">
        <v>29</v>
      </c>
      <c r="T291" s="1">
        <f t="array" ref="T291">INDEX(ICL3_classA!$G$2:$G$37,MATCH(MIN(ABS(AI291-ICL3_classA!$F$2:$F$37)),ABS(AI291-ICL3_classA!$F$2:$F$37),0))</f>
        <v>68</v>
      </c>
      <c r="U291" s="1">
        <f t="array" ref="U291">INDEX(ICL3_classA!$H$2:$H$37,MATCH(MIN(ABS(AI291-ICL3_classA!$F$2:$F$37)),ABS(AI291-ICL3_classA!$F$2:$F$37),0))</f>
        <v>30</v>
      </c>
      <c r="V291" s="1">
        <v>64</v>
      </c>
      <c r="W291" s="1">
        <v>24</v>
      </c>
      <c r="X291" s="1">
        <f>VLOOKUP($B291&amp;"__wt",'SegEnds_Xtal_BW#'!$A:$Z,24,FALSE)</f>
        <v>56</v>
      </c>
      <c r="Y291" s="1">
        <f>VLOOKUP($B291&amp;"__wt",'SegEnds_Xtal_BW#'!$A:$Z,25,FALSE)</f>
        <v>47</v>
      </c>
      <c r="Z291" s="1">
        <f>VLOOKUP($B291&amp;"__wt",'SegEnds_Xtal_BW#'!$A:$Z,26,FALSE)</f>
        <v>59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28</v>
      </c>
      <c r="AC291" s="1">
        <f>VLOOKUP(A291,'SegEnds_NonXtal_Prot#'!A:AL,10,FALSE)-VLOOKUP(A291,'SegEnds_NonXtal_Prot#'!A:AL,7,FALSE)</f>
        <v>15</v>
      </c>
      <c r="AD291" s="1">
        <f>VLOOKUP(A291,'SegEnds_NonXtal_Prot#'!A:AL,13,FALSE)-VLOOKUP(A291,'SegEnds_NonXtal_Prot#'!A:AL,10,FALSE)</f>
        <v>19</v>
      </c>
      <c r="AE291" s="1">
        <f>VLOOKUP(A291,'SegEnds_NonXtal_Prot#'!A:AL,16,FALSE)-VLOOKUP(A291,'SegEnds_NonXtal_Prot#'!A:AL,10,FALSE)</f>
        <v>51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25</v>
      </c>
      <c r="AH291" s="1">
        <f>VLOOKUP(A291,'SegEnds_NonXtal_Prot#'!A:AL,28,FALSE)-VLOOKUP(A291,'SegEnds_NonXtal_Prot#'!A:AL,22,FALSE)</f>
        <v>51</v>
      </c>
      <c r="AI291" s="1">
        <f>VLOOKUP(A291,'SegEnds_NonXtal_Prot#'!A:AL,31,FALSE)-VLOOKUP(A291,'SegEnds_NonXtal_Prot#'!A:AL,28,FALSE)</f>
        <v>43</v>
      </c>
      <c r="AJ291" s="1">
        <f>VLOOKUP(A291,'SegEnds_NonXtal_Prot#'!A:AL,34,FALSE)-VLOOKUP(A291,'SegEnds_NonXtal_Prot#'!A:AL,31,FALSE)</f>
        <v>46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293</v>
      </c>
      <c r="B292" s="1" t="str">
        <f>VLOOKUP(A292,Xtal_Templ!A:B,2,FALSE)</f>
        <v>pd2r2_human</v>
      </c>
      <c r="C292" s="5">
        <f>VLOOKUP($B292&amp;"__wt",'SegEnds_Xtal_BW#'!$A:$Z,3,FALSE)</f>
        <v>32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21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v>35</v>
      </c>
      <c r="T292" s="1">
        <f t="array" ref="T292">INDEX(ICL3_classA!$G$2:$G$37,MATCH(MIN(ABS(AI292-ICL3_classA!$F$2:$F$37)),ABS(AI292-ICL3_classA!$F$2:$F$37),0))</f>
        <v>67</v>
      </c>
      <c r="U292" s="1">
        <f t="array" ref="U292">INDEX(ICL3_classA!$H$2:$H$37,MATCH(MIN(ABS(AI292-ICL3_classA!$F$2:$F$37)),ABS(AI292-ICL3_classA!$F$2:$F$37),0))</f>
        <v>26</v>
      </c>
      <c r="V292" s="1">
        <v>64</v>
      </c>
      <c r="W292" s="1">
        <v>24</v>
      </c>
      <c r="X292" s="108">
        <v>56</v>
      </c>
      <c r="Y292" s="1">
        <f>VLOOKUP($B292&amp;"__wt",'SegEnds_Xtal_BW#'!$A:$Z,25,FALSE)</f>
        <v>47</v>
      </c>
      <c r="Z292" s="1">
        <f>VLOOKUP($B292&amp;"__wt",'SegEnds_Xtal_BW#'!$A:$Z,26,FALSE)</f>
        <v>64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30</v>
      </c>
      <c r="AC292" s="1">
        <f>VLOOKUP(A292,'SegEnds_NonXtal_Prot#'!A:AL,10,FALSE)-VLOOKUP(A292,'SegEnds_NonXtal_Prot#'!A:AL,7,FALSE)</f>
        <v>17</v>
      </c>
      <c r="AD292" s="1">
        <f>VLOOKUP(A292,'SegEnds_NonXtal_Prot#'!A:AL,13,FALSE)-VLOOKUP(A292,'SegEnds_NonXtal_Prot#'!A:AL,10,FALSE)</f>
        <v>19</v>
      </c>
      <c r="AE292" s="1">
        <f>VLOOKUP(A292,'SegEnds_NonXtal_Prot#'!A:AL,16,FALSE)-VLOOKUP(A292,'SegEnds_NonXtal_Prot#'!A:AL,10,FALSE)</f>
        <v>51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22</v>
      </c>
      <c r="AH292" s="1">
        <f>VLOOKUP(A292,'SegEnds_NonXtal_Prot#'!A:AL,28,FALSE)-VLOOKUP(A292,'SegEnds_NonXtal_Prot#'!A:AL,22,FALSE)</f>
        <v>47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345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v>68</v>
      </c>
      <c r="U293" s="1">
        <v>28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27</v>
      </c>
      <c r="AH293" s="1">
        <f>VLOOKUP(A293,'SegEnds_NonXtal_Prot#'!A:AL,28,FALSE)-VLOOKUP(A293,'SegEnds_NonXtal_Prot#'!A:AL,22,FALSE)</f>
        <v>53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363</v>
      </c>
      <c r="B294" s="1" t="str">
        <f>VLOOKUP(A294,Xtal_Templ!A:B,2,FALSE)</f>
        <v>pe2r3_human</v>
      </c>
      <c r="C294" s="5">
        <f>VLOOKUP($B294&amp;"__wt",'SegEnds_Xtal_BW#'!$A:$Z,3,FALSE)</f>
        <v>36</v>
      </c>
      <c r="D294" s="1">
        <f>VLOOKUP($B294&amp;"__wt",'SegEnds_Xtal_BW#'!$A:$Z,4,FALSE)</f>
        <v>62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68</v>
      </c>
      <c r="I294" s="1">
        <v>49</v>
      </c>
      <c r="J294" s="1">
        <f>VLOOKUP($B294&amp;"__wt",'SegEnds_Xtal_BW#'!$A:$Z,10,FALSE)</f>
        <v>56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INDEX(ICL3_classA!$G$2:$G$37,MATCH(MIN(ABS(AI294-ICL3_classA!$F$2:$F$37)),ABS(AI294-ICL3_classA!$F$2:$F$37),0))</f>
        <v>73</v>
      </c>
      <c r="U294" s="1">
        <f t="array" ref="U294">INDEX(ICL3_classA!$H$2:$H$37,MATCH(MIN(ABS(AI294-ICL3_classA!$F$2:$F$37)),ABS(AI294-ICL3_classA!$F$2:$F$37),0))</f>
        <v>22</v>
      </c>
      <c r="V294" s="1">
        <v>64</v>
      </c>
      <c r="W294" s="1">
        <v>24</v>
      </c>
      <c r="X294" s="1">
        <f>VLOOKUP($B294&amp;"__wt",'SegEnds_Xtal_BW#'!$A:$Z,24,FALSE)</f>
        <v>53</v>
      </c>
      <c r="Y294" s="1">
        <f>VLOOKUP($B294&amp;"__wt",'SegEnds_Xtal_BW#'!$A:$Z,25,FALSE)</f>
        <v>44</v>
      </c>
      <c r="Z294" s="1">
        <f>VLOOKUP($B294&amp;"__wt",'SegEnds_Xtal_BW#'!$A:$Z,26,FALSE)</f>
        <v>66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33</v>
      </c>
      <c r="AC294" s="1" t="e">
        <f>VLOOKUP(A294,'SegEnds_NonXtal_Prot#'!A:AL,10,FALSE)-VLOOKUP(A294,'SegEnds_NonXtal_Prot#'!A:AL,7,FALSE)</f>
        <v>#VALUE!</v>
      </c>
      <c r="AD294" s="1">
        <f>VLOOKUP(A294,'SegEnds_NonXtal_Prot#'!A:AL,13,FALSE)-VLOOKUP(A294,'SegEnds_NonXtal_Prot#'!A:AL,10,FALSE)</f>
        <v>21</v>
      </c>
      <c r="AE294" s="1">
        <f>VLOOKUP(A294,'SegEnds_NonXtal_Prot#'!A:AL,16,FALSE)-VLOOKUP(A294,'SegEnds_NonXtal_Prot#'!A:AL,10,FALSE)</f>
        <v>56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33</v>
      </c>
      <c r="AH294" s="1">
        <f>VLOOKUP(A294,'SegEnds_NonXtal_Prot#'!A:AL,28,FALSE)-VLOOKUP(A294,'SegEnds_NonXtal_Prot#'!A:AL,22,FALSE)</f>
        <v>59</v>
      </c>
      <c r="AI294" s="1">
        <f>VLOOKUP(A294,'SegEnds_NonXtal_Prot#'!A:AL,31,FALSE)-VLOOKUP(A294,'SegEnds_NonXtal_Prot#'!A:AL,28,FALSE)</f>
        <v>56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Xtal</v>
      </c>
    </row>
    <row r="295" spans="1:38" x14ac:dyDescent="0.2">
      <c r="A295" s="1" t="s">
        <v>370</v>
      </c>
      <c r="B295" s="1" t="str">
        <f>VLOOKUP(A295,Xtal_Templ!A:B,2,FALSE)</f>
        <v>p2ry1_human</v>
      </c>
      <c r="C295" s="5">
        <f>VLOOKUP($B295&amp;"__wt",'SegEnds_Xtal_BW#'!$A:$Z,3,FALSE)</f>
        <v>30</v>
      </c>
      <c r="D295" s="1">
        <f>VLOOKUP($B295&amp;"__wt",'SegEnds_Xtal_BW#'!$A:$Z,4,FALSE)</f>
        <v>60</v>
      </c>
      <c r="E295" s="1" t="str">
        <f>VLOOKUP($B295&amp;"__wt",'SegEnds_Xtal_BW#'!$A:$Z,5,FALSE)</f>
        <v>-</v>
      </c>
      <c r="F295" s="1" t="str">
        <f>VLOOKUP($B295&amp;"__wt",'SegEnds_Xtal_BW#'!$A:$Z,6,FALSE)</f>
        <v>-</v>
      </c>
      <c r="G295" s="1">
        <v>37</v>
      </c>
      <c r="H295" s="12">
        <f>VLOOKUP($B295&amp;"__wt",'SegEnds_Xtal_BW#'!$A:$Z,8,FALSE)</f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18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INDEX(ICL3_classA!$G$2:$G$37,MATCH(MIN(ABS(AI295-ICL3_classA!$F$2:$F$37)),ABS(AI295-ICL3_classA!$F$2:$F$37),0))</f>
        <v>67</v>
      </c>
      <c r="U295" s="1">
        <f t="array" ref="U295">INDEX(ICL3_classA!$H$2:$H$37,MATCH(MIN(ABS(AI295-ICL3_classA!$F$2:$F$37)),ABS(AI295-ICL3_classA!$F$2:$F$37),0))</f>
        <v>26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 t="e">
        <f>VLOOKUP(A295,'SegEnds_NonXtal_Prot#'!A:AL,10,FALSE)-VLOOKUP(A295,'SegEnds_NonXtal_Prot#'!A:AL,7,FALSE)</f>
        <v>#VALUE!</v>
      </c>
      <c r="AD295" s="1">
        <f>VLOOKUP(A295,'SegEnds_NonXtal_Prot#'!A:AL,13,FALSE)-VLOOKUP(A295,'SegEnds_NonXtal_Prot#'!A:AL,10,FALSE)</f>
        <v>20</v>
      </c>
      <c r="AE295" s="1">
        <f>VLOOKUP(A295,'SegEnds_NonXtal_Prot#'!A:AL,16,FALSE)-VLOOKUP(A295,'SegEnds_NonXtal_Prot#'!A:AL,10,FALSE)</f>
        <v>52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25</v>
      </c>
      <c r="AH295" s="1">
        <f>VLOOKUP(A295,'SegEnds_NonXtal_Prot#'!A:AL,28,FALSE)-VLOOKUP(A295,'SegEnds_NonXtal_Prot#'!A:AL,22,FALSE)</f>
        <v>56</v>
      </c>
      <c r="AI295" s="1">
        <f>VLOOKUP(A295,'SegEnds_NonXtal_Prot#'!A:AL,31,FALSE)-VLOOKUP(A295,'SegEnds_NonXtal_Prot#'!A:AL,28,FALSE)</f>
        <v>46</v>
      </c>
      <c r="AJ295" s="1">
        <f>VLOOKUP(A295,'SegEnds_NonXtal_Prot#'!A:AL,34,FALSE)-VLOOKUP(A295,'SegEnds_NonXtal_Prot#'!A:AL,31,FALSE)</f>
        <v>46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236</v>
      </c>
      <c r="B296" s="1" t="str">
        <f>VLOOKUP(A296,Xtal_Templ!A:B,2,FALSE)</f>
        <v>cltr2_human</v>
      </c>
      <c r="C296" s="5">
        <f>VLOOKUP($B296&amp;"__wt",'SegEnds_Xtal_BW#'!$A:$Z,3,FALSE)</f>
        <v>25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24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v>57</v>
      </c>
      <c r="O296" s="87">
        <f>VLOOKUP($B296&amp;"__wt",'SegEnds_Xtal_BW#'!$A:$Z,15,FALSE)</f>
        <v>38</v>
      </c>
      <c r="P296" s="1">
        <f>VLOOKUP($B296&amp;"__wt",'SegEnds_Xtal_BW#'!$A:$Z,16,FALSE)</f>
        <v>63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v>34</v>
      </c>
      <c r="T296" s="1">
        <f t="array" ref="T296">INDEX(ICL3_classA!$G$2:$G$37,MATCH(MIN(ABS(AI296-ICL3_classA!$F$2:$F$37)),ABS(AI296-ICL3_classA!$F$2:$F$37),0))</f>
        <v>68</v>
      </c>
      <c r="U296" s="1">
        <f t="array" ref="U296">INDEX(ICL3_classA!$H$2:$H$37,MATCH(MIN(ABS(AI296-ICL3_classA!$F$2:$F$37)),ABS(AI296-ICL3_classA!$F$2:$F$37),0))</f>
        <v>24</v>
      </c>
      <c r="V296" s="1">
        <v>64</v>
      </c>
      <c r="W296" s="1">
        <v>24</v>
      </c>
      <c r="X296" s="124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60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>
        <f>VLOOKUP(A296,'SegEnds_NonXtal_Prot#'!A:AL,10,FALSE)-VLOOKUP(A296,'SegEnds_NonXtal_Prot#'!A:AL,7,FALSE)</f>
        <v>15</v>
      </c>
      <c r="AD296" s="1">
        <f>VLOOKUP(A296,'SegEnds_NonXtal_Prot#'!A:AL,13,FALSE)-VLOOKUP(A296,'SegEnds_NonXtal_Prot#'!A:AL,10,FALSE)</f>
        <v>19</v>
      </c>
      <c r="AE296" s="1">
        <f>VLOOKUP(A296,'SegEnds_NonXtal_Prot#'!A:AL,16,FALSE)-VLOOKUP(A296,'SegEnds_NonXtal_Prot#'!A:AL,10,FALSE)</f>
        <v>50</v>
      </c>
      <c r="AF296" s="1">
        <f>VLOOKUP(A296,'SegEnds_NonXtal_Prot#'!A:AL,22,FALSE)-VLOOKUP(A296,'SegEnds_NonXtal_Prot#'!A:AL,19,FALSE)</f>
        <v>20</v>
      </c>
      <c r="AG296" s="1">
        <f>VLOOKUP(A296,'SegEnds_NonXtal_Prot#'!A:AL,28,FALSE)-VLOOKUP(A296,'SegEnds_NonXtal_Prot#'!A:AL,25,FALSE)</f>
        <v>21</v>
      </c>
      <c r="AH296" s="1">
        <f>VLOOKUP(A296,'SegEnds_NonXtal_Prot#'!A:AL,28,FALSE)-VLOOKUP(A296,'SegEnds_NonXtal_Prot#'!A:AL,22,FALSE)</f>
        <v>44</v>
      </c>
      <c r="AI296" s="1">
        <f>VLOOKUP(A296,'SegEnds_NonXtal_Prot#'!A:AL,31,FALSE)-VLOOKUP(A296,'SegEnds_NonXtal_Prot#'!A:AL,28,FALSE)</f>
        <v>48</v>
      </c>
      <c r="AJ296" s="1">
        <f>VLOOKUP(A296,'SegEnds_NonXtal_Prot#'!A:AL,34,FALSE)-VLOOKUP(A296,'SegEnds_NonXtal_Prot#'!A:AL,31,FALSE)</f>
        <v>47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214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f>VLOOKUP($B297&amp;"__wt",'SegEnds_Xtal_BW#'!$A:$Z,14,FALSE)</f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67</v>
      </c>
      <c r="U297" s="1">
        <f t="array" ref="U297">INDEX(ICL3_classA!$H$2:$H$37,MATCH(MIN(ABS(AI297-ICL3_classA!$F$2:$F$37)),ABS(AI297-ICL3_classA!$F$2:$F$37),0))</f>
        <v>26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28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 t="e">
        <f>VLOOKUP(A297,'SegEnds_NonXtal_Prot#'!A:AL,22,FALSE)-VLOOKUP(A297,'SegEnds_NonXtal_Prot#'!A:AL,19,FALSE)</f>
        <v>#VALUE!</v>
      </c>
      <c r="AG297" s="1">
        <f>VLOOKUP(A297,'SegEnds_NonXtal_Prot#'!A:AL,28,FALSE)-VLOOKUP(A297,'SegEnds_NonXtal_Prot#'!A:AL,25,FALSE)</f>
        <v>25</v>
      </c>
      <c r="AH297" s="1">
        <f>VLOOKUP(A297,'SegEnds_NonXtal_Prot#'!A:AL,28,FALSE)-VLOOKUP(A297,'SegEnds_NonXtal_Prot#'!A:AL,22,FALSE)</f>
        <v>44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48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351</v>
      </c>
      <c r="B298" s="1" t="str">
        <f>VLOOKUP(A298,Xtal_Templ!A:B,2,FALSE)</f>
        <v>p2ry1_human</v>
      </c>
      <c r="C298" s="5">
        <f>VLOOKUP($B298&amp;"__wt",'SegEnds_Xtal_BW#'!$A:$Z,3,FALSE)</f>
        <v>30</v>
      </c>
      <c r="D298" s="1">
        <f>VLOOKUP($B298&amp;"__wt",'SegEnds_Xtal_BW#'!$A:$Z,4,FALSE)</f>
        <v>60</v>
      </c>
      <c r="E298" s="1" t="str">
        <f>VLOOKUP($B298&amp;"__wt",'SegEnds_Xtal_BW#'!$A:$Z,5,FALSE)</f>
        <v>-</v>
      </c>
      <c r="F298" s="1" t="str">
        <f>VLOOKUP($B298&amp;"__wt",'SegEnds_Xtal_BW#'!$A:$Z,6,FALSE)</f>
        <v>-</v>
      </c>
      <c r="G298" s="1">
        <v>37</v>
      </c>
      <c r="H298" s="12">
        <f>VLOOKUP($B298&amp;"__wt",'SegEnds_Xtal_BW#'!$A:$Z,8,FALSE)</f>
        <v>66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>
        <f>VLOOKUP($B298&amp;"__wt",'SegEnds_Xtal_BW#'!$A:$Z,13,FALSE)</f>
        <v>50</v>
      </c>
      <c r="N298" s="12">
        <v>57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32</v>
      </c>
      <c r="T298" s="1">
        <f t="array" ref="T298">INDEX(ICL3_classA!$G$2:$G$37,MATCH(MIN(ABS(AI298-ICL3_classA!$F$2:$F$37)),ABS(AI298-ICL3_classA!$F$2:$F$37),0))</f>
        <v>67</v>
      </c>
      <c r="U298" s="1">
        <f t="array" ref="U298">INDEX(ICL3_classA!$H$2:$H$37,MATCH(MIN(ABS(AI298-ICL3_classA!$F$2:$F$37)),ABS(AI298-ICL3_classA!$F$2:$F$37),0))</f>
        <v>26</v>
      </c>
      <c r="V298" s="1">
        <v>64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59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 t="e">
        <f>VLOOKUP(A298,'SegEnds_NonXtal_Prot#'!A:AL,10,FALSE)-VLOOKUP(A298,'SegEnds_NonXtal_Prot#'!A:AL,7,FALSE)</f>
        <v>#VALUE!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>
        <f>VLOOKUP(A298,'SegEnds_NonXtal_Prot#'!A:AL,22,FALSE)-VLOOKUP(A298,'SegEnds_NonXtal_Prot#'!A:AL,19,FALSE)</f>
        <v>20</v>
      </c>
      <c r="AG298" s="1">
        <f>VLOOKUP(A298,'SegEnds_NonXtal_Prot#'!A:AL,28,FALSE)-VLOOKUP(A298,'SegEnds_NonXtal_Prot#'!A:AL,25,FALSE)</f>
        <v>26</v>
      </c>
      <c r="AH298" s="1">
        <f>VLOOKUP(A298,'SegEnds_NonXtal_Prot#'!A:AL,28,FALSE)-VLOOKUP(A298,'SegEnds_NonXtal_Prot#'!A:AL,22,FALSE)</f>
        <v>63</v>
      </c>
      <c r="AI298" s="1">
        <f>VLOOKUP(A298,'SegEnds_NonXtal_Prot#'!A:AL,31,FALSE)-VLOOKUP(A298,'SegEnds_NonXtal_Prot#'!A:AL,28,FALSE)</f>
        <v>46</v>
      </c>
      <c r="AJ298" s="1">
        <f>VLOOKUP(A298,'SegEnds_NonXtal_Prot#'!A:AL,34,FALSE)-VLOOKUP(A298,'SegEnds_NonXtal_Prot#'!A:AL,31,FALSE)</f>
        <v>55</v>
      </c>
      <c r="AK298" s="1">
        <f>VLOOKUP(A298,'SegEnds_NonXtal_Prot#'!A:AL,37,FALSE)-VLOOKUP(A298,'SegEnds_NonXtal_Prot#'!A:AL,34,FALSE)</f>
        <v>10</v>
      </c>
      <c r="AL298" s="1" t="str">
        <f>IF(ISERROR(MATCH(A298,'SegEnds_Xtal_Prot#'!B:B, 0)), "NoXtal", "Xtal")</f>
        <v>NoXtal</v>
      </c>
    </row>
    <row r="299" spans="1:38" x14ac:dyDescent="0.2">
      <c r="A299" s="1" t="s">
        <v>329</v>
      </c>
      <c r="B299" s="1" t="str">
        <f>VLOOKUP(A299,Xtal_Templ!A:B,2,FALSE)</f>
        <v>npy1r_human</v>
      </c>
      <c r="C299" s="5">
        <f>VLOOKUP($B299&amp;"__wt",'SegEnds_Xtal_BW#'!$A:$Z,3,FALSE)</f>
        <v>28</v>
      </c>
      <c r="D299" s="1">
        <f>VLOOKUP($B299&amp;"__wt",'SegEnds_Xtal_BW#'!$A:$Z,4,FALSE)</f>
        <v>60</v>
      </c>
      <c r="E299" s="1">
        <f>VLOOKUP($B299&amp;"__wt",'SegEnds_Xtal_BW#'!$A:$Z,5,FALSE)</f>
        <v>48</v>
      </c>
      <c r="F299" s="1">
        <f>VLOOKUP($B299&amp;"__wt",'SegEnds_Xtal_BW#'!$A:$Z,6,FALSE)</f>
        <v>51</v>
      </c>
      <c r="G299" s="1">
        <v>37</v>
      </c>
      <c r="H299" s="12">
        <f>VLOOKUP($B299&amp;"__wt",'SegEnds_Xtal_BW#'!$A:$Z,8,FALSE)</f>
        <v>68</v>
      </c>
      <c r="I299" s="1">
        <f>VLOOKUP($B299&amp;"__wt",'SegEnds_Xtal_BW#'!$A:$Z,9,FALSE)</f>
        <v>49</v>
      </c>
      <c r="J299" s="1">
        <f>VLOOKUP($B299&amp;"__wt",'SegEnds_Xtal_BW#'!$A:$Z,10,FALSE)</f>
        <v>52</v>
      </c>
      <c r="K299" s="12">
        <v>18</v>
      </c>
      <c r="L299" s="1">
        <f>VLOOKUP($B299&amp;"__wt",'SegEnds_Xtal_BW#'!$A:$Z,12,FALSE)</f>
        <v>56</v>
      </c>
      <c r="M299" s="1" t="str">
        <f>VLOOKUP($B299&amp;"__wt",'SegEnds_Xtal_BW#'!$A:$Z,13,FALSE)</f>
        <v>-</v>
      </c>
      <c r="N299" s="12" t="str">
        <f>VLOOKUP($B299&amp;"__wt",'SegEnds_Xtal_BW#'!$A:$Z,14,FALSE)</f>
        <v>-</v>
      </c>
      <c r="O299" s="87">
        <f>VLOOKUP($B299&amp;"__wt",'SegEnds_Xtal_BW#'!$A:$Z,15,FALSE)</f>
        <v>38</v>
      </c>
      <c r="P299" s="1">
        <f>VLOOKUP($B299&amp;"__wt",'SegEnds_Xtal_BW#'!$A:$Z,16,FALSE)</f>
        <v>64</v>
      </c>
      <c r="Q299" s="1">
        <f>VLOOKUP($B299&amp;"__wt",'SegEnds_Xtal_BW#'!$A:$Z,17,FALSE)</f>
        <v>50</v>
      </c>
      <c r="R299" s="1">
        <f>VLOOKUP($B299&amp;"__wt",'SegEnds_Xtal_BW#'!$A:$Z,18,FALSE)</f>
        <v>52</v>
      </c>
      <c r="S299" s="1">
        <f>VLOOKUP($B299&amp;"__wt",'SegEnds_Xtal_BW#'!$A:$Z,19,FALSE)</f>
        <v>31</v>
      </c>
      <c r="T299" s="1">
        <f t="array" ref="T299">INDEX(ICL3_classA!$G$2:$G$37,MATCH(MIN(ABS(AI299-ICL3_classA!$F$2:$F$37)),ABS(AI299-ICL3_classA!$F$2:$F$37),0))</f>
        <v>73</v>
      </c>
      <c r="U299" s="1">
        <f t="array" ref="U299">INDEX(ICL3_classA!$H$2:$H$37,MATCH(MIN(ABS(AI299-ICL3_classA!$F$2:$F$37)),ABS(AI299-ICL3_classA!$F$2:$F$37),0))</f>
        <v>22</v>
      </c>
      <c r="V299" s="1">
        <v>61</v>
      </c>
      <c r="W299" s="1">
        <v>24</v>
      </c>
      <c r="X299" s="1">
        <f>VLOOKUP($B299&amp;"__wt",'SegEnds_Xtal_BW#'!$A:$Z,24,FALSE)</f>
        <v>56</v>
      </c>
      <c r="Y299" s="1">
        <f>VLOOKUP($B299&amp;"__wt",'SegEnds_Xtal_BW#'!$A:$Z,25,FALSE)</f>
        <v>47</v>
      </c>
      <c r="Z299" s="1">
        <f>VLOOKUP($B299&amp;"__wt",'SegEnds_Xtal_BW#'!$A:$Z,26,FALSE)</f>
        <v>58</v>
      </c>
      <c r="AA299" s="27" t="str">
        <f>VLOOKUP(A299,Classification!A:B,2,FALSE)</f>
        <v>A</v>
      </c>
      <c r="AB299" s="1">
        <f>VLOOKUP(A299,'SegEnds_NonXtal_Prot#'!A:AL,10,FALSE)-VLOOKUP(A299,'SegEnds_NonXtal_Prot#'!A:AL,4,FALSE)</f>
        <v>29</v>
      </c>
      <c r="AC299" s="1">
        <f>VLOOKUP(A299,'SegEnds_NonXtal_Prot#'!A:AL,10,FALSE)-VLOOKUP(A299,'SegEnds_NonXtal_Prot#'!A:AL,7,FALSE)</f>
        <v>15</v>
      </c>
      <c r="AD299" s="1">
        <f>VLOOKUP(A299,'SegEnds_NonXtal_Prot#'!A:AL,13,FALSE)-VLOOKUP(A299,'SegEnds_NonXtal_Prot#'!A:AL,10,FALSE)</f>
        <v>20</v>
      </c>
      <c r="AE299" s="1">
        <f>VLOOKUP(A299,'SegEnds_NonXtal_Prot#'!A:AL,16,FALSE)-VLOOKUP(A299,'SegEnds_NonXtal_Prot#'!A:AL,10,FALSE)</f>
        <v>52</v>
      </c>
      <c r="AF299" s="1" t="e">
        <f>VLOOKUP(A299,'SegEnds_NonXtal_Prot#'!A:AL,22,FALSE)-VLOOKUP(A299,'SegEnds_NonXtal_Prot#'!A:AL,19,FALSE)</f>
        <v>#VALUE!</v>
      </c>
      <c r="AG299" s="1" t="e">
        <f>VLOOKUP(A299,'SegEnds_NonXtal_Prot#'!A:AL,28,FALSE)-VLOOKUP(A299,'SegEnds_NonXtal_Prot#'!A:AL,25,FALSE)</f>
        <v>#VALUE!</v>
      </c>
      <c r="AH299" s="1">
        <f>VLOOKUP(A299,'SegEnds_NonXtal_Prot#'!A:AL,28,FALSE)-VLOOKUP(A299,'SegEnds_NonXtal_Prot#'!A:AL,22,FALSE)</f>
        <v>62</v>
      </c>
      <c r="AI299" s="1">
        <f>VLOOKUP(A299,'SegEnds_NonXtal_Prot#'!A:AL,31,FALSE)-VLOOKUP(A299,'SegEnds_NonXtal_Prot#'!A:AL,28,FALSE)</f>
        <v>55</v>
      </c>
      <c r="AJ299" s="1" t="e">
        <f>VLOOKUP(A299,'SegEnds_NonXtal_Prot#'!A:AL,34,FALSE)-VLOOKUP(A299,'SegEnds_NonXtal_Prot#'!A:AL,31,FALSE)</f>
        <v>#VALUE!</v>
      </c>
      <c r="AK299" s="1" t="e">
        <f>VLOOKUP(A299,'SegEnds_NonXtal_Prot#'!A:AL,37,FALSE)-VLOOKUP(A299,'SegEnds_NonXtal_Prot#'!A:AL,34,FALSE)</f>
        <v>#VALUE!</v>
      </c>
      <c r="AL299" s="1" t="str">
        <f>IF(ISERROR(MATCH(A299,'SegEnds_Xtal_Prot#'!B:B, 0)), "NoXtal", "Xtal")</f>
        <v>NoXtal</v>
      </c>
    </row>
    <row r="300" spans="1:38" s="42" customFormat="1" x14ac:dyDescent="0.2">
      <c r="A300" s="42" t="s">
        <v>411</v>
      </c>
      <c r="B300" s="42" t="str">
        <f>VLOOKUP(A300,Xtal_Templ!A:B,2,FALSE)</f>
        <v>pth1r_human</v>
      </c>
      <c r="C300" s="43">
        <f>VLOOKUP($B300&amp;"__wt",'SegEnds_Xtal_BW#'!$A:$Z,3,FALSE)</f>
        <v>21</v>
      </c>
      <c r="D300" s="42">
        <f>VLOOKUP($B300&amp;"__wt",'SegEnds_Xtal_BW#'!$A:$Z,4,FALSE)</f>
        <v>60</v>
      </c>
      <c r="E300" s="42">
        <f>VLOOKUP($B300&amp;"__wt",'SegEnds_Xtal_BW#'!$A:$Z,5,FALSE)</f>
        <v>48</v>
      </c>
      <c r="F300" s="42">
        <f>VLOOKUP($B300&amp;"__wt",'SegEnds_Xtal_BW#'!$A:$Z,6,FALSE)</f>
        <v>51</v>
      </c>
      <c r="G300" s="42">
        <v>37</v>
      </c>
      <c r="H300" s="116">
        <v>64</v>
      </c>
      <c r="I300" s="42" t="str">
        <f>VLOOKUP($B300&amp;"__wt",'SegEnds_Xtal_BW#'!$A:$Z,9,FALSE)</f>
        <v>-</v>
      </c>
      <c r="J300" s="42" t="str">
        <f>VLOOKUP($B300&amp;"__wt",'SegEnds_Xtal_BW#'!$A:$Z,10,FALSE)</f>
        <v>-</v>
      </c>
      <c r="K300" s="116">
        <v>23</v>
      </c>
      <c r="L300" s="42">
        <f>VLOOKUP($B300&amp;"__wt",'SegEnds_Xtal_BW#'!$A:$Z,12,FALSE)</f>
        <v>56</v>
      </c>
      <c r="M300" s="42" t="str">
        <f>VLOOKUP($B300&amp;"__wt",'SegEnds_Xtal_BW#'!$A:$Z,13,FALSE)</f>
        <v>-</v>
      </c>
      <c r="N300" s="101" t="str">
        <f>VLOOKUP($B300&amp;"__wt",'SegEnds_Xtal_BW#'!$A:$Z,14,FALSE)</f>
        <v>-</v>
      </c>
      <c r="O300" s="89">
        <f>VLOOKUP($B300&amp;"__wt",'SegEnds_Xtal_BW#'!$A:$Z,15,FALSE)</f>
        <v>37</v>
      </c>
      <c r="P300" s="42">
        <f>VLOOKUP($B300&amp;"__wt",'SegEnds_Xtal_BW#'!$A:$Z,16,FALSE)</f>
        <v>68</v>
      </c>
      <c r="Q300" s="42">
        <f>VLOOKUP($B300&amp;"__wt",'SegEnds_Xtal_BW#'!$A:$Z,17,FALSE)</f>
        <v>50</v>
      </c>
      <c r="R300" s="42">
        <f>VLOOKUP($B300&amp;"__wt",'SegEnds_Xtal_BW#'!$A:$Z,18,FALSE)</f>
        <v>52</v>
      </c>
      <c r="S300" s="1">
        <f>VLOOKUP($B300&amp;"__wt",'SegEnds_Xtal_BW#'!$A:$Z,19,FALSE)</f>
        <v>37</v>
      </c>
      <c r="T300" s="42">
        <v>69</v>
      </c>
      <c r="U300" s="42">
        <v>25</v>
      </c>
      <c r="V300" s="4">
        <f>VLOOKUP($B300&amp;"__wt",'SegEnds_Xtal_BW#'!$A:$Z,22,FALSE)</f>
        <v>54</v>
      </c>
      <c r="W300" s="42">
        <v>31</v>
      </c>
      <c r="X300" s="42">
        <f>VLOOKUP($B300&amp;"__wt",'SegEnds_Xtal_BW#'!$A:$Z,24,FALSE)</f>
        <v>56</v>
      </c>
      <c r="Y300" s="42">
        <f>VLOOKUP($B300&amp;"__wt",'SegEnds_Xtal_BW#'!$A:$Z,25,FALSE)</f>
        <v>47</v>
      </c>
      <c r="Z300" s="42">
        <f>VLOOKUP($B300&amp;"__wt",'SegEnds_Xtal_BW#'!$A:$Z,26,FALSE)</f>
        <v>72</v>
      </c>
      <c r="AA300" s="44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2">
        <f>VLOOKUP(A300,'SegEnds_NonXtal_Prot#'!A:AL,10,FALSE)-VLOOKUP(A300,'SegEnds_NonXtal_Prot#'!A:AL,7,FALSE)</f>
        <v>15</v>
      </c>
      <c r="AD300" s="42" t="e">
        <f>VLOOKUP(A300,'SegEnds_NonXtal_Prot#'!A:AL,13,FALSE)-VLOOKUP(A300,'SegEnds_NonXtal_Prot#'!A:AL,10,FALSE)</f>
        <v>#VALUE!</v>
      </c>
      <c r="AE300" s="42">
        <f>VLOOKUP(A300,'SegEnds_NonXtal_Prot#'!A:AL,16,FALSE)-VLOOKUP(A300,'SegEnds_NonXtal_Prot#'!A:AL,10,FALSE)</f>
        <v>55</v>
      </c>
      <c r="AF300" s="1" t="e">
        <f>VLOOKUP(A300,'SegEnds_NonXtal_Prot#'!A:AL,22,FALSE)-VLOOKUP(A300,'SegEnds_NonXtal_Prot#'!A:AL,19,FALSE)</f>
        <v>#VALUE!</v>
      </c>
      <c r="AG300" s="42">
        <f>VLOOKUP(A300,'SegEnds_NonXtal_Prot#'!A:AL,28,FALSE)-VLOOKUP(A300,'SegEnds_NonXtal_Prot#'!A:AL,25,FALSE)</f>
        <v>20</v>
      </c>
      <c r="AH300" s="1">
        <f>VLOOKUP(A300,'SegEnds_NonXtal_Prot#'!A:AL,28,FALSE)-VLOOKUP(A300,'SegEnds_NonXtal_Prot#'!A:AL,22,FALSE)</f>
        <v>42</v>
      </c>
      <c r="AI300" s="42">
        <f>VLOOKUP(A300,'SegEnds_NonXtal_Prot#'!A:AL,31,FALSE)-VLOOKUP(A300,'SegEnds_NonXtal_Prot#'!A:AL,28,FALSE)</f>
        <v>52</v>
      </c>
      <c r="AJ300" s="42">
        <f>VLOOKUP(A300,'SegEnds_NonXtal_Prot#'!A:AL,34,FALSE)-VLOOKUP(A300,'SegEnds_NonXtal_Prot#'!A:AL,31,FALSE)</f>
        <v>28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4" t="s">
        <v>404</v>
      </c>
      <c r="B301" s="4" t="str">
        <f>VLOOKUP(A301,Xtal_Templ!A:B,2,FALSE)</f>
        <v>pth1r_human</v>
      </c>
      <c r="C301" s="5">
        <f>VLOOKUP($B301&amp;"__wt",'SegEnds_Xtal_BW#'!$A:$Z,3,FALSE)</f>
        <v>21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5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5">
        <v>23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88">
        <f>VLOOKUP($B301&amp;"__wt",'SegEnds_Xtal_BW#'!$A:$Z,15,FALSE)</f>
        <v>37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">
        <f>VLOOKUP($B301&amp;"__wt",'SegEnds_Xtal_BW#'!$A:$Z,19,FALSE)</f>
        <v>37</v>
      </c>
      <c r="T301" s="4">
        <v>69</v>
      </c>
      <c r="U301" s="4">
        <v>25</v>
      </c>
      <c r="V301" s="4">
        <f>VLOOKUP($B301&amp;"__wt",'SegEnds_Xtal_BW#'!$A:$Z,22,FALSE)</f>
        <v>54</v>
      </c>
      <c r="W301" s="4">
        <v>31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4">
        <f>VLOOKUP(A301,'SegEnds_NonXtal_Prot#'!A:AL,10,FALSE)-VLOOKUP(A301,'SegEnds_NonXtal_Prot#'!A:AL,7,FALSE)</f>
        <v>15</v>
      </c>
      <c r="AD301" s="4" t="e">
        <f>VLOOKUP(A301,'SegEnds_NonXtal_Prot#'!A:AL,13,FALSE)-VLOOKUP(A301,'SegEnds_NonXtal_Prot#'!A:AL,10,FALSE)</f>
        <v>#VALUE!</v>
      </c>
      <c r="AE301" s="4">
        <f>VLOOKUP(A301,'SegEnds_NonXtal_Prot#'!A:AL,16,FALSE)-VLOOKUP(A301,'SegEnds_NonXtal_Prot#'!A:AL,10,FALSE)</f>
        <v>55</v>
      </c>
      <c r="AF301" s="1" t="e">
        <f>VLOOKUP(A301,'SegEnds_NonXtal_Prot#'!A:AL,22,FALSE)-VLOOKUP(A301,'SegEnds_NonXtal_Prot#'!A:AL,19,FALSE)</f>
        <v>#VALUE!</v>
      </c>
      <c r="AG301" s="4">
        <f>VLOOKUP(A301,'SegEnds_NonXtal_Prot#'!A:AL,28,FALSE)-VLOOKUP(A301,'SegEnds_NonXtal_Prot#'!A:AL,25,FALSE)</f>
        <v>20</v>
      </c>
      <c r="AH301" s="1">
        <f>VLOOKUP(A301,'SegEnds_NonXtal_Prot#'!A:AL,28,FALSE)-VLOOKUP(A301,'SegEnds_NonXtal_Prot#'!A:AL,22,FALSE)</f>
        <v>42</v>
      </c>
      <c r="AI301" s="4">
        <f>VLOOKUP(A301,'SegEnds_NonXtal_Prot#'!A:AL,31,FALSE)-VLOOKUP(A301,'SegEnds_NonXtal_Prot#'!A:AL,28,FALSE)</f>
        <v>52</v>
      </c>
      <c r="AJ301" s="4">
        <f>VLOOKUP(A301,'SegEnds_NonXtal_Prot#'!A:AL,34,FALSE)-VLOOKUP(A301,'SegEnds_NonXtal_Prot#'!A:AL,31,FALSE)</f>
        <v>29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1" t="s">
        <v>408</v>
      </c>
      <c r="B302" s="1" t="str">
        <f>VLOOKUP(A302,Xtal_Templ!A:B,2,FALSE)</f>
        <v>pth1r_human</v>
      </c>
      <c r="C302" s="5">
        <f>VLOOKUP($B302&amp;"__wt",'SegEnds_Xtal_BW#'!$A:$Z,3,FALSE)</f>
        <v>21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5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08">
        <v>23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7">
        <f>VLOOKUP($B302&amp;"__wt",'SegEnds_Xtal_BW#'!$A:$Z,15,FALSE)</f>
        <v>37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">
        <f>VLOOKUP($B302&amp;"__wt",'SegEnds_Xtal_BW#'!$A:$Z,19,FALSE)</f>
        <v>37</v>
      </c>
      <c r="T302" s="1">
        <v>69</v>
      </c>
      <c r="U302" s="1">
        <v>25</v>
      </c>
      <c r="V302" s="1">
        <f>VLOOKUP($B302&amp;"__wt",'SegEnds_Xtal_BW#'!$A:$Z,22,FALSE)</f>
        <v>54</v>
      </c>
      <c r="W302" s="1">
        <v>31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1">
        <f>VLOOKUP(A302,'SegEnds_NonXtal_Prot#'!A:AL,10,FALSE)-VLOOKUP(A302,'SegEnds_NonXtal_Prot#'!A:AL,7,FALSE)</f>
        <v>15</v>
      </c>
      <c r="AD302" s="1" t="e">
        <f>VLOOKUP(A302,'SegEnds_NonXtal_Prot#'!A:AL,13,FALSE)-VLOOKUP(A302,'SegEnds_NonXtal_Prot#'!A:AL,10,FALSE)</f>
        <v>#VALUE!</v>
      </c>
      <c r="AE302" s="1">
        <f>VLOOKUP(A302,'SegEnds_NonXtal_Prot#'!A:AL,16,FALSE)-VLOOKUP(A302,'SegEnds_NonXtal_Prot#'!A:AL,10,FALSE)</f>
        <v>55</v>
      </c>
      <c r="AF302" s="1" t="e">
        <f>VLOOKUP(A302,'SegEnds_NonXtal_Prot#'!A:AL,22,FALSE)-VLOOKUP(A302,'SegEnds_NonXtal_Prot#'!A:AL,19,FALSE)</f>
        <v>#VALUE!</v>
      </c>
      <c r="AG302" s="1">
        <f>VLOOKUP(A302,'SegEnds_NonXtal_Prot#'!A:AL,28,FALSE)-VLOOKUP(A302,'SegEnds_NonXtal_Prot#'!A:AL,25,FALSE)</f>
        <v>20</v>
      </c>
      <c r="AH302" s="1">
        <f>VLOOKUP(A302,'SegEnds_NonXtal_Prot#'!A:AL,28,FALSE)-VLOOKUP(A302,'SegEnds_NonXtal_Prot#'!A:AL,22,FALSE)</f>
        <v>42</v>
      </c>
      <c r="AI302" s="1">
        <f>VLOOKUP(A302,'SegEnds_NonXtal_Prot#'!A:AL,31,FALSE)-VLOOKUP(A302,'SegEnds_NonXtal_Prot#'!A:AL,28,FALSE)</f>
        <v>52</v>
      </c>
      <c r="AJ302" s="1">
        <f>VLOOKUP(A302,'SegEnds_NonXtal_Prot#'!A:AL,34,FALSE)-VLOOKUP(A302,'SegEnds_NonXtal_Prot#'!A:AL,31,FALSE)</f>
        <v>29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412</v>
      </c>
      <c r="B303" s="4" t="str">
        <f>VLOOKUP(A303,Xtal_Templ!A:B,2,FALSE)</f>
        <v>pth1r_human</v>
      </c>
      <c r="C303" s="5">
        <f>VLOOKUP($B303&amp;"__wt",'SegEnds_Xtal_BW#'!$A:$Z,3,FALSE)</f>
        <v>21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">
        <f>VLOOKUP($B303&amp;"__wt",'SegEnds_Xtal_BW#'!$A:$Z,19,FALSE)</f>
        <v>37</v>
      </c>
      <c r="T303" s="4">
        <v>69</v>
      </c>
      <c r="U303" s="4">
        <v>25</v>
      </c>
      <c r="V303" s="1">
        <f>VLOOKUP($B303&amp;"__wt",'SegEnds_Xtal_BW#'!$A:$Z,22,FALSE)</f>
        <v>54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55</v>
      </c>
      <c r="AF303" s="1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19</v>
      </c>
      <c r="AH303" s="1">
        <f>VLOOKUP(A303,'SegEnds_NonXtal_Prot#'!A:AL,28,FALSE)-VLOOKUP(A303,'SegEnds_NonXtal_Prot#'!A:AL,22,FALSE)</f>
        <v>41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1" t="str">
        <f>IF(ISERROR(MATCH(A303,'SegEnds_Xtal_Prot#'!B:B, 0)), "NoXtal", "Xtal")</f>
        <v>NoXtal</v>
      </c>
    </row>
    <row r="304" spans="1:38" x14ac:dyDescent="0.2">
      <c r="A304" s="4" t="s">
        <v>413</v>
      </c>
      <c r="B304" s="4" t="str">
        <f>VLOOKUP(A304,Xtal_Templ!A:B,2,FALSE)</f>
        <v>pth1r_human</v>
      </c>
      <c r="C304" s="5">
        <f>VLOOKUP($B304&amp;"__wt",'SegEnds_Xtal_BW#'!$A:$Z,3,FALSE)</f>
        <v>21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37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f>VLOOKUP($B304&amp;"__wt",'SegEnds_Xtal_BW#'!$A:$Z,19,FALSE)</f>
        <v>37</v>
      </c>
      <c r="T304" s="4">
        <v>69</v>
      </c>
      <c r="U304" s="4">
        <v>25</v>
      </c>
      <c r="V304" s="4">
        <f>VLOOKUP($B304&amp;"__wt",'SegEnds_Xtal_BW#'!$A:$Z,22,FALSE)</f>
        <v>54</v>
      </c>
      <c r="W304" s="4">
        <v>31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58</v>
      </c>
      <c r="AF304" s="4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20</v>
      </c>
      <c r="AH304" s="4">
        <f>VLOOKUP(A304,'SegEnds_NonXtal_Prot#'!A:AL,28,FALSE)-VLOOKUP(A304,'SegEnds_NonXtal_Prot#'!A:AL,22,FALSE)</f>
        <v>42</v>
      </c>
      <c r="AI304" s="4">
        <f>VLOOKUP(A304,'SegEnds_NonXtal_Prot#'!A:AL,31,FALSE)-VLOOKUP(A304,'SegEnds_NonXtal_Prot#'!A:AL,28,FALSE)</f>
        <v>52</v>
      </c>
      <c r="AJ304" s="4">
        <f>VLOOKUP(A304,'SegEnds_NonXtal_Prot#'!A:AL,34,FALSE)-VLOOKUP(A304,'SegEnds_NonXtal_Prot#'!A:AL,31,FALSE)</f>
        <v>29</v>
      </c>
      <c r="AK304" s="1">
        <f>VLOOKUP(A304,'SegEnds_NonXtal_Prot#'!A:AL,37,FALSE)-VLOOKUP(A304,'SegEnds_NonXtal_Prot#'!A:AL,34,FALSE)</f>
        <v>10</v>
      </c>
      <c r="AL304" s="4" t="str">
        <f>IF(ISERROR(MATCH(A304,'SegEnds_Xtal_Prot#'!B:B, 0)), "NoXtal", "Xtal")</f>
        <v>NoXtal</v>
      </c>
    </row>
    <row r="305" spans="1:38" x14ac:dyDescent="0.2">
      <c r="A305" s="4" t="s">
        <v>401</v>
      </c>
      <c r="B305" s="4" t="str">
        <f>VLOOKUP(A305,Xtal_Templ!A:B,2,FALSE)</f>
        <v>calcr_human</v>
      </c>
      <c r="C305" s="5">
        <f>VLOOKUP($B305&amp;"__wt",'SegEnds_Xtal_BW#'!$A:$Z,3,FALSE)</f>
        <v>19</v>
      </c>
      <c r="D305" s="4">
        <f>VLOOKUP($B305&amp;"__wt",'SegEnds_Xtal_BW#'!$A:$Z,4,FALSE)</f>
        <v>60</v>
      </c>
      <c r="E305" s="4">
        <f>VLOOKUP($B305&amp;"__wt",'SegEnds_Xtal_BW#'!$A:$Z,5,FALSE)</f>
        <v>48</v>
      </c>
      <c r="F305" s="4">
        <f>VLOOKUP($B305&amp;"__wt",'SegEnds_Xtal_BW#'!$A:$Z,6,FALSE)</f>
        <v>51</v>
      </c>
      <c r="G305" s="4">
        <v>37</v>
      </c>
      <c r="H305" s="115">
        <v>64</v>
      </c>
      <c r="I305" s="4" t="str">
        <f>VLOOKUP($B305&amp;"__wt",'SegEnds_Xtal_BW#'!$A:$Z,9,FALSE)</f>
        <v>-</v>
      </c>
      <c r="J305" s="4" t="str">
        <f>VLOOKUP($B305&amp;"__wt",'SegEnds_Xtal_BW#'!$A:$Z,10,FALSE)</f>
        <v>-</v>
      </c>
      <c r="K305" s="115">
        <v>23</v>
      </c>
      <c r="L305" s="4">
        <f>VLOOKUP($B305&amp;"__wt",'SegEnds_Xtal_BW#'!$A:$Z,12,FALSE)</f>
        <v>56</v>
      </c>
      <c r="M305" s="4" t="str">
        <f>VLOOKUP($B305&amp;"__wt",'SegEnds_Xtal_BW#'!$A:$Z,13,FALSE)</f>
        <v>-</v>
      </c>
      <c r="N305" s="11" t="str">
        <f>VLOOKUP($B305&amp;"__wt",'SegEnds_Xtal_BW#'!$A:$Z,14,FALSE)</f>
        <v>-</v>
      </c>
      <c r="O305" s="88">
        <f>VLOOKUP($B305&amp;"__wt",'SegEnds_Xtal_BW#'!$A:$Z,15,FALSE)</f>
        <v>41</v>
      </c>
      <c r="P305" s="4">
        <f>VLOOKUP($B305&amp;"__wt",'SegEnds_Xtal_BW#'!$A:$Z,16,FALSE)</f>
        <v>68</v>
      </c>
      <c r="Q305" s="4">
        <f>VLOOKUP($B305&amp;"__wt",'SegEnds_Xtal_BW#'!$A:$Z,17,FALSE)</f>
        <v>50</v>
      </c>
      <c r="R305" s="4">
        <f>VLOOKUP($B305&amp;"__wt",'SegEnds_Xtal_BW#'!$A:$Z,18,FALSE)</f>
        <v>52</v>
      </c>
      <c r="S305" s="1">
        <f>VLOOKUP($B305&amp;"__wt",'SegEnds_Xtal_BW#'!$A:$Z,19,FALSE)</f>
        <v>40</v>
      </c>
      <c r="T305" s="4">
        <f>VLOOKUP($B305&amp;"__wt",'SegEnds_Xtal_BW#'!$A:$Z,20,FALSE)</f>
        <v>70</v>
      </c>
      <c r="U305" s="4">
        <f>VLOOKUP($B305&amp;"__wt",'SegEnds_Xtal_BW#'!$A:$Z,21,FALSE)</f>
        <v>30</v>
      </c>
      <c r="V305" s="4">
        <f>VLOOKUP($B305&amp;"__wt",'SegEnds_Xtal_BW#'!$A:$Z,22,FALSE)</f>
        <v>53</v>
      </c>
      <c r="W305" s="115">
        <v>28</v>
      </c>
      <c r="X305" s="4">
        <f>VLOOKUP($B305&amp;"__wt",'SegEnds_Xtal_BW#'!$A:$Z,24,FALSE)</f>
        <v>56</v>
      </c>
      <c r="Y305" s="4">
        <f>VLOOKUP($B305&amp;"__wt",'SegEnds_Xtal_BW#'!$A:$Z,25,FALSE)</f>
        <v>47</v>
      </c>
      <c r="Z305" s="4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4">
        <f>VLOOKUP(A305,'SegEnds_NonXtal_Prot#'!A:AL,10,FALSE)-VLOOKUP(A305,'SegEnds_NonXtal_Prot#'!A:AL,7,FALSE)</f>
        <v>15</v>
      </c>
      <c r="AD305" s="4" t="e">
        <f>VLOOKUP(A305,'SegEnds_NonXtal_Prot#'!A:AL,13,FALSE)-VLOOKUP(A305,'SegEnds_NonXtal_Prot#'!A:AL,10,FALSE)</f>
        <v>#VALUE!</v>
      </c>
      <c r="AE305" s="4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4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4">
        <f>VLOOKUP(A305,'SegEnds_NonXtal_Prot#'!A:AL,31,FALSE)-VLOOKUP(A305,'SegEnds_NonXtal_Prot#'!A:AL,28,FALSE)</f>
        <v>50</v>
      </c>
      <c r="AJ305" s="4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1" t="s">
        <v>402</v>
      </c>
      <c r="B306" s="1" t="str">
        <f>VLOOKUP(A306,Xtal_Templ!A:B,2,FALSE)</f>
        <v>calrl_human</v>
      </c>
      <c r="C306" s="5">
        <f>VLOOKUP($B306&amp;"__wt",'SegEnds_Xtal_BW#'!$A:$Z,3,FALSE)</f>
        <v>24</v>
      </c>
      <c r="D306" s="1">
        <f>VLOOKUP($B306&amp;"__wt",'SegEnds_Xtal_BW#'!$A:$Z,4,FALSE)</f>
        <v>60</v>
      </c>
      <c r="E306" s="1">
        <f>VLOOKUP($B306&amp;"__wt",'SegEnds_Xtal_BW#'!$A:$Z,5,FALSE)</f>
        <v>48</v>
      </c>
      <c r="F306" s="1">
        <f>VLOOKUP($B306&amp;"__wt",'SegEnds_Xtal_BW#'!$A:$Z,6,FALSE)</f>
        <v>51</v>
      </c>
      <c r="G306" s="1">
        <v>37</v>
      </c>
      <c r="H306" s="115">
        <v>64</v>
      </c>
      <c r="I306" s="1" t="str">
        <f>VLOOKUP($B306&amp;"__wt",'SegEnds_Xtal_BW#'!$A:$Z,9,FALSE)</f>
        <v>-</v>
      </c>
      <c r="J306" s="1" t="str">
        <f>VLOOKUP($B306&amp;"__wt",'SegEnds_Xtal_BW#'!$A:$Z,10,FALSE)</f>
        <v>-</v>
      </c>
      <c r="K306" s="108">
        <v>23</v>
      </c>
      <c r="L306" s="1">
        <f>VLOOKUP($B306&amp;"__wt",'SegEnds_Xtal_BW#'!$A:$Z,12,FALSE)</f>
        <v>56</v>
      </c>
      <c r="M306" s="1" t="str">
        <f>VLOOKUP($B306&amp;"__wt",'SegEnds_Xtal_BW#'!$A:$Z,13,FALSE)</f>
        <v>-</v>
      </c>
      <c r="N306" s="12" t="str">
        <f>VLOOKUP($B306&amp;"__wt",'SegEnds_Xtal_BW#'!$A:$Z,14,FALSE)</f>
        <v>-</v>
      </c>
      <c r="O306" s="87">
        <f>VLOOKUP($B306&amp;"__wt",'SegEnds_Xtal_BW#'!$A:$Z,15,FALSE)</f>
        <v>41</v>
      </c>
      <c r="P306" s="1">
        <f>VLOOKUP($B306&amp;"__wt",'SegEnds_Xtal_BW#'!$A:$Z,16,FALSE)</f>
        <v>67</v>
      </c>
      <c r="Q306" s="1">
        <f>VLOOKUP($B306&amp;"__wt",'SegEnds_Xtal_BW#'!$A:$Z,17,FALSE)</f>
        <v>50</v>
      </c>
      <c r="R306" s="1">
        <f>VLOOKUP($B306&amp;"__wt",'SegEnds_Xtal_BW#'!$A:$Z,18,FALSE)</f>
        <v>52</v>
      </c>
      <c r="S306" s="1">
        <f>VLOOKUP($B306&amp;"__wt",'SegEnds_Xtal_BW#'!$A:$Z,19,FALSE)</f>
        <v>39</v>
      </c>
      <c r="T306" s="1">
        <f>VLOOKUP($B306&amp;"__wt",'SegEnds_Xtal_BW#'!$A:$Z,20,FALSE)</f>
        <v>70</v>
      </c>
      <c r="U306" s="1">
        <f>VLOOKUP($B306&amp;"__wt",'SegEnds_Xtal_BW#'!$A:$Z,21,FALSE)</f>
        <v>30</v>
      </c>
      <c r="V306" s="1">
        <f>VLOOKUP($B306&amp;"__wt",'SegEnds_Xtal_BW#'!$A:$Z,22,FALSE)</f>
        <v>53</v>
      </c>
      <c r="W306" s="108">
        <v>28</v>
      </c>
      <c r="X306" s="1">
        <f>VLOOKUP($B306&amp;"__wt",'SegEnds_Xtal_BW#'!$A:$Z,24,FALSE)</f>
        <v>56</v>
      </c>
      <c r="Y306" s="1">
        <f>VLOOKUP($B306&amp;"__wt",'SegEnds_Xtal_BW#'!$A:$Z,25,FALSE)</f>
        <v>47</v>
      </c>
      <c r="Z306" s="1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1">
        <f>VLOOKUP(A306,'SegEnds_NonXtal_Prot#'!A:AL,10,FALSE)-VLOOKUP(A306,'SegEnds_NonXtal_Prot#'!A:AL,7,FALSE)</f>
        <v>15</v>
      </c>
      <c r="AD306" s="1" t="e">
        <f>VLOOKUP(A306,'SegEnds_NonXtal_Prot#'!A:AL,13,FALSE)-VLOOKUP(A306,'SegEnds_NonXtal_Prot#'!A:AL,10,FALSE)</f>
        <v>#VALUE!</v>
      </c>
      <c r="AE306" s="1">
        <f>VLOOKUP(A306,'SegEnds_NonXtal_Prot#'!A:AL,16,FALSE)-VLOOKUP(A306,'SegEnds_NonXtal_Prot#'!A:AL,10,FALSE)</f>
        <v>53</v>
      </c>
      <c r="AF306" s="1" t="e">
        <f>VLOOKUP(A306,'SegEnds_NonXtal_Prot#'!A:AL,22,FALSE)-VLOOKUP(A306,'SegEnds_NonXtal_Prot#'!A:AL,19,FALSE)</f>
        <v>#VALUE!</v>
      </c>
      <c r="AG306" s="1">
        <f>VLOOKUP(A306,'SegEnds_NonXtal_Prot#'!A:AL,28,FALSE)-VLOOKUP(A306,'SegEnds_NonXtal_Prot#'!A:AL,25,FALSE)</f>
        <v>19</v>
      </c>
      <c r="AH306" s="1">
        <f>VLOOKUP(A306,'SegEnds_NonXtal_Prot#'!A:AL,28,FALSE)-VLOOKUP(A306,'SegEnds_NonXtal_Prot#'!A:AL,22,FALSE)</f>
        <v>41</v>
      </c>
      <c r="AI306" s="1">
        <f>VLOOKUP(A306,'SegEnds_NonXtal_Prot#'!A:AL,31,FALSE)-VLOOKUP(A306,'SegEnds_NonXtal_Prot#'!A:AL,28,FALSE)</f>
        <v>50</v>
      </c>
      <c r="AJ306" s="1">
        <f>VLOOKUP(A306,'SegEnds_NonXtal_Prot#'!A:AL,34,FALSE)-VLOOKUP(A306,'SegEnds_NonXtal_Prot#'!A:AL,31,FALSE)</f>
        <v>30</v>
      </c>
      <c r="AK306" s="1">
        <f>VLOOKUP(A306,'SegEnds_NonXtal_Prot#'!A:AL,37,FALSE)-VLOOKUP(A306,'SegEnds_NonXtal_Prot#'!A:AL,34,FALSE)</f>
        <v>10</v>
      </c>
      <c r="AL306" s="1" t="str">
        <f>IF(ISERROR(MATCH(A306,'SegEnds_Xtal_Prot#'!B:B, 0)), "NoXtal", "Xtal")</f>
        <v>Xtal</v>
      </c>
    </row>
    <row r="307" spans="1:38" x14ac:dyDescent="0.2">
      <c r="A307" s="4" t="s">
        <v>38</v>
      </c>
      <c r="B307" s="4" t="str">
        <f>VLOOKUP(A307,Xtal_Templ!A:B,2,FALSE)</f>
        <v>crfr1_human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">
        <v>63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">
        <f>VLOOKUP($B307&amp;"__wt",'SegEnds_Xtal_BW#'!$A:$Z,19,FALSE)</f>
        <v>39</v>
      </c>
      <c r="T307" s="4">
        <f>VLOOKUP($B307&amp;"__wt",'SegEnds_Xtal_BW#'!$A:$Z,20,FALSE)</f>
        <v>69</v>
      </c>
      <c r="U307" s="4">
        <f>VLOOKUP($B307&amp;"__wt",'SegEnds_Xtal_BW#'!$A:$Z,21,FALSE)</f>
        <v>25</v>
      </c>
      <c r="V307" s="4">
        <f>VLOOKUP($B307&amp;"__wt",'SegEnds_Xtal_BW#'!$A:$Z,22,FALSE)</f>
        <v>53</v>
      </c>
      <c r="W307" s="4">
        <v>29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51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21</v>
      </c>
      <c r="AH307" s="4">
        <f>VLOOKUP(A307,'SegEnds_NonXtal_Prot#'!A:AL,28,FALSE)-VLOOKUP(A307,'SegEnds_NonXtal_Prot#'!A:AL,22,FALSE)</f>
        <v>43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31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Xtal</v>
      </c>
    </row>
    <row r="308" spans="1:38" x14ac:dyDescent="0.2">
      <c r="A308" s="4" t="s">
        <v>403</v>
      </c>
      <c r="B308" s="4" t="str">
        <f>VLOOKUP(A308,Xtal_Templ!A:B,2,FALSE)</f>
        <v>crfr1_human</v>
      </c>
      <c r="C308" s="5">
        <f>VLOOKUP($B308&amp;"__wt",'SegEnds_Xtal_BW#'!$A:$Z,3,FALSE)</f>
        <v>19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">
        <v>63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22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40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">
        <f>VLOOKUP($B308&amp;"__wt",'SegEnds_Xtal_BW#'!$A:$Z,19,FALSE)</f>
        <v>39</v>
      </c>
      <c r="T308" s="4">
        <f>VLOOKUP($B308&amp;"__wt",'SegEnds_Xtal_BW#'!$A:$Z,20,FALSE)</f>
        <v>69</v>
      </c>
      <c r="U308" s="4">
        <f>VLOOKUP($B308&amp;"__wt",'SegEnds_Xtal_BW#'!$A:$Z,21,FALSE)</f>
        <v>25</v>
      </c>
      <c r="V308" s="4">
        <f>VLOOKUP($B308&amp;"__wt",'SegEnds_Xtal_BW#'!$A:$Z,22,FALSE)</f>
        <v>53</v>
      </c>
      <c r="W308" s="4">
        <v>29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50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21</v>
      </c>
      <c r="AH308" s="4">
        <f>VLOOKUP(A308,'SegEnds_NonXtal_Prot#'!A:AL,28,FALSE)-VLOOKUP(A308,'SegEnds_NonXtal_Prot#'!A:AL,22,FALSE)</f>
        <v>43</v>
      </c>
      <c r="AI308" s="4">
        <f>VLOOKUP(A308,'SegEnds_NonXtal_Prot#'!A:AL,31,FALSE)-VLOOKUP(A308,'SegEnds_NonXtal_Prot#'!A:AL,28,FALSE)</f>
        <v>50</v>
      </c>
      <c r="AJ308" s="4">
        <f>VLOOKUP(A308,'SegEnds_NonXtal_Prot#'!A:AL,34,FALSE)-VLOOKUP(A308,'SegEnds_NonXtal_Prot#'!A:AL,31,FALSE)</f>
        <v>31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NoXtal</v>
      </c>
    </row>
    <row r="309" spans="1:38" x14ac:dyDescent="0.2">
      <c r="A309" s="4" t="s">
        <v>410</v>
      </c>
      <c r="B309" s="4" t="str">
        <f>VLOOKUP(A309,Xtal_Templ!A:B,2,FALSE)</f>
        <v>pth1r_human</v>
      </c>
      <c r="C309" s="5">
        <f>VLOOKUP($B309&amp;"__wt",'SegEnds_Xtal_BW#'!$A:$Z,3,FALSE)</f>
        <v>21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69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21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">
        <f>VLOOKUP($B309&amp;"__wt",'SegEnds_Xtal_BW#'!$A:$Z,19,FALSE)</f>
        <v>37</v>
      </c>
      <c r="T309" s="4">
        <v>69</v>
      </c>
      <c r="U309" s="4">
        <v>25</v>
      </c>
      <c r="V309" s="4">
        <f>VLOOKUP($B309&amp;"__wt",'SegEnds_Xtal_BW#'!$A:$Z,22,FALSE)</f>
        <v>54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74</v>
      </c>
      <c r="AF309" s="4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19</v>
      </c>
      <c r="AH309" s="4">
        <f>VLOOKUP(A309,'SegEnds_NonXtal_Prot#'!A:AL,28,FALSE)-VLOOKUP(A309,'SegEnds_NonXtal_Prot#'!A:AL,22,FALSE)</f>
        <v>41</v>
      </c>
      <c r="AI309" s="4">
        <f>VLOOKUP(A309,'SegEnds_NonXtal_Prot#'!A:AL,31,FALSE)-VLOOKUP(A309,'SegEnds_NonXtal_Prot#'!A:AL,28,FALSE)</f>
        <v>53</v>
      </c>
      <c r="AJ309" s="4">
        <f>VLOOKUP(A309,'SegEnds_NonXtal_Prot#'!A:AL,34,FALSE)-VLOOKUP(A309,'SegEnds_NonXtal_Prot#'!A:AL,31,FALSE)</f>
        <v>32</v>
      </c>
      <c r="AK309" s="1">
        <f>VLOOKUP(A309,'SegEnds_NonXtal_Prot#'!A:AL,37,FALSE)-VLOOKUP(A309,'SegEnds_NonXtal_Prot#'!A:AL,34,FALSE)</f>
        <v>10</v>
      </c>
      <c r="AL309" s="4" t="str">
        <f>IF(ISERROR(MATCH(A309,'SegEnds_Xtal_Prot#'!B:B, 0)), "NoXtal", "Xtal")</f>
        <v>NoXtal</v>
      </c>
    </row>
    <row r="310" spans="1:38" x14ac:dyDescent="0.2">
      <c r="A310" s="4" t="s">
        <v>1420</v>
      </c>
      <c r="B310" s="4" t="str">
        <f>VLOOKUP(A310,Xtal_Templ!A:B,2,FALSE)</f>
        <v>g1sgd4_rabit</v>
      </c>
      <c r="C310" s="5">
        <f>VLOOKUP($B310&amp;"__wt",'SegEnds_Xtal_BW#'!$A:$Z,3,FALSE)</f>
        <v>28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74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37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">
        <f>VLOOKUP($B310&amp;"__wt",'SegEnds_Xtal_BW#'!$A:$Z,19,FALSE)</f>
        <v>36</v>
      </c>
      <c r="T310" s="4">
        <f>VLOOKUP($B310&amp;"__wt",'SegEnds_Xtal_BW#'!$A:$Z,20,FALSE)</f>
        <v>71</v>
      </c>
      <c r="U310" s="4">
        <f>VLOOKUP($B310&amp;"__wt",'SegEnds_Xtal_BW#'!$A:$Z,21,FALSE)</f>
        <v>30</v>
      </c>
      <c r="V310" s="4">
        <f>VLOOKUP($B310&amp;"__wt",'SegEnds_Xtal_BW#'!$A:$Z,22,FALSE)</f>
        <v>53</v>
      </c>
      <c r="W310" s="115">
        <v>30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64</v>
      </c>
      <c r="AF310" s="4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4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4" t="str">
        <f>IF(ISERROR(MATCH(A310,'SegEnds_Xtal_Prot#'!B:B, 0)), "NoXtal", "Xtal")</f>
        <v>Xtal</v>
      </c>
    </row>
    <row r="311" spans="1:38" x14ac:dyDescent="0.2">
      <c r="A311" s="4" t="s">
        <v>405</v>
      </c>
      <c r="B311" s="4" t="str">
        <f>VLOOKUP(A311,Xtal_Templ!A:B,2,FALSE)</f>
        <v>glr_human</v>
      </c>
      <c r="C311" s="5">
        <f>VLOOKUP($B311&amp;"__wt",'SegEnds_Xtal_BW#'!$A:$Z,3,FALSE)</f>
        <v>25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64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40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">
        <f>VLOOKUP($B311&amp;"__wt",'SegEnds_Xtal_BW#'!$A:$Z,19,FALSE)</f>
        <v>35</v>
      </c>
      <c r="T311" s="4">
        <f>VLOOKUP($B311&amp;"__wt",'SegEnds_Xtal_BW#'!$A:$Z,20,FALSE)</f>
        <v>71</v>
      </c>
      <c r="U311" s="115">
        <v>28</v>
      </c>
      <c r="V311" s="4">
        <f>VLOOKUP($B311&amp;"__wt",'SegEnds_Xtal_BW#'!$A:$Z,22,FALSE)</f>
        <v>53</v>
      </c>
      <c r="W311" s="4">
        <v>28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61</v>
      </c>
      <c r="AF311" s="1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4">
        <f>VLOOKUP(A311,'SegEnds_NonXtal_Prot#'!A:AL,31,FALSE)-VLOOKUP(A311,'SegEnds_NonXtal_Prot#'!A:AL,28,FALSE)</f>
        <v>50</v>
      </c>
      <c r="AJ311" s="4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NoXtal</v>
      </c>
    </row>
    <row r="312" spans="1:38" x14ac:dyDescent="0.2">
      <c r="A312" s="1" t="s">
        <v>406</v>
      </c>
      <c r="B312" s="1" t="str">
        <f>VLOOKUP(A312,Xtal_Templ!A:B,2,FALSE)</f>
        <v>glp1r_human</v>
      </c>
      <c r="C312" s="5">
        <f>VLOOKUP($B312&amp;"__wt",'SegEnds_Xtal_BW#'!$A:$Z,3,FALSE)</f>
        <v>29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08">
        <v>64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08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7">
        <f>VLOOKUP($B312&amp;"__wt",'SegEnds_Xtal_BW#'!$A:$Z,15,FALSE)</f>
        <v>38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f>VLOOKUP($B312&amp;"__wt",'SegEnds_Xtal_BW#'!$A:$Z,19,FALSE)</f>
        <v>36</v>
      </c>
      <c r="T312" s="1">
        <f>VLOOKUP($B312&amp;"__wt",'SegEnds_Xtal_BW#'!$A:$Z,20,FALSE)</f>
        <v>71</v>
      </c>
      <c r="U312" s="1">
        <f>VLOOKUP($B312&amp;"__wt",'SegEnds_Xtal_BW#'!$A:$Z,21,FALSE)</f>
        <v>28</v>
      </c>
      <c r="V312" s="1">
        <f>VLOOKUP($B312&amp;"__wt",'SegEnds_Xtal_BW#'!$A:$Z,22,FALSE)</f>
        <v>53</v>
      </c>
      <c r="W312" s="1">
        <v>28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1">
        <f>VLOOKUP(A312,'SegEnds_NonXtal_Prot#'!A:AL,10,FALSE)-VLOOKUP(A312,'SegEnds_NonXtal_Prot#'!A:AL,7,FALSE)</f>
        <v>15</v>
      </c>
      <c r="AD312" s="1" t="e">
        <f>VLOOKUP(A312,'SegEnds_NonXtal_Prot#'!A:AL,13,FALSE)-VLOOKUP(A312,'SegEnds_NonXtal_Prot#'!A:AL,10,FALSE)</f>
        <v>#VALUE!</v>
      </c>
      <c r="AE312" s="1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1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1">
        <f>VLOOKUP(A312,'SegEnds_NonXtal_Prot#'!A:AL,31,FALSE)-VLOOKUP(A312,'SegEnds_NonXtal_Prot#'!A:AL,28,FALSE)</f>
        <v>50</v>
      </c>
      <c r="AJ312" s="1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Xtal</v>
      </c>
    </row>
    <row r="313" spans="1:38" x14ac:dyDescent="0.2">
      <c r="A313" s="4" t="s">
        <v>407</v>
      </c>
      <c r="B313" s="4" t="str">
        <f>VLOOKUP(A313,Xtal_Templ!A:B,2,FALSE)</f>
        <v>glr_human</v>
      </c>
      <c r="C313" s="5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64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f>VLOOKUP($B313&amp;"__wt",'SegEnds_Xtal_BW#'!$A:$Z,19,FALSE)</f>
        <v>35</v>
      </c>
      <c r="T313" s="4">
        <f>VLOOKUP($B313&amp;"__wt",'SegEnds_Xtal_BW#'!$A:$Z,20,FALSE)</f>
        <v>71</v>
      </c>
      <c r="U313" s="115">
        <v>28</v>
      </c>
      <c r="V313" s="4">
        <f>VLOOKUP($B313&amp;"__wt",'SegEnds_Xtal_BW#'!$A:$Z,22,FALSE)</f>
        <v>53</v>
      </c>
      <c r="W313" s="4">
        <v>28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27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64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NoXtal</v>
      </c>
    </row>
    <row r="314" spans="1:38" s="4" customFormat="1" x14ac:dyDescent="0.2">
      <c r="A314" s="4" t="s">
        <v>32</v>
      </c>
      <c r="B314" s="4" t="str">
        <f>VLOOKUP(A314,Xtal_Templ!A:B,2,FALSE)</f>
        <v>glr_human</v>
      </c>
      <c r="C314" s="4">
        <f>VLOOKUP($B314&amp;"__wt",'SegEnds_Xtal_BW#'!$A:$Z,3,FALSE)</f>
        <v>25</v>
      </c>
      <c r="D314" s="4">
        <f>VLOOKUP($B314&amp;"__wt",'SegEnds_Xtal_BW#'!$A:$Z,4,FALSE)</f>
        <v>60</v>
      </c>
      <c r="E314" s="4">
        <f>VLOOKUP($B314&amp;"__wt",'SegEnds_Xtal_BW#'!$A:$Z,5,FALSE)</f>
        <v>48</v>
      </c>
      <c r="F314" s="4">
        <f>VLOOKUP($B314&amp;"__wt",'SegEnds_Xtal_BW#'!$A:$Z,6,FALSE)</f>
        <v>51</v>
      </c>
      <c r="G314" s="4">
        <v>37</v>
      </c>
      <c r="H314" s="115">
        <v>69</v>
      </c>
      <c r="I314" s="4" t="str">
        <f>VLOOKUP($B314&amp;"__wt",'SegEnds_Xtal_BW#'!$A:$Z,9,FALSE)</f>
        <v>-</v>
      </c>
      <c r="J314" s="4" t="str">
        <f>VLOOKUP($B314&amp;"__wt",'SegEnds_Xtal_BW#'!$A:$Z,10,FALSE)</f>
        <v>-</v>
      </c>
      <c r="K314" s="115">
        <v>21</v>
      </c>
      <c r="L314" s="4">
        <f>VLOOKUP($B314&amp;"__wt",'SegEnds_Xtal_BW#'!$A:$Z,12,FALSE)</f>
        <v>56</v>
      </c>
      <c r="M314" s="4" t="str">
        <f>VLOOKUP($B314&amp;"__wt",'SegEnds_Xtal_BW#'!$A:$Z,13,FALSE)</f>
        <v>-</v>
      </c>
      <c r="N314" s="11" t="str">
        <f>VLOOKUP($B314&amp;"__wt",'SegEnds_Xtal_BW#'!$A:$Z,14,FALSE)</f>
        <v>-</v>
      </c>
      <c r="O314" s="88">
        <f>VLOOKUP($B314&amp;"__wt",'SegEnds_Xtal_BW#'!$A:$Z,15,FALSE)</f>
        <v>40</v>
      </c>
      <c r="P314" s="4">
        <f>VLOOKUP($B314&amp;"__wt",'SegEnds_Xtal_BW#'!$A:$Z,16,FALSE)</f>
        <v>68</v>
      </c>
      <c r="Q314" s="4">
        <f>VLOOKUP($B314&amp;"__wt",'SegEnds_Xtal_BW#'!$A:$Z,17,FALSE)</f>
        <v>50</v>
      </c>
      <c r="R314" s="4">
        <f>VLOOKUP($B314&amp;"__wt",'SegEnds_Xtal_BW#'!$A:$Z,18,FALSE)</f>
        <v>52</v>
      </c>
      <c r="S314" s="1">
        <f>VLOOKUP($B314&amp;"__wt",'SegEnds_Xtal_BW#'!$A:$Z,19,FALSE)</f>
        <v>35</v>
      </c>
      <c r="T314" s="4">
        <f>VLOOKUP($B314&amp;"__wt",'SegEnds_Xtal_BW#'!$A:$Z,20,FALSE)</f>
        <v>71</v>
      </c>
      <c r="U314" s="4">
        <f>VLOOKUP($B314&amp;"__wt",'SegEnds_Xtal_BW#'!$A:$Z,21,FALSE)</f>
        <v>28</v>
      </c>
      <c r="V314" s="4">
        <f>VLOOKUP($B314&amp;"__wt",'SegEnds_Xtal_BW#'!$A:$Z,22,FALSE)</f>
        <v>53</v>
      </c>
      <c r="W314" s="115">
        <v>27</v>
      </c>
      <c r="X314" s="4">
        <f>VLOOKUP($B314&amp;"__wt",'SegEnds_Xtal_BW#'!$A:$Z,24,FALSE)</f>
        <v>56</v>
      </c>
      <c r="Y314" s="4">
        <f>VLOOKUP($B314&amp;"__wt",'SegEnds_Xtal_BW#'!$A:$Z,25,FALSE)</f>
        <v>47</v>
      </c>
      <c r="Z314" s="4">
        <f>VLOOKUP($B314&amp;"__wt",'SegEnds_Xtal_BW#'!$A:$Z,26,FALSE)</f>
        <v>72</v>
      </c>
      <c r="AA314" s="50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">
        <f>VLOOKUP(A314,'SegEnds_NonXtal_Prot#'!A:AL,10,FALSE)-VLOOKUP(A314,'SegEnds_NonXtal_Prot#'!A:AL,7,FALSE)</f>
        <v>15</v>
      </c>
      <c r="AD314" s="4" t="e">
        <f>VLOOKUP(A314,'SegEnds_NonXtal_Prot#'!A:AL,13,FALSE)-VLOOKUP(A314,'SegEnds_NonXtal_Prot#'!A:AL,10,FALSE)</f>
        <v>#VALUE!</v>
      </c>
      <c r="AE314" s="4">
        <f>VLOOKUP(A314,'SegEnds_NonXtal_Prot#'!A:AL,16,FALSE)-VLOOKUP(A314,'SegEnds_NonXtal_Prot#'!A:AL,10,FALSE)</f>
        <v>65</v>
      </c>
      <c r="AF314" s="1" t="e">
        <f>VLOOKUP(A314,'SegEnds_NonXtal_Prot#'!A:AL,22,FALSE)-VLOOKUP(A314,'SegEnds_NonXtal_Prot#'!A:AL,19,FALSE)</f>
        <v>#VALUE!</v>
      </c>
      <c r="AG314" s="4">
        <f>VLOOKUP(A314,'SegEnds_NonXtal_Prot#'!A:AL,28,FALSE)-VLOOKUP(A314,'SegEnds_NonXtal_Prot#'!A:AL,25,FALSE)</f>
        <v>20</v>
      </c>
      <c r="AH314" s="1">
        <f>VLOOKUP(A314,'SegEnds_NonXtal_Prot#'!A:AL,28,FALSE)-VLOOKUP(A314,'SegEnds_NonXtal_Prot#'!A:AL,22,FALSE)</f>
        <v>42</v>
      </c>
      <c r="AI314" s="4">
        <f>VLOOKUP(A314,'SegEnds_NonXtal_Prot#'!A:AL,31,FALSE)-VLOOKUP(A314,'SegEnds_NonXtal_Prot#'!A:AL,28,FALSE)</f>
        <v>50</v>
      </c>
      <c r="AJ314" s="4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1" t="str">
        <f>IF(ISERROR(MATCH(A314,'SegEnds_Xtal_Prot#'!B:B, 0)), "NoXtal", "Xtal")</f>
        <v>Xtal</v>
      </c>
    </row>
    <row r="315" spans="1:38" s="45" customFormat="1" x14ac:dyDescent="0.2">
      <c r="A315" s="45" t="s">
        <v>409</v>
      </c>
      <c r="B315" s="45" t="str">
        <f>VLOOKUP(A315,Xtal_Templ!A:B,2,FALSE)</f>
        <v>pth1r_human</v>
      </c>
      <c r="C315" s="46">
        <f>VLOOKUP($B315&amp;"__wt",'SegEnds_Xtal_BW#'!$A:$Z,3,FALSE)</f>
        <v>21</v>
      </c>
      <c r="D315" s="45">
        <f>VLOOKUP($B315&amp;"__wt",'SegEnds_Xtal_BW#'!$A:$Z,4,FALSE)</f>
        <v>60</v>
      </c>
      <c r="E315" s="45">
        <f>VLOOKUP($B315&amp;"__wt",'SegEnds_Xtal_BW#'!$A:$Z,5,FALSE)</f>
        <v>48</v>
      </c>
      <c r="F315" s="45">
        <f>VLOOKUP($B315&amp;"__wt",'SegEnds_Xtal_BW#'!$A:$Z,6,FALSE)</f>
        <v>51</v>
      </c>
      <c r="G315" s="45">
        <v>37</v>
      </c>
      <c r="H315" s="137">
        <v>69</v>
      </c>
      <c r="I315" s="45" t="str">
        <f>VLOOKUP($B315&amp;"__wt",'SegEnds_Xtal_BW#'!$A:$Z,9,FALSE)</f>
        <v>-</v>
      </c>
      <c r="J315" s="45" t="str">
        <f>VLOOKUP($B315&amp;"__wt",'SegEnds_Xtal_BW#'!$A:$Z,10,FALSE)</f>
        <v>-</v>
      </c>
      <c r="K315" s="115">
        <v>21</v>
      </c>
      <c r="L315" s="45">
        <f>VLOOKUP($B315&amp;"__wt",'SegEnds_Xtal_BW#'!$A:$Z,12,FALSE)</f>
        <v>56</v>
      </c>
      <c r="M315" s="45" t="str">
        <f>VLOOKUP($B315&amp;"__wt",'SegEnds_Xtal_BW#'!$A:$Z,13,FALSE)</f>
        <v>-</v>
      </c>
      <c r="N315" s="102" t="str">
        <f>VLOOKUP($B315&amp;"__wt",'SegEnds_Xtal_BW#'!$A:$Z,14,FALSE)</f>
        <v>-</v>
      </c>
      <c r="O315" s="90">
        <f>VLOOKUP($B315&amp;"__wt",'SegEnds_Xtal_BW#'!$A:$Z,15,FALSE)</f>
        <v>37</v>
      </c>
      <c r="P315" s="45">
        <f>VLOOKUP($B315&amp;"__wt",'SegEnds_Xtal_BW#'!$A:$Z,16,FALSE)</f>
        <v>68</v>
      </c>
      <c r="Q315" s="45">
        <f>VLOOKUP($B315&amp;"__wt",'SegEnds_Xtal_BW#'!$A:$Z,17,FALSE)</f>
        <v>50</v>
      </c>
      <c r="R315" s="45">
        <f>VLOOKUP($B315&amp;"__wt",'SegEnds_Xtal_BW#'!$A:$Z,18,FALSE)</f>
        <v>52</v>
      </c>
      <c r="S315" s="1">
        <f>VLOOKUP($B315&amp;"__wt",'SegEnds_Xtal_BW#'!$A:$Z,19,FALSE)</f>
        <v>37</v>
      </c>
      <c r="T315" s="45">
        <v>69</v>
      </c>
      <c r="U315" s="45">
        <v>25</v>
      </c>
      <c r="V315" s="45">
        <f>VLOOKUP($B315&amp;"__wt",'SegEnds_Xtal_BW#'!$A:$Z,22,FALSE)</f>
        <v>54</v>
      </c>
      <c r="W315" s="45">
        <v>28</v>
      </c>
      <c r="X315" s="45">
        <f>VLOOKUP($B315&amp;"__wt",'SegEnds_Xtal_BW#'!$A:$Z,24,FALSE)</f>
        <v>56</v>
      </c>
      <c r="Y315" s="45">
        <f>VLOOKUP($B315&amp;"__wt",'SegEnds_Xtal_BW#'!$A:$Z,25,FALSE)</f>
        <v>47</v>
      </c>
      <c r="Z315" s="45">
        <f>VLOOKUP($B315&amp;"__wt",'SegEnds_Xtal_BW#'!$A:$Z,26,FALSE)</f>
        <v>72</v>
      </c>
      <c r="AA315" s="47" t="str">
        <f>VLOOKUP(A315,Classification!A:B,2,FALSE)</f>
        <v>B1</v>
      </c>
      <c r="AB315" s="1">
        <f>VLOOKUP(A315,'SegEnds_NonXtal_Prot#'!A:AL,10,FALSE)-VLOOKUP(A315,'SegEnds_NonXtal_Prot#'!A:AL,4,FALSE)</f>
        <v>28</v>
      </c>
      <c r="AC315" s="45">
        <f>VLOOKUP(A315,'SegEnds_NonXtal_Prot#'!A:AL,10,FALSE)-VLOOKUP(A315,'SegEnds_NonXtal_Prot#'!A:AL,7,FALSE)</f>
        <v>15</v>
      </c>
      <c r="AD315" s="45" t="e">
        <f>VLOOKUP(A315,'SegEnds_NonXtal_Prot#'!A:AL,13,FALSE)-VLOOKUP(A315,'SegEnds_NonXtal_Prot#'!A:AL,10,FALSE)</f>
        <v>#VALUE!</v>
      </c>
      <c r="AE315" s="45">
        <f>VLOOKUP(A315,'SegEnds_NonXtal_Prot#'!A:AL,16,FALSE)-VLOOKUP(A315,'SegEnds_NonXtal_Prot#'!A:AL,10,FALSE)</f>
        <v>76</v>
      </c>
      <c r="AF315" s="45" t="e">
        <f>VLOOKUP(A315,'SegEnds_NonXtal_Prot#'!A:AL,22,FALSE)-VLOOKUP(A315,'SegEnds_NonXtal_Prot#'!A:AL,19,FALSE)</f>
        <v>#VALUE!</v>
      </c>
      <c r="AG315" s="45">
        <f>VLOOKUP(A315,'SegEnds_NonXtal_Prot#'!A:AL,28,FALSE)-VLOOKUP(A315,'SegEnds_NonXtal_Prot#'!A:AL,25,FALSE)</f>
        <v>19</v>
      </c>
      <c r="AH315" s="45">
        <f>VLOOKUP(A315,'SegEnds_NonXtal_Prot#'!A:AL,28,FALSE)-VLOOKUP(A315,'SegEnds_NonXtal_Prot#'!A:AL,22,FALSE)</f>
        <v>41</v>
      </c>
      <c r="AI315" s="45">
        <f>VLOOKUP(A315,'SegEnds_NonXtal_Prot#'!A:AL,31,FALSE)-VLOOKUP(A315,'SegEnds_NonXtal_Prot#'!A:AL,28,FALSE)</f>
        <v>53</v>
      </c>
      <c r="AJ315" s="45">
        <f>VLOOKUP(A315,'SegEnds_NonXtal_Prot#'!A:AL,34,FALSE)-VLOOKUP(A315,'SegEnds_NonXtal_Prot#'!A:AL,31,FALSE)</f>
        <v>33</v>
      </c>
      <c r="AK315" s="1">
        <f>VLOOKUP(A315,'SegEnds_NonXtal_Prot#'!A:AL,37,FALSE)-VLOOKUP(A315,'SegEnds_NonXtal_Prot#'!A:AL,34,FALSE)</f>
        <v>10</v>
      </c>
      <c r="AL315" s="45" t="str">
        <f>IF(ISERROR(MATCH(A315,'SegEnds_Xtal_Prot#'!B:B, 0)), "NoXtal", "Xtal")</f>
        <v>Xtal</v>
      </c>
    </row>
    <row r="316" spans="1:38" x14ac:dyDescent="0.2">
      <c r="A316" s="1" t="s">
        <v>1182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v>50</v>
      </c>
      <c r="W316" s="1">
        <v>33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28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45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19</v>
      </c>
      <c r="AH316" s="1">
        <f>VLOOKUP(A316,'SegEnds_NonXtal_Prot#'!A:AL,28,FALSE)-VLOOKUP(A316,'SegEnds_NonXtal_Prot#'!A:AL,22,FALSE)</f>
        <v>43</v>
      </c>
      <c r="AI316" s="1">
        <f>VLOOKUP(A316,'SegEnds_NonXtal_Prot#'!A:AL,31,FALSE)-VLOOKUP(A316,'SegEnds_NonXtal_Prot#'!A:AL,28,FALSE)</f>
        <v>66</v>
      </c>
      <c r="AJ316" s="1">
        <f>VLOOKUP(A316,'SegEnds_NonXtal_Prot#'!A:AL,34,FALSE)-VLOOKUP(A316,'SegEnds_NonXtal_Prot#'!A:AL,31,FALSE)</f>
        <v>20</v>
      </c>
      <c r="AK316" s="1">
        <f>VLOOKUP(A316,'SegEnds_NonXtal_Prot#'!A:AL,37,FALSE)-VLOOKUP(A316,'SegEnds_NonXtal_Prot#'!A:AL,34,FALSE)</f>
        <v>10</v>
      </c>
      <c r="AL316" s="1" t="str">
        <f>IF(ISERROR(MATCH(A316,'SegEnds_Xtal_Prot#'!B:B, 0)), "NoXtal", "Xtal")</f>
        <v>NoXtal</v>
      </c>
    </row>
    <row r="317" spans="1:38" x14ac:dyDescent="0.2">
      <c r="A317" s="1" t="s">
        <v>1188</v>
      </c>
      <c r="B317" s="1" t="str">
        <f>VLOOKUP(A317,Xtal_Templ!A:B,2,FALSE)</f>
        <v>calrl_human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41</v>
      </c>
      <c r="P317" s="1">
        <f>VLOOKUP($B317&amp;"__wt",'SegEnds_Xtal_BW#'!$A:$Z,16,FALSE)</f>
        <v>67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08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31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51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20</v>
      </c>
      <c r="AH317" s="1">
        <f>VLOOKUP(A317,'SegEnds_NonXtal_Prot#'!A:AL,28,FALSE)-VLOOKUP(A317,'SegEnds_NonXtal_Prot#'!A:AL,22,FALSE)</f>
        <v>46</v>
      </c>
      <c r="AI317" s="1">
        <f>VLOOKUP(A317,'SegEnds_NonXtal_Prot#'!A:AL,31,FALSE)-VLOOKUP(A317,'SegEnds_NonXtal_Prot#'!A:AL,28,FALSE)</f>
        <v>57</v>
      </c>
      <c r="AJ317" s="1">
        <f>VLOOKUP(A317,'SegEnds_NonXtal_Prot#'!A:AL,34,FALSE)-VLOOKUP(A317,'SegEnds_NonXtal_Prot#'!A:AL,31,FALSE)</f>
        <v>23</v>
      </c>
      <c r="AK317" s="1" t="e">
        <f>VLOOKUP(A317,'SegEnds_NonXtal_Prot#'!A:AL,37,FALSE)-VLOOKUP(A317,'SegEnds_NonXtal_Prot#'!A:AL,34,FALSE)</f>
        <v>#VALUE!</v>
      </c>
      <c r="AL317" s="1" t="str">
        <f>IF(ISERROR(MATCH(A317,'SegEnds_Xtal_Prot#'!B:B, 0)), "NoXtal", "Xtal")</f>
        <v>NoXtal</v>
      </c>
    </row>
    <row r="318" spans="1:38" x14ac:dyDescent="0.2">
      <c r="A318" s="1" t="s">
        <v>1194</v>
      </c>
      <c r="B318" s="1" t="str">
        <f>VLOOKUP(A318,Xtal_Templ!A:B,2,FALSE)</f>
        <v>pth1r_human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37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v>50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33</v>
      </c>
      <c r="AC318" s="1" t="e">
        <f>VLOOKUP(A318,'SegEnds_NonXtal_Prot#'!A:AL,10,FALSE)-VLOOKUP(A318,'SegEnds_NonXtal_Prot#'!A:AL,7,FALSE)</f>
        <v>#VALUE!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47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18</v>
      </c>
      <c r="AH318" s="1">
        <f>VLOOKUP(A318,'SegEnds_NonXtal_Prot#'!A:AL,28,FALSE)-VLOOKUP(A318,'SegEnds_NonXtal_Prot#'!A:AL,22,FALSE)</f>
        <v>51</v>
      </c>
      <c r="AI318" s="1">
        <f>VLOOKUP(A318,'SegEnds_NonXtal_Prot#'!A:AL,31,FALSE)-VLOOKUP(A318,'SegEnds_NonXtal_Prot#'!A:AL,28,FALSE)</f>
        <v>54</v>
      </c>
      <c r="AJ318" s="1">
        <f>VLOOKUP(A318,'SegEnds_NonXtal_Prot#'!A:AL,34,FALSE)-VLOOKUP(A318,'SegEnds_NonXtal_Prot#'!A:AL,31,FALSE)</f>
        <v>26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1" t="s">
        <v>1181</v>
      </c>
      <c r="B319" s="1" t="str">
        <f>VLOOKUP(A319,Xtal_Templ!A:B,2,FALSE)</f>
        <v>crfr1_human</v>
      </c>
      <c r="C319" s="5">
        <v>23</v>
      </c>
      <c r="D319" s="1">
        <f>VLOOKUP($B319&amp;"__wt",'SegEnds_Xtal_BW#'!$A:$Z,4,FALSE)</f>
        <v>60</v>
      </c>
      <c r="E319" s="1">
        <f>VLOOKUP($B319&amp;"__wt",'SegEnds_Xtal_BW#'!$A:$Z,5,FALSE)</f>
        <v>48</v>
      </c>
      <c r="F319" s="1">
        <f>VLOOKUP($B319&amp;"__wt",'SegEnds_Xtal_BW#'!$A:$Z,6,FALSE)</f>
        <v>51</v>
      </c>
      <c r="G319" s="1">
        <v>37</v>
      </c>
      <c r="H319" s="12">
        <v>63</v>
      </c>
      <c r="I319" s="1" t="str">
        <f>VLOOKUP($B319&amp;"__wt",'SegEnds_Xtal_BW#'!$A:$Z,9,FALSE)</f>
        <v>-</v>
      </c>
      <c r="J319" s="1" t="str">
        <f>VLOOKUP($B319&amp;"__wt",'SegEnds_Xtal_BW#'!$A:$Z,10,FALSE)</f>
        <v>-</v>
      </c>
      <c r="K319" s="12">
        <v>23</v>
      </c>
      <c r="L319" s="1">
        <f>VLOOKUP($B319&amp;"__wt",'SegEnds_Xtal_BW#'!$A:$Z,12,FALSE)</f>
        <v>56</v>
      </c>
      <c r="M319" s="1" t="str">
        <f>VLOOKUP($B319&amp;"__wt",'SegEnds_Xtal_BW#'!$A:$Z,13,FALSE)</f>
        <v>-</v>
      </c>
      <c r="N319" s="12" t="str">
        <f>VLOOKUP($B319&amp;"__wt",'SegEnds_Xtal_BW#'!$A:$Z,14,FALSE)</f>
        <v>-</v>
      </c>
      <c r="O319" s="87">
        <f>VLOOKUP($B319&amp;"__wt",'SegEnds_Xtal_BW#'!$A:$Z,15,FALSE)</f>
        <v>40</v>
      </c>
      <c r="P319" s="1">
        <f>VLOOKUP($B319&amp;"__wt",'SegEnds_Xtal_BW#'!$A:$Z,16,FALSE)</f>
        <v>68</v>
      </c>
      <c r="Q319" s="1">
        <f>VLOOKUP($B319&amp;"__wt",'SegEnds_Xtal_BW#'!$A:$Z,17,FALSE)</f>
        <v>50</v>
      </c>
      <c r="R319" s="1">
        <f>VLOOKUP($B319&amp;"__wt",'SegEnds_Xtal_BW#'!$A:$Z,18,FALSE)</f>
        <v>52</v>
      </c>
      <c r="S319" s="1">
        <v>36</v>
      </c>
      <c r="T319" s="1">
        <v>69</v>
      </c>
      <c r="U319" s="1">
        <v>29</v>
      </c>
      <c r="V319" s="1">
        <f>VLOOKUP($B319&amp;"__wt",'SegEnds_Xtal_BW#'!$A:$Z,22,FALSE)</f>
        <v>53</v>
      </c>
      <c r="W319" s="1">
        <v>31</v>
      </c>
      <c r="X319" s="1">
        <f>VLOOKUP($B319&amp;"__wt",'SegEnds_Xtal_BW#'!$A:$Z,24,FALSE)</f>
        <v>56</v>
      </c>
      <c r="Y319" s="1">
        <f>VLOOKUP($B319&amp;"__wt",'SegEnds_Xtal_BW#'!$A:$Z,25,FALSE)</f>
        <v>47</v>
      </c>
      <c r="Z319" s="1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31</v>
      </c>
      <c r="AC319" s="1">
        <f>VLOOKUP(A319,'SegEnds_NonXtal_Prot#'!A:AL,10,FALSE)-VLOOKUP(A319,'SegEnds_NonXtal_Prot#'!A:AL,7,FALSE)</f>
        <v>18</v>
      </c>
      <c r="AD319" s="1" t="e">
        <f>VLOOKUP(A319,'SegEnds_NonXtal_Prot#'!A:AL,13,FALSE)-VLOOKUP(A319,'SegEnds_NonXtal_Prot#'!A:AL,10,FALSE)</f>
        <v>#VALUE!</v>
      </c>
      <c r="AE319" s="1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1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1">
        <f>VLOOKUP(A319,'SegEnds_NonXtal_Prot#'!A:AL,31,FALSE)-VLOOKUP(A319,'SegEnds_NonXtal_Prot#'!A:AL,28,FALSE)</f>
        <v>52</v>
      </c>
      <c r="AJ319" s="1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4" t="s">
        <v>1183</v>
      </c>
      <c r="B320" s="4" t="str">
        <f>VLOOKUP(A320,Xtal_Templ!A:B,2,FALSE)</f>
        <v>pth1r_human</v>
      </c>
      <c r="C320" s="5">
        <v>23</v>
      </c>
      <c r="D320" s="4">
        <f>VLOOKUP($B320&amp;"__wt",'SegEnds_Xtal_BW#'!$A:$Z,4,FALSE)</f>
        <v>60</v>
      </c>
      <c r="E320" s="4">
        <f>VLOOKUP($B320&amp;"__wt",'SegEnds_Xtal_BW#'!$A:$Z,5,FALSE)</f>
        <v>48</v>
      </c>
      <c r="F320" s="4">
        <f>VLOOKUP($B320&amp;"__wt",'SegEnds_Xtal_BW#'!$A:$Z,6,FALSE)</f>
        <v>51</v>
      </c>
      <c r="G320" s="4">
        <v>37</v>
      </c>
      <c r="H320" s="11">
        <v>63</v>
      </c>
      <c r="I320" s="4" t="str">
        <f>VLOOKUP($B320&amp;"__wt",'SegEnds_Xtal_BW#'!$A:$Z,9,FALSE)</f>
        <v>-</v>
      </c>
      <c r="J320" s="4" t="str">
        <f>VLOOKUP($B320&amp;"__wt",'SegEnds_Xtal_BW#'!$A:$Z,10,FALSE)</f>
        <v>-</v>
      </c>
      <c r="K320" s="11">
        <v>23</v>
      </c>
      <c r="L320" s="4">
        <f>VLOOKUP($B320&amp;"__wt",'SegEnds_Xtal_BW#'!$A:$Z,12,FALSE)</f>
        <v>56</v>
      </c>
      <c r="M320" s="4" t="str">
        <f>VLOOKUP($B320&amp;"__wt",'SegEnds_Xtal_BW#'!$A:$Z,13,FALSE)</f>
        <v>-</v>
      </c>
      <c r="N320" s="11" t="str">
        <f>VLOOKUP($B320&amp;"__wt",'SegEnds_Xtal_BW#'!$A:$Z,14,FALSE)</f>
        <v>-</v>
      </c>
      <c r="O320" s="88">
        <f>VLOOKUP($B320&amp;"__wt",'SegEnds_Xtal_BW#'!$A:$Z,15,FALSE)</f>
        <v>37</v>
      </c>
      <c r="P320" s="4">
        <f>VLOOKUP($B320&amp;"__wt",'SegEnds_Xtal_BW#'!$A:$Z,16,FALSE)</f>
        <v>68</v>
      </c>
      <c r="Q320" s="4">
        <f>VLOOKUP($B320&amp;"__wt",'SegEnds_Xtal_BW#'!$A:$Z,17,FALSE)</f>
        <v>50</v>
      </c>
      <c r="R320" s="4">
        <f>VLOOKUP($B320&amp;"__wt",'SegEnds_Xtal_BW#'!$A:$Z,18,FALSE)</f>
        <v>52</v>
      </c>
      <c r="S320" s="4">
        <v>36</v>
      </c>
      <c r="T320" s="4">
        <v>69</v>
      </c>
      <c r="U320" s="4">
        <v>29</v>
      </c>
      <c r="V320" s="4">
        <f>VLOOKUP($B320&amp;"__wt",'SegEnds_Xtal_BW#'!$A:$Z,22,FALSE)</f>
        <v>54</v>
      </c>
      <c r="W320" s="4">
        <v>31</v>
      </c>
      <c r="X320" s="4">
        <f>VLOOKUP($B320&amp;"__wt",'SegEnds_Xtal_BW#'!$A:$Z,24,FALSE)</f>
        <v>56</v>
      </c>
      <c r="Y320" s="4">
        <f>VLOOKUP($B320&amp;"__wt",'SegEnds_Xtal_BW#'!$A:$Z,25,FALSE)</f>
        <v>47</v>
      </c>
      <c r="Z320" s="4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4" t="e">
        <f>VLOOKUP(A320,'SegEnds_NonXtal_Prot#'!A:AL,10,FALSE)-VLOOKUP(A320,'SegEnds_NonXtal_Prot#'!A:AL,7,FALSE)</f>
        <v>#VALUE!</v>
      </c>
      <c r="AD320" s="4" t="e">
        <f>VLOOKUP(A320,'SegEnds_NonXtal_Prot#'!A:AL,13,FALSE)-VLOOKUP(A320,'SegEnds_NonXtal_Prot#'!A:AL,10,FALSE)</f>
        <v>#VALUE!</v>
      </c>
      <c r="AE320" s="4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4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4">
        <f>VLOOKUP(A320,'SegEnds_NonXtal_Prot#'!A:AL,31,FALSE)-VLOOKUP(A320,'SegEnds_NonXtal_Prot#'!A:AL,28,FALSE)</f>
        <v>52</v>
      </c>
      <c r="AJ320" s="4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1184</v>
      </c>
      <c r="B321" s="1" t="str">
        <f>VLOOKUP(A321,Xtal_Templ!A:B,2,FALSE)</f>
        <v>glp1r_human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38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1" t="s">
        <v>1185</v>
      </c>
      <c r="B322" s="1" t="str">
        <f>VLOOKUP(A322,Xtal_Templ!A:B,2,FALSE)</f>
        <v>crfr1_human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7">
        <f>VLOOKUP($B322&amp;"__wt",'SegEnds_Xtal_BW#'!$A:$Z,15,FALSE)</f>
        <v>40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53</v>
      </c>
      <c r="W322" s="1">
        <v>31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28</v>
      </c>
      <c r="AC322" s="1">
        <f>VLOOKUP(A322,'SegEnds_NonXtal_Prot#'!A:AL,10,FALSE)-VLOOKUP(A322,'SegEnds_NonXtal_Prot#'!A:AL,7,FALSE)</f>
        <v>15</v>
      </c>
      <c r="AD322" s="1" t="e">
        <f>VLOOKUP(A322,'SegEnds_NonXtal_Prot#'!A:AL,13,FALSE)-VLOOKUP(A322,'SegEnds_NonXtal_Prot#'!A:AL,10,FALSE)</f>
        <v>#VALUE!</v>
      </c>
      <c r="AE322" s="1">
        <f>VLOOKUP(A322,'SegEnds_NonXtal_Prot#'!A:AL,16,FALSE)-VLOOKUP(A322,'SegEnds_NonXtal_Prot#'!A:AL,10,FALSE)</f>
        <v>45</v>
      </c>
      <c r="AF322" s="1" t="e">
        <f>VLOOKUP(A322,'SegEnds_NonXtal_Prot#'!A:AL,22,FALSE)-VLOOKUP(A322,'SegEnds_NonXtal_Prot#'!A:AL,19,FALSE)</f>
        <v>#VALUE!</v>
      </c>
      <c r="AG322" s="1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43</v>
      </c>
      <c r="AI322" s="1">
        <f>VLOOKUP(A322,'SegEnds_NonXtal_Prot#'!A:AL,31,FALSE)-VLOOKUP(A322,'SegEnds_NonXtal_Prot#'!A:AL,28,FALSE)</f>
        <v>52</v>
      </c>
      <c r="AJ322" s="1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1193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29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47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54</v>
      </c>
      <c r="AI323" s="4">
        <f>VLOOKUP(A323,'SegEnds_NonXtal_Prot#'!A:AL,31,FALSE)-VLOOKUP(A323,'SegEnds_NonXtal_Prot#'!A:AL,28,FALSE)</f>
        <v>51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4" t="s">
        <v>1195</v>
      </c>
      <c r="B324" s="4" t="str">
        <f>VLOOKUP(A324,Xtal_Templ!A:B,2,FALSE)</f>
        <v>crfr1_human</v>
      </c>
      <c r="C324" s="5">
        <v>23</v>
      </c>
      <c r="D324" s="4">
        <f>VLOOKUP($B324&amp;"__wt",'SegEnds_Xtal_BW#'!$A:$Z,4,FALSE)</f>
        <v>60</v>
      </c>
      <c r="E324" s="4">
        <f>VLOOKUP($B324&amp;"__wt",'SegEnds_Xtal_BW#'!$A:$Z,5,FALSE)</f>
        <v>48</v>
      </c>
      <c r="F324" s="4">
        <f>VLOOKUP($B324&amp;"__wt",'SegEnds_Xtal_BW#'!$A:$Z,6,FALSE)</f>
        <v>51</v>
      </c>
      <c r="G324" s="4">
        <v>37</v>
      </c>
      <c r="H324" s="11">
        <v>63</v>
      </c>
      <c r="I324" s="4" t="str">
        <f>VLOOKUP($B324&amp;"__wt",'SegEnds_Xtal_BW#'!$A:$Z,9,FALSE)</f>
        <v>-</v>
      </c>
      <c r="J324" s="4" t="str">
        <f>VLOOKUP($B324&amp;"__wt",'SegEnds_Xtal_BW#'!$A:$Z,10,FALSE)</f>
        <v>-</v>
      </c>
      <c r="K324" s="11">
        <v>23</v>
      </c>
      <c r="L324" s="4">
        <f>VLOOKUP($B324&amp;"__wt",'SegEnds_Xtal_BW#'!$A:$Z,12,FALSE)</f>
        <v>56</v>
      </c>
      <c r="M324" s="4" t="str">
        <f>VLOOKUP($B324&amp;"__wt",'SegEnds_Xtal_BW#'!$A:$Z,13,FALSE)</f>
        <v>-</v>
      </c>
      <c r="N324" s="11" t="str">
        <f>VLOOKUP($B324&amp;"__wt",'SegEnds_Xtal_BW#'!$A:$Z,14,FALSE)</f>
        <v>-</v>
      </c>
      <c r="O324" s="88">
        <f>VLOOKUP($B324&amp;"__wt",'SegEnds_Xtal_BW#'!$A:$Z,15,FALSE)</f>
        <v>40</v>
      </c>
      <c r="P324" s="4">
        <f>VLOOKUP($B324&amp;"__wt",'SegEnds_Xtal_BW#'!$A:$Z,16,FALSE)</f>
        <v>68</v>
      </c>
      <c r="Q324" s="4">
        <f>VLOOKUP($B324&amp;"__wt",'SegEnds_Xtal_BW#'!$A:$Z,17,FALSE)</f>
        <v>50</v>
      </c>
      <c r="R324" s="4">
        <f>VLOOKUP($B324&amp;"__wt",'SegEnds_Xtal_BW#'!$A:$Z,18,FALSE)</f>
        <v>52</v>
      </c>
      <c r="S324" s="4">
        <v>36</v>
      </c>
      <c r="T324" s="4">
        <v>69</v>
      </c>
      <c r="U324" s="4">
        <v>29</v>
      </c>
      <c r="V324" s="4">
        <f>VLOOKUP($B324&amp;"__wt",'SegEnds_Xtal_BW#'!$A:$Z,22,FALSE)</f>
        <v>53</v>
      </c>
      <c r="W324" s="4">
        <v>31</v>
      </c>
      <c r="X324" s="4">
        <f>VLOOKUP($B324&amp;"__wt",'SegEnds_Xtal_BW#'!$A:$Z,24,FALSE)</f>
        <v>56</v>
      </c>
      <c r="Y324" s="4">
        <f>VLOOKUP($B324&amp;"__wt",'SegEnds_Xtal_BW#'!$A:$Z,25,FALSE)</f>
        <v>47</v>
      </c>
      <c r="Z324" s="4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29</v>
      </c>
      <c r="AC324" s="4" t="e">
        <f>VLOOKUP(A324,'SegEnds_NonXtal_Prot#'!A:AL,10,FALSE)-VLOOKUP(A324,'SegEnds_NonXtal_Prot#'!A:AL,7,FALSE)</f>
        <v>#VALUE!</v>
      </c>
      <c r="AD324" s="4" t="e">
        <f>VLOOKUP(A324,'SegEnds_NonXtal_Prot#'!A:AL,13,FALSE)-VLOOKUP(A324,'SegEnds_NonXtal_Prot#'!A:AL,10,FALSE)</f>
        <v>#VALUE!</v>
      </c>
      <c r="AE324" s="4">
        <f>VLOOKUP(A324,'SegEnds_NonXtal_Prot#'!A:AL,16,FALSE)-VLOOKUP(A324,'SegEnds_NonXtal_Prot#'!A:AL,10,FALSE)</f>
        <v>47</v>
      </c>
      <c r="AF324" s="1" t="e">
        <f>VLOOKUP(A324,'SegEnds_NonXtal_Prot#'!A:AL,22,FALSE)-VLOOKUP(A324,'SegEnds_NonXtal_Prot#'!A:AL,19,FALSE)</f>
        <v>#VALUE!</v>
      </c>
      <c r="AG324" s="4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47</v>
      </c>
      <c r="AI324" s="4">
        <f>VLOOKUP(A324,'SegEnds_NonXtal_Prot#'!A:AL,31,FALSE)-VLOOKUP(A324,'SegEnds_NonXtal_Prot#'!A:AL,28,FALSE)</f>
        <v>50</v>
      </c>
      <c r="AJ324" s="4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1196</v>
      </c>
      <c r="B325" s="1" t="str">
        <f>VLOOKUP(A325,Xtal_Templ!A:B,2,FALSE)</f>
        <v>pth1r_human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37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54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28</v>
      </c>
      <c r="AC325" s="1" t="e">
        <f>VLOOKUP(A325,'SegEnds_NonXtal_Prot#'!A:AL,10,FALSE)-VLOOKUP(A325,'SegEnds_NonXtal_Prot#'!A:AL,7,FALSE)</f>
        <v>#VALUE!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48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60</v>
      </c>
      <c r="AI325" s="1">
        <f>VLOOKUP(A325,'SegEnds_NonXtal_Prot#'!A:AL,31,FALSE)-VLOOKUP(A325,'SegEnds_NonXtal_Prot#'!A:AL,28,FALSE)</f>
        <v>49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1413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29</v>
      </c>
      <c r="AC326" s="1">
        <f>VLOOKUP(A326,'SegEnds_NonXtal_Prot#'!A:AL,10,FALSE)-VLOOKUP(A326,'SegEnds_NonXtal_Prot#'!A:AL,7,FALSE)</f>
        <v>16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47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53</v>
      </c>
      <c r="AI326" s="1">
        <f>VLOOKUP(A326,'SegEnds_NonXtal_Prot#'!A:AL,31,FALSE)-VLOOKUP(A326,'SegEnds_NonXtal_Prot#'!A:AL,28,FALSE)</f>
        <v>51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1198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>
        <f>VLOOKUP(A327,'SegEnds_NonXtal_Prot#'!A:AL,10,FALSE)-VLOOKUP(A327,'SegEnds_NonXtal_Prot#'!A:AL,7,FALSE)</f>
        <v>15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1199</v>
      </c>
      <c r="B328" s="1" t="str">
        <f>VLOOKUP(A328,Xtal_Templ!A:B,2,FALSE)</f>
        <v>calcr_human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41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 t="e">
        <f>VLOOKUP(A328,'SegEnds_NonXtal_Prot#'!A:AL,10,FALSE)-VLOOKUP(A328,'SegEnds_NonXtal_Prot#'!A:AL,7,FALSE)</f>
        <v>#VALUE!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1200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>
        <f>VLOOKUP(A329,'SegEnds_NonXtal_Prot#'!A:AL,10,FALSE)-VLOOKUP(A329,'SegEnds_NonXtal_Prot#'!A:AL,7,FALSE)</f>
        <v>15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1" t="s">
        <v>1201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7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f>VLOOKUP($B330&amp;"__wt",'SegEnds_Xtal_BW#'!$A:$Z,22,FALSE)</f>
        <v>53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1" t="e">
        <f>VLOOKUP(A330,'SegEnds_NonXtal_Prot#'!A:AL,10,FALSE)-VLOOKUP(A330,'SegEnds_NonXtal_Prot#'!A:AL,7,FALSE)</f>
        <v>#VALUE!</v>
      </c>
      <c r="AD330" s="1" t="e">
        <f>VLOOKUP(A330,'SegEnds_NonXtal_Prot#'!A:AL,13,FALSE)-VLOOKUP(A330,'SegEnds_NonXtal_Prot#'!A:AL,10,FALSE)</f>
        <v>#VALUE!</v>
      </c>
      <c r="AE330" s="1">
        <f>VLOOKUP(A330,'SegEnds_NonXtal_Prot#'!A:AL,16,FALSE)-VLOOKUP(A330,'SegEnds_NonXtal_Prot#'!A:AL,10,FALSE)</f>
        <v>45</v>
      </c>
      <c r="AF330" s="1" t="e">
        <f>VLOOKUP(A330,'SegEnds_NonXtal_Prot#'!A:AL,22,FALSE)-VLOOKUP(A330,'SegEnds_NonXtal_Prot#'!A:AL,19,FALSE)</f>
        <v>#VALUE!</v>
      </c>
      <c r="AG330" s="1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1">
        <f>VLOOKUP(A330,'SegEnds_NonXtal_Prot#'!A:AL,31,FALSE)-VLOOKUP(A330,'SegEnds_NonXtal_Prot#'!A:AL,28,FALSE)</f>
        <v>52</v>
      </c>
      <c r="AJ330" s="1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4" t="s">
        <v>417</v>
      </c>
      <c r="B331" s="4" t="str">
        <f>VLOOKUP(A331,Xtal_Templ!A:B,2,FALSE)</f>
        <v>glp1r_human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88">
        <f>VLOOKUP($B331&amp;"__wt",'SegEnds_Xtal_BW#'!$A:$Z,15,FALSE)</f>
        <v>38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4" t="e">
        <f>VLOOKUP(A331,'SegEnds_NonXtal_Prot#'!A:AL,10,FALSE)-VLOOKUP(A331,'SegEnds_NonXtal_Prot#'!A:AL,7,FALSE)</f>
        <v>#VALUE!</v>
      </c>
      <c r="AD331" s="4" t="e">
        <f>VLOOKUP(A331,'SegEnds_NonXtal_Prot#'!A:AL,13,FALSE)-VLOOKUP(A331,'SegEnds_NonXtal_Prot#'!A:AL,10,FALSE)</f>
        <v>#VALUE!</v>
      </c>
      <c r="AE331" s="4">
        <f>VLOOKUP(A331,'SegEnds_NonXtal_Prot#'!A:AL,16,FALSE)-VLOOKUP(A331,'SegEnds_NonXtal_Prot#'!A:AL,10,FALSE)</f>
        <v>47</v>
      </c>
      <c r="AF331" s="1" t="e">
        <f>VLOOKUP(A331,'SegEnds_NonXtal_Prot#'!A:AL,22,FALSE)-VLOOKUP(A331,'SegEnds_NonXtal_Prot#'!A:AL,19,FALSE)</f>
        <v>#VALUE!</v>
      </c>
      <c r="AG331" s="4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4">
        <f>VLOOKUP(A331,'SegEnds_NonXtal_Prot#'!A:AL,31,FALSE)-VLOOKUP(A331,'SegEnds_NonXtal_Prot#'!A:AL,28,FALSE)</f>
        <v>52</v>
      </c>
      <c r="AJ331" s="4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1" t="s">
        <v>418</v>
      </c>
      <c r="B332" s="1" t="str">
        <f>VLOOKUP(A332,Xtal_Templ!A:B,2,FALSE)</f>
        <v>calcr_human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7">
        <f>VLOOKUP($B332&amp;"__wt",'SegEnds_Xtal_BW#'!$A:$Z,15,FALSE)</f>
        <v>41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1">
        <f>VLOOKUP(A332,'SegEnds_NonXtal_Prot#'!A:AL,10,FALSE)-VLOOKUP(A332,'SegEnds_NonXtal_Prot#'!A:AL,7,FALSE)</f>
        <v>15</v>
      </c>
      <c r="AD332" s="1" t="e">
        <f>VLOOKUP(A332,'SegEnds_NonXtal_Prot#'!A:AL,13,FALSE)-VLOOKUP(A332,'SegEnds_NonXtal_Prot#'!A:AL,10,FALSE)</f>
        <v>#VALUE!</v>
      </c>
      <c r="AE332" s="1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1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1">
        <f>VLOOKUP(A332,'SegEnds_NonXtal_Prot#'!A:AL,31,FALSE)-VLOOKUP(A332,'SegEnds_NonXtal_Prot#'!A:AL,28,FALSE)</f>
        <v>48</v>
      </c>
      <c r="AJ332" s="1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4" t="s">
        <v>419</v>
      </c>
      <c r="B333" s="4" t="str">
        <f>VLOOKUP(A333,Xtal_Templ!A:B,2,FALSE)</f>
        <v>calrl_human</v>
      </c>
      <c r="C333" s="5">
        <v>23</v>
      </c>
      <c r="D333" s="4">
        <f>VLOOKUP($B333&amp;"__wt",'SegEnds_Xtal_BW#'!$A:$Z,4,FALSE)</f>
        <v>60</v>
      </c>
      <c r="E333" s="4">
        <f>VLOOKUP($B333&amp;"__wt",'SegEnds_Xtal_BW#'!$A:$Z,5,FALSE)</f>
        <v>48</v>
      </c>
      <c r="F333" s="4">
        <f>VLOOKUP($B333&amp;"__wt",'SegEnds_Xtal_BW#'!$A:$Z,6,FALSE)</f>
        <v>51</v>
      </c>
      <c r="G333" s="4">
        <v>37</v>
      </c>
      <c r="H333" s="11">
        <v>63</v>
      </c>
      <c r="I333" s="4" t="str">
        <f>VLOOKUP($B333&amp;"__wt",'SegEnds_Xtal_BW#'!$A:$Z,9,FALSE)</f>
        <v>-</v>
      </c>
      <c r="J333" s="4" t="str">
        <f>VLOOKUP($B333&amp;"__wt",'SegEnds_Xtal_BW#'!$A:$Z,10,FALSE)</f>
        <v>-</v>
      </c>
      <c r="K333" s="11">
        <v>23</v>
      </c>
      <c r="L333" s="4">
        <f>VLOOKUP($B333&amp;"__wt",'SegEnds_Xtal_BW#'!$A:$Z,12,FALSE)</f>
        <v>56</v>
      </c>
      <c r="M333" s="4" t="str">
        <f>VLOOKUP($B333&amp;"__wt",'SegEnds_Xtal_BW#'!$A:$Z,13,FALSE)</f>
        <v>-</v>
      </c>
      <c r="N333" s="11" t="str">
        <f>VLOOKUP($B333&amp;"__wt",'SegEnds_Xtal_BW#'!$A:$Z,14,FALSE)</f>
        <v>-</v>
      </c>
      <c r="O333" s="88">
        <f>VLOOKUP($B333&amp;"__wt",'SegEnds_Xtal_BW#'!$A:$Z,15,FALSE)</f>
        <v>41</v>
      </c>
      <c r="P333" s="4">
        <f>VLOOKUP($B333&amp;"__wt",'SegEnds_Xtal_BW#'!$A:$Z,16,FALSE)</f>
        <v>67</v>
      </c>
      <c r="Q333" s="4">
        <f>VLOOKUP($B333&amp;"__wt",'SegEnds_Xtal_BW#'!$A:$Z,17,FALSE)</f>
        <v>50</v>
      </c>
      <c r="R333" s="4">
        <f>VLOOKUP($B333&amp;"__wt",'SegEnds_Xtal_BW#'!$A:$Z,18,FALSE)</f>
        <v>52</v>
      </c>
      <c r="S333" s="4">
        <v>36</v>
      </c>
      <c r="T333" s="4">
        <v>69</v>
      </c>
      <c r="U333" s="4">
        <v>29</v>
      </c>
      <c r="V333" s="4">
        <f>VLOOKUP($B333&amp;"__wt",'SegEnds_Xtal_BW#'!$A:$Z,22,FALSE)</f>
        <v>53</v>
      </c>
      <c r="W333" s="4">
        <v>31</v>
      </c>
      <c r="X333" s="4">
        <f>VLOOKUP($B333&amp;"__wt",'SegEnds_Xtal_BW#'!$A:$Z,24,FALSE)</f>
        <v>56</v>
      </c>
      <c r="Y333" s="4">
        <f>VLOOKUP($B333&amp;"__wt",'SegEnds_Xtal_BW#'!$A:$Z,25,FALSE)</f>
        <v>47</v>
      </c>
      <c r="Z333" s="4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4">
        <f>VLOOKUP(A333,'SegEnds_NonXtal_Prot#'!A:AL,10,FALSE)-VLOOKUP(A333,'SegEnds_NonXtal_Prot#'!A:AL,7,FALSE)</f>
        <v>15</v>
      </c>
      <c r="AD333" s="4" t="e">
        <f>VLOOKUP(A333,'SegEnds_NonXtal_Prot#'!A:AL,13,FALSE)-VLOOKUP(A333,'SegEnds_NonXtal_Prot#'!A:AL,10,FALSE)</f>
        <v>#VALUE!</v>
      </c>
      <c r="AE333" s="4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4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4">
        <f>VLOOKUP(A333,'SegEnds_NonXtal_Prot#'!A:AL,31,FALSE)-VLOOKUP(A333,'SegEnds_NonXtal_Prot#'!A:AL,28,FALSE)</f>
        <v>48</v>
      </c>
      <c r="AJ333" s="4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420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28</v>
      </c>
      <c r="AC334" s="1">
        <f>VLOOKUP(A334,'SegEnds_NonXtal_Prot#'!A:AL,10,FALSE)-VLOOKUP(A334,'SegEnds_NonXtal_Prot#'!A:AL,7,FALSE)</f>
        <v>15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45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19</v>
      </c>
      <c r="AH334" s="1">
        <f>VLOOKUP(A334,'SegEnds_NonXtal_Prot#'!A:AL,28,FALSE)-VLOOKUP(A334,'SegEnds_NonXtal_Prot#'!A:AL,22,FALSE)</f>
        <v>43</v>
      </c>
      <c r="AI334" s="1">
        <f>VLOOKUP(A334,'SegEnds_NonXtal_Prot#'!A:AL,31,FALSE)-VLOOKUP(A334,'SegEnds_NonXtal_Prot#'!A:AL,28,FALSE)</f>
        <v>47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442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26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47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20</v>
      </c>
      <c r="AH335" s="1">
        <f>VLOOKUP(A335,'SegEnds_NonXtal_Prot#'!A:AL,28,FALSE)-VLOOKUP(A335,'SegEnds_NonXtal_Prot#'!A:AL,22,FALSE)</f>
        <v>54</v>
      </c>
      <c r="AI335" s="1">
        <f>VLOOKUP(A335,'SegEnds_NonXtal_Prot#'!A:AL,31,FALSE)-VLOOKUP(A335,'SegEnds_NonXtal_Prot#'!A:AL,28,FALSE)</f>
        <v>49</v>
      </c>
      <c r="AJ335" s="1">
        <f>VLOOKUP(A335,'SegEnds_NonXtal_Prot#'!A:AL,34,FALSE)-VLOOKUP(A335,'SegEnds_NonXtal_Prot#'!A:AL,31,FALSE)</f>
        <v>28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1179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83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1180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29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45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19</v>
      </c>
      <c r="AH337" s="1">
        <f>VLOOKUP(A337,'SegEnds_NonXtal_Prot#'!A:AL,28,FALSE)-VLOOKUP(A337,'SegEnds_NonXtal_Prot#'!A:AL,22,FALSE)</f>
        <v>44</v>
      </c>
      <c r="AI337" s="1">
        <f>VLOOKUP(A337,'SegEnds_NonXtal_Prot#'!A:AL,31,FALSE)-VLOOKUP(A337,'SegEnds_NonXtal_Prot#'!A:AL,28,FALSE)</f>
        <v>83</v>
      </c>
      <c r="AJ337" s="1">
        <f>VLOOKUP(A337,'SegEnds_NonXtal_Prot#'!A:AL,34,FALSE)-VLOOKUP(A337,'SegEnds_NonXtal_Prot#'!A:AL,31,FALSE)</f>
        <v>29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1187</v>
      </c>
      <c r="B338" s="1" t="str">
        <f>VLOOKUP(A338,Xtal_Templ!A:B,2,FALSE)</f>
        <v>pth1r_human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37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54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51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21</v>
      </c>
      <c r="AH338" s="1">
        <f>VLOOKUP(A338,'SegEnds_NonXtal_Prot#'!A:AL,28,FALSE)-VLOOKUP(A338,'SegEnds_NonXtal_Prot#'!A:AL,22,FALSE)</f>
        <v>47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1189</v>
      </c>
      <c r="B339" s="1" t="str">
        <f>VLOOKUP(A339,Xtal_Templ!A:B,2,FALSE)</f>
        <v>calrl_human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41</v>
      </c>
      <c r="P339" s="1">
        <f>VLOOKUP($B339&amp;"__wt",'SegEnds_Xtal_BW#'!$A:$Z,16,FALSE)</f>
        <v>67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50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19</v>
      </c>
      <c r="AH339" s="1">
        <f>VLOOKUP(A339,'SegEnds_NonXtal_Prot#'!A:AL,28,FALSE)-VLOOKUP(A339,'SegEnds_NonXtal_Prot#'!A:AL,22,FALSE)</f>
        <v>45</v>
      </c>
      <c r="AI339" s="1">
        <f>VLOOKUP(A339,'SegEnds_NonXtal_Prot#'!A:AL,31,FALSE)-VLOOKUP(A339,'SegEnds_NonXtal_Prot#'!A:AL,28,FALSE)</f>
        <v>52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1190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 t="e">
        <f>VLOOKUP(A340,'SegEnds_NonXtal_Prot#'!A:AL,10,FALSE)-VLOOKUP(A340,'SegEnds_NonXtal_Prot#'!A:AL,7,FALSE)</f>
        <v>#VALUE!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51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51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1191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31</v>
      </c>
      <c r="AC341" s="1">
        <f>VLOOKUP(A341,'SegEnds_NonXtal_Prot#'!A:AL,10,FALSE)-VLOOKUP(A341,'SegEnds_NonXtal_Prot#'!A:AL,7,FALSE)</f>
        <v>17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53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20</v>
      </c>
      <c r="AH341" s="1">
        <f>VLOOKUP(A341,'SegEnds_NonXtal_Prot#'!A:AL,28,FALSE)-VLOOKUP(A341,'SegEnds_NonXtal_Prot#'!A:AL,22,FALSE)</f>
        <v>46</v>
      </c>
      <c r="AI341" s="1">
        <f>VLOOKUP(A341,'SegEnds_NonXtal_Prot#'!A:AL,31,FALSE)-VLOOKUP(A341,'SegEnds_NonXtal_Prot#'!A:AL,28,FALSE)</f>
        <v>52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1" t="s">
        <v>414</v>
      </c>
      <c r="B342" s="1" t="str">
        <f>VLOOKUP(A342,Xtal_Templ!A:B,2,FALSE)</f>
        <v>crfr1_human</v>
      </c>
      <c r="C342" s="5">
        <v>23</v>
      </c>
      <c r="D342" s="1">
        <f>VLOOKUP($B342&amp;"__wt",'SegEnds_Xtal_BW#'!$A:$Z,4,FALSE)</f>
        <v>60</v>
      </c>
      <c r="E342" s="1">
        <f>VLOOKUP($B342&amp;"__wt",'SegEnds_Xtal_BW#'!$A:$Z,5,FALSE)</f>
        <v>48</v>
      </c>
      <c r="F342" s="1">
        <f>VLOOKUP($B342&amp;"__wt",'SegEnds_Xtal_BW#'!$A:$Z,6,FALSE)</f>
        <v>51</v>
      </c>
      <c r="G342" s="1">
        <v>37</v>
      </c>
      <c r="H342" s="12">
        <v>63</v>
      </c>
      <c r="I342" s="1" t="str">
        <f>VLOOKUP($B342&amp;"__wt",'SegEnds_Xtal_BW#'!$A:$Z,9,FALSE)</f>
        <v>-</v>
      </c>
      <c r="J342" s="1" t="str">
        <f>VLOOKUP($B342&amp;"__wt",'SegEnds_Xtal_BW#'!$A:$Z,10,FALSE)</f>
        <v>-</v>
      </c>
      <c r="K342" s="12">
        <v>23</v>
      </c>
      <c r="L342" s="1">
        <f>VLOOKUP($B342&amp;"__wt",'SegEnds_Xtal_BW#'!$A:$Z,12,FALSE)</f>
        <v>56</v>
      </c>
      <c r="M342" s="1" t="str">
        <f>VLOOKUP($B342&amp;"__wt",'SegEnds_Xtal_BW#'!$A:$Z,13,FALSE)</f>
        <v>-</v>
      </c>
      <c r="N342" s="12" t="str">
        <f>VLOOKUP($B342&amp;"__wt",'SegEnds_Xtal_BW#'!$A:$Z,14,FALSE)</f>
        <v>-</v>
      </c>
      <c r="O342" s="87">
        <f>VLOOKUP($B342&amp;"__wt",'SegEnds_Xtal_BW#'!$A:$Z,15,FALSE)</f>
        <v>40</v>
      </c>
      <c r="P342" s="1">
        <f>VLOOKUP($B342&amp;"__wt",'SegEnds_Xtal_BW#'!$A:$Z,16,FALSE)</f>
        <v>68</v>
      </c>
      <c r="Q342" s="1">
        <f>VLOOKUP($B342&amp;"__wt",'SegEnds_Xtal_BW#'!$A:$Z,17,FALSE)</f>
        <v>50</v>
      </c>
      <c r="R342" s="1">
        <f>VLOOKUP($B342&amp;"__wt",'SegEnds_Xtal_BW#'!$A:$Z,18,FALSE)</f>
        <v>52</v>
      </c>
      <c r="S342" s="1">
        <v>36</v>
      </c>
      <c r="T342" s="1">
        <v>69</v>
      </c>
      <c r="U342" s="1">
        <v>29</v>
      </c>
      <c r="V342" s="1">
        <f>VLOOKUP($B342&amp;"__wt",'SegEnds_Xtal_BW#'!$A:$Z,22,FALSE)</f>
        <v>53</v>
      </c>
      <c r="W342" s="1">
        <v>31</v>
      </c>
      <c r="X342" s="1">
        <f>VLOOKUP($B342&amp;"__wt",'SegEnds_Xtal_BW#'!$A:$Z,24,FALSE)</f>
        <v>56</v>
      </c>
      <c r="Y342" s="1">
        <f>VLOOKUP($B342&amp;"__wt",'SegEnds_Xtal_BW#'!$A:$Z,25,FALSE)</f>
        <v>47</v>
      </c>
      <c r="Z342" s="1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29</v>
      </c>
      <c r="AC342" s="1" t="e">
        <f>VLOOKUP(A342,'SegEnds_NonXtal_Prot#'!A:AL,10,FALSE)-VLOOKUP(A342,'SegEnds_NonXtal_Prot#'!A:AL,7,FALSE)</f>
        <v>#VALUE!</v>
      </c>
      <c r="AD342" s="1" t="e">
        <f>VLOOKUP(A342,'SegEnds_NonXtal_Prot#'!A:AL,13,FALSE)-VLOOKUP(A342,'SegEnds_NonXtal_Prot#'!A:AL,10,FALSE)</f>
        <v>#VALUE!</v>
      </c>
      <c r="AE342" s="1">
        <f>VLOOKUP(A342,'SegEnds_NonXtal_Prot#'!A:AL,16,FALSE)-VLOOKUP(A342,'SegEnds_NonXtal_Prot#'!A:AL,10,FALSE)</f>
        <v>45</v>
      </c>
      <c r="AF342" s="1" t="e">
        <f>VLOOKUP(A342,'SegEnds_NonXtal_Prot#'!A:AL,22,FALSE)-VLOOKUP(A342,'SegEnds_NonXtal_Prot#'!A:AL,19,FALSE)</f>
        <v>#VALUE!</v>
      </c>
      <c r="AG342" s="1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44</v>
      </c>
      <c r="AI342" s="1">
        <f>VLOOKUP(A342,'SegEnds_NonXtal_Prot#'!A:AL,31,FALSE)-VLOOKUP(A342,'SegEnds_NonXtal_Prot#'!A:AL,28,FALSE)</f>
        <v>50</v>
      </c>
      <c r="AJ342" s="1">
        <f>VLOOKUP(A342,'SegEnds_NonXtal_Prot#'!A:AL,34,FALSE)-VLOOKUP(A342,'SegEnds_NonXtal_Prot#'!A:AL,31,FALSE)</f>
        <v>29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4" t="s">
        <v>1192</v>
      </c>
      <c r="B343" s="4" t="str">
        <f>VLOOKUP(A343,Xtal_Templ!A:B,2,FALSE)</f>
        <v>crfr1_human</v>
      </c>
      <c r="C343" s="5">
        <v>23</v>
      </c>
      <c r="D343" s="4">
        <f>VLOOKUP($B343&amp;"__wt",'SegEnds_Xtal_BW#'!$A:$Z,4,FALSE)</f>
        <v>60</v>
      </c>
      <c r="E343" s="4">
        <f>VLOOKUP($B343&amp;"__wt",'SegEnds_Xtal_BW#'!$A:$Z,5,FALSE)</f>
        <v>48</v>
      </c>
      <c r="F343" s="4">
        <f>VLOOKUP($B343&amp;"__wt",'SegEnds_Xtal_BW#'!$A:$Z,6,FALSE)</f>
        <v>51</v>
      </c>
      <c r="G343" s="4">
        <v>37</v>
      </c>
      <c r="H343" s="11">
        <v>63</v>
      </c>
      <c r="I343" s="4" t="str">
        <f>VLOOKUP($B343&amp;"__wt",'SegEnds_Xtal_BW#'!$A:$Z,9,FALSE)</f>
        <v>-</v>
      </c>
      <c r="J343" s="4" t="str">
        <f>VLOOKUP($B343&amp;"__wt",'SegEnds_Xtal_BW#'!$A:$Z,10,FALSE)</f>
        <v>-</v>
      </c>
      <c r="K343" s="11">
        <v>23</v>
      </c>
      <c r="L343" s="4">
        <f>VLOOKUP($B343&amp;"__wt",'SegEnds_Xtal_BW#'!$A:$Z,12,FALSE)</f>
        <v>56</v>
      </c>
      <c r="M343" s="4" t="str">
        <f>VLOOKUP($B343&amp;"__wt",'SegEnds_Xtal_BW#'!$A:$Z,13,FALSE)</f>
        <v>-</v>
      </c>
      <c r="N343" s="11" t="str">
        <f>VLOOKUP($B343&amp;"__wt",'SegEnds_Xtal_BW#'!$A:$Z,14,FALSE)</f>
        <v>-</v>
      </c>
      <c r="O343" s="88">
        <f>VLOOKUP($B343&amp;"__wt",'SegEnds_Xtal_BW#'!$A:$Z,15,FALSE)</f>
        <v>40</v>
      </c>
      <c r="P343" s="4">
        <f>VLOOKUP($B343&amp;"__wt",'SegEnds_Xtal_BW#'!$A:$Z,16,FALSE)</f>
        <v>68</v>
      </c>
      <c r="Q343" s="4">
        <f>VLOOKUP($B343&amp;"__wt",'SegEnds_Xtal_BW#'!$A:$Z,17,FALSE)</f>
        <v>50</v>
      </c>
      <c r="R343" s="4">
        <f>VLOOKUP($B343&amp;"__wt",'SegEnds_Xtal_BW#'!$A:$Z,18,FALSE)</f>
        <v>52</v>
      </c>
      <c r="S343" s="4">
        <v>36</v>
      </c>
      <c r="T343" s="4">
        <v>69</v>
      </c>
      <c r="U343" s="4">
        <v>29</v>
      </c>
      <c r="V343" s="4">
        <f>VLOOKUP($B343&amp;"__wt",'SegEnds_Xtal_BW#'!$A:$Z,22,FALSE)</f>
        <v>53</v>
      </c>
      <c r="W343" s="115">
        <v>28</v>
      </c>
      <c r="X343" s="4">
        <f>VLOOKUP($B343&amp;"__wt",'SegEnds_Xtal_BW#'!$A:$Z,24,FALSE)</f>
        <v>56</v>
      </c>
      <c r="Y343" s="4">
        <f>VLOOKUP($B343&amp;"__wt",'SegEnds_Xtal_BW#'!$A:$Z,25,FALSE)</f>
        <v>47</v>
      </c>
      <c r="Z343" s="4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35</v>
      </c>
      <c r="AC343" s="4">
        <f>VLOOKUP(A343,'SegEnds_NonXtal_Prot#'!A:AL,10,FALSE)-VLOOKUP(A343,'SegEnds_NonXtal_Prot#'!A:AL,7,FALSE)</f>
        <v>21</v>
      </c>
      <c r="AD343" s="4" t="e">
        <f>VLOOKUP(A343,'SegEnds_NonXtal_Prot#'!A:AL,13,FALSE)-VLOOKUP(A343,'SegEnds_NonXtal_Prot#'!A:AL,10,FALSE)</f>
        <v>#VALUE!</v>
      </c>
      <c r="AE343" s="4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4">
        <f>VLOOKUP(A343,'SegEnds_NonXtal_Prot#'!A:AL,28,FALSE)-VLOOKUP(A343,'SegEnds_NonXtal_Prot#'!A:AL,25,FALSE)</f>
        <v>19</v>
      </c>
      <c r="AH343" s="1">
        <f>VLOOKUP(A343,'SegEnds_NonXtal_Prot#'!A:AL,28,FALSE)-VLOOKUP(A343,'SegEnds_NonXtal_Prot#'!A:AL,22,FALSE)</f>
        <v>57</v>
      </c>
      <c r="AI343" s="4">
        <f>VLOOKUP(A343,'SegEnds_NonXtal_Prot#'!A:AL,31,FALSE)-VLOOKUP(A343,'SegEnds_NonXtal_Prot#'!A:AL,28,FALSE)</f>
        <v>44</v>
      </c>
      <c r="AJ343" s="4">
        <f>VLOOKUP(A343,'SegEnds_NonXtal_Prot#'!A:AL,34,FALSE)-VLOOKUP(A343,'SegEnds_NonXtal_Prot#'!A:AL,31,FALSE)</f>
        <v>30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1" t="s">
        <v>1176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7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29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1" t="e">
        <f>VLOOKUP(A344,'SegEnds_NonXtal_Prot#'!A:AL,10,FALSE)-VLOOKUP(A344,'SegEnds_NonXtal_Prot#'!A:AL,7,FALSE)</f>
        <v>#VALUE!</v>
      </c>
      <c r="AD344" s="1" t="e">
        <f>VLOOKUP(A344,'SegEnds_NonXtal_Prot#'!A:AL,13,FALSE)-VLOOKUP(A344,'SegEnds_NonXtal_Prot#'!A:AL,10,FALSE)</f>
        <v>#VALUE!</v>
      </c>
      <c r="AE344" s="1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1">
        <f>VLOOKUP(A344,'SegEnds_NonXtal_Prot#'!A:AL,28,FALSE)-VLOOKUP(A344,'SegEnds_NonXtal_Prot#'!A:AL,25,FALSE)</f>
        <v>18</v>
      </c>
      <c r="AH344" s="1">
        <f>VLOOKUP(A344,'SegEnds_NonXtal_Prot#'!A:AL,28,FALSE)-VLOOKUP(A344,'SegEnds_NonXtal_Prot#'!A:AL,22,FALSE)</f>
        <v>46</v>
      </c>
      <c r="AI344" s="1">
        <f>VLOOKUP(A344,'SegEnds_NonXtal_Prot#'!A:AL,31,FALSE)-VLOOKUP(A344,'SegEnds_NonXtal_Prot#'!A:AL,28,FALSE)</f>
        <v>86</v>
      </c>
      <c r="AJ344" s="1">
        <f>VLOOKUP(A344,'SegEnds_NonXtal_Prot#'!A:AL,34,FALSE)-VLOOKUP(A344,'SegEnds_NonXtal_Prot#'!A:AL,31,FALSE)</f>
        <v>31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4" t="s">
        <v>1177</v>
      </c>
      <c r="B345" s="4" t="str">
        <f>VLOOKUP(A345,Xtal_Templ!A:B,2,FALSE)</f>
        <v>crfr1_human</v>
      </c>
      <c r="C345" s="5">
        <v>23</v>
      </c>
      <c r="D345" s="4">
        <f>VLOOKUP($B345&amp;"__wt",'SegEnds_Xtal_BW#'!$A:$Z,4,FALSE)</f>
        <v>60</v>
      </c>
      <c r="E345" s="4">
        <f>VLOOKUP($B345&amp;"__wt",'SegEnds_Xtal_BW#'!$A:$Z,5,FALSE)</f>
        <v>48</v>
      </c>
      <c r="F345" s="4">
        <f>VLOOKUP($B345&amp;"__wt",'SegEnds_Xtal_BW#'!$A:$Z,6,FALSE)</f>
        <v>51</v>
      </c>
      <c r="G345" s="4">
        <v>37</v>
      </c>
      <c r="H345" s="11">
        <v>63</v>
      </c>
      <c r="I345" s="4" t="str">
        <f>VLOOKUP($B345&amp;"__wt",'SegEnds_Xtal_BW#'!$A:$Z,9,FALSE)</f>
        <v>-</v>
      </c>
      <c r="J345" s="4" t="str">
        <f>VLOOKUP($B345&amp;"__wt",'SegEnds_Xtal_BW#'!$A:$Z,10,FALSE)</f>
        <v>-</v>
      </c>
      <c r="K345" s="11">
        <v>23</v>
      </c>
      <c r="L345" s="4">
        <f>VLOOKUP($B345&amp;"__wt",'SegEnds_Xtal_BW#'!$A:$Z,12,FALSE)</f>
        <v>56</v>
      </c>
      <c r="M345" s="4" t="str">
        <f>VLOOKUP($B345&amp;"__wt",'SegEnds_Xtal_BW#'!$A:$Z,13,FALSE)</f>
        <v>-</v>
      </c>
      <c r="N345" s="11" t="str">
        <f>VLOOKUP($B345&amp;"__wt",'SegEnds_Xtal_BW#'!$A:$Z,14,FALSE)</f>
        <v>-</v>
      </c>
      <c r="O345" s="88">
        <f>VLOOKUP($B345&amp;"__wt",'SegEnds_Xtal_BW#'!$A:$Z,15,FALSE)</f>
        <v>40</v>
      </c>
      <c r="P345" s="4">
        <f>VLOOKUP($B345&amp;"__wt",'SegEnds_Xtal_BW#'!$A:$Z,16,FALSE)</f>
        <v>68</v>
      </c>
      <c r="Q345" s="4">
        <f>VLOOKUP($B345&amp;"__wt",'SegEnds_Xtal_BW#'!$A:$Z,17,FALSE)</f>
        <v>50</v>
      </c>
      <c r="R345" s="4">
        <f>VLOOKUP($B345&amp;"__wt",'SegEnds_Xtal_BW#'!$A:$Z,18,FALSE)</f>
        <v>52</v>
      </c>
      <c r="S345" s="4">
        <v>36</v>
      </c>
      <c r="T345" s="4">
        <v>69</v>
      </c>
      <c r="U345" s="4">
        <v>29</v>
      </c>
      <c r="V345" s="4">
        <f>VLOOKUP($B345&amp;"__wt",'SegEnds_Xtal_BW#'!$A:$Z,22,FALSE)</f>
        <v>53</v>
      </c>
      <c r="W345" s="4">
        <v>29</v>
      </c>
      <c r="X345" s="4">
        <f>VLOOKUP($B345&amp;"__wt",'SegEnds_Xtal_BW#'!$A:$Z,24,FALSE)</f>
        <v>56</v>
      </c>
      <c r="Y345" s="4">
        <f>VLOOKUP($B345&amp;"__wt",'SegEnds_Xtal_BW#'!$A:$Z,25,FALSE)</f>
        <v>47</v>
      </c>
      <c r="Z345" s="4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4" t="e">
        <f>VLOOKUP(A345,'SegEnds_NonXtal_Prot#'!A:AL,10,FALSE)-VLOOKUP(A345,'SegEnds_NonXtal_Prot#'!A:AL,7,FALSE)</f>
        <v>#VALUE!</v>
      </c>
      <c r="AD345" s="4" t="e">
        <f>VLOOKUP(A345,'SegEnds_NonXtal_Prot#'!A:AL,13,FALSE)-VLOOKUP(A345,'SegEnds_NonXtal_Prot#'!A:AL,10,FALSE)</f>
        <v>#VALUE!</v>
      </c>
      <c r="AE345" s="4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4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43</v>
      </c>
      <c r="AI345" s="4">
        <f>VLOOKUP(A345,'SegEnds_NonXtal_Prot#'!A:AL,31,FALSE)-VLOOKUP(A345,'SegEnds_NonXtal_Prot#'!A:AL,28,FALSE)</f>
        <v>100</v>
      </c>
      <c r="AJ345" s="4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1178</v>
      </c>
      <c r="B346" s="1" t="str">
        <f>VLOOKUP(A346,Xtal_Templ!A:B,2,FALSE)</f>
        <v>crfr1_human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63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23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40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53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26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47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18</v>
      </c>
      <c r="AH346" s="1">
        <f>VLOOKUP(A346,'SegEnds_NonXtal_Prot#'!A:AL,28,FALSE)-VLOOKUP(A346,'SegEnds_NonXtal_Prot#'!A:AL,22,FALSE)</f>
        <v>45</v>
      </c>
      <c r="AI346" s="1">
        <f>VLOOKUP(A346,'SegEnds_NonXtal_Prot#'!A:AL,31,FALSE)-VLOOKUP(A346,'SegEnds_NonXtal_Prot#'!A:AL,28,FALSE)</f>
        <v>85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1197</v>
      </c>
      <c r="B347" s="1" t="str">
        <f>VLOOKUP(A347,Xtal_Templ!A:B,2,FALSE)</f>
        <v>pth1r_human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65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18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37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54</v>
      </c>
      <c r="W347" s="1">
        <v>29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29</v>
      </c>
      <c r="AC347" s="1" t="e">
        <f>VLOOKUP(A347,'SegEnds_NonXtal_Prot#'!A:AL,10,FALSE)-VLOOKUP(A347,'SegEnds_NonXtal_Prot#'!A:AL,7,FALSE)</f>
        <v>#VALUE!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73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26</v>
      </c>
      <c r="AH347" s="1">
        <f>VLOOKUP(A347,'SegEnds_NonXtal_Prot#'!A:AL,28,FALSE)-VLOOKUP(A347,'SegEnds_NonXtal_Prot#'!A:AL,22,FALSE)</f>
        <v>60</v>
      </c>
      <c r="AI347" s="1">
        <f>VLOOKUP(A347,'SegEnds_NonXtal_Prot#'!A:AL,31,FALSE)-VLOOKUP(A347,'SegEnds_NonXtal_Prot#'!A:AL,28,FALSE)</f>
        <v>51</v>
      </c>
      <c r="AJ347" s="1">
        <f>VLOOKUP(A347,'SegEnds_NonXtal_Prot#'!A:AL,34,FALSE)-VLOOKUP(A347,'SegEnds_NonXtal_Prot#'!A:AL,31,FALSE)</f>
        <v>31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x14ac:dyDescent="0.2">
      <c r="A348" s="1" t="s">
        <v>1186</v>
      </c>
      <c r="B348" s="1" t="str">
        <f>VLOOKUP(A348,Xtal_Templ!A:B,2,FALSE)</f>
        <v>calcr_human</v>
      </c>
      <c r="C348" s="5">
        <v>23</v>
      </c>
      <c r="D348" s="1">
        <f>VLOOKUP($B348&amp;"__wt",'SegEnds_Xtal_BW#'!$A:$Z,4,FALSE)</f>
        <v>60</v>
      </c>
      <c r="E348" s="1">
        <f>VLOOKUP($B348&amp;"__wt",'SegEnds_Xtal_BW#'!$A:$Z,5,FALSE)</f>
        <v>48</v>
      </c>
      <c r="F348" s="1">
        <f>VLOOKUP($B348&amp;"__wt",'SegEnds_Xtal_BW#'!$A:$Z,6,FALSE)</f>
        <v>51</v>
      </c>
      <c r="G348" s="1">
        <v>37</v>
      </c>
      <c r="H348" s="12">
        <v>63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v>23</v>
      </c>
      <c r="L348" s="1">
        <f>VLOOKUP($B348&amp;"__wt",'SegEnds_Xtal_BW#'!$A:$Z,12,FALSE)</f>
        <v>56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7">
        <f>VLOOKUP($B348&amp;"__wt",'SegEnds_Xtal_BW#'!$A:$Z,15,FALSE)</f>
        <v>41</v>
      </c>
      <c r="P348" s="1">
        <f>VLOOKUP($B348&amp;"__wt",'SegEnds_Xtal_BW#'!$A:$Z,16,FALSE)</f>
        <v>68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v>36</v>
      </c>
      <c r="T348" s="1">
        <v>69</v>
      </c>
      <c r="U348" s="1">
        <v>29</v>
      </c>
      <c r="V348" s="1">
        <f>VLOOKUP($B348&amp;"__wt",'SegEnds_Xtal_BW#'!$A:$Z,22,FALSE)</f>
        <v>53</v>
      </c>
      <c r="W348" s="1">
        <v>28</v>
      </c>
      <c r="X348" s="1">
        <f>VLOOKUP($B348&amp;"__wt",'SegEnds_Xtal_BW#'!$A:$Z,24,FALSE)</f>
        <v>56</v>
      </c>
      <c r="Y348" s="1">
        <f>VLOOKUP($B348&amp;"__wt",'SegEnds_Xtal_BW#'!$A:$Z,25,FALSE)</f>
        <v>47</v>
      </c>
      <c r="Z348" s="1">
        <v>63</v>
      </c>
      <c r="AA348" s="27" t="str">
        <f>VLOOKUP(A348,Classification!A:B,2,FALSE)</f>
        <v>B2</v>
      </c>
      <c r="AB348" s="1">
        <f>VLOOKUP(A348,'SegEnds_NonXtal_Prot#'!A:AL,10,FALSE)-VLOOKUP(A348,'SegEnds_NonXtal_Prot#'!A:AL,4,FALSE)</f>
        <v>28</v>
      </c>
      <c r="AC348" s="1">
        <f>VLOOKUP(A348,'SegEnds_NonXtal_Prot#'!A:AL,10,FALSE)-VLOOKUP(A348,'SegEnds_NonXtal_Prot#'!A:AL,7,FALSE)</f>
        <v>15</v>
      </c>
      <c r="AD348" s="1" t="e">
        <f>VLOOKUP(A348,'SegEnds_NonXtal_Prot#'!A:AL,13,FALSE)-VLOOKUP(A348,'SegEnds_NonXtal_Prot#'!A:AL,10,FALSE)</f>
        <v>#VALUE!</v>
      </c>
      <c r="AE348" s="1">
        <f>VLOOKUP(A348,'SegEnds_NonXtal_Prot#'!A:AL,16,FALSE)-VLOOKUP(A348,'SegEnds_NonXtal_Prot#'!A:AL,10,FALSE)</f>
        <v>45</v>
      </c>
      <c r="AF348" s="1" t="e">
        <f>VLOOKUP(A348,'SegEnds_NonXtal_Prot#'!A:AL,22,FALSE)-VLOOKUP(A348,'SegEnds_NonXtal_Prot#'!A:AL,19,FALSE)</f>
        <v>#VALUE!</v>
      </c>
      <c r="AG348" s="1">
        <f>VLOOKUP(A348,'SegEnds_NonXtal_Prot#'!A:AL,28,FALSE)-VLOOKUP(A348,'SegEnds_NonXtal_Prot#'!A:AL,25,FALSE)</f>
        <v>19</v>
      </c>
      <c r="AH348" s="1">
        <f>VLOOKUP(A348,'SegEnds_NonXtal_Prot#'!A:AL,28,FALSE)-VLOOKUP(A348,'SegEnds_NonXtal_Prot#'!A:AL,22,FALSE)</f>
        <v>42</v>
      </c>
      <c r="AI348" s="1">
        <f>VLOOKUP(A348,'SegEnds_NonXtal_Prot#'!A:AL,31,FALSE)-VLOOKUP(A348,'SegEnds_NonXtal_Prot#'!A:AL,28,FALSE)</f>
        <v>52</v>
      </c>
      <c r="AJ348" s="1">
        <f>VLOOKUP(A348,'SegEnds_NonXtal_Prot#'!A:AL,34,FALSE)-VLOOKUP(A348,'SegEnds_NonXtal_Prot#'!A:AL,31,FALSE)</f>
        <v>32</v>
      </c>
      <c r="AK348" s="1">
        <f>VLOOKUP(A348,'SegEnds_NonXtal_Prot#'!A:AL,37,FALSE)-VLOOKUP(A348,'SegEnds_NonXtal_Prot#'!A:AL,34,FALSE)</f>
        <v>10</v>
      </c>
      <c r="AL348" s="1" t="str">
        <f>IF(ISERROR(MATCH(A348,'SegEnds_Xtal_Prot#'!B:B, 0)), "NoXtal", "Xtal")</f>
        <v>NoXtal</v>
      </c>
    </row>
    <row r="349" spans="1:38" s="42" customFormat="1" x14ac:dyDescent="0.2">
      <c r="A349" s="42" t="s">
        <v>40</v>
      </c>
      <c r="B349" s="42" t="str">
        <f>VLOOKUP(A349,Xtal_Templ!A:B,2,FALSE)</f>
        <v>grm1_human</v>
      </c>
      <c r="C349" s="43">
        <f>VLOOKUP($B349&amp;"__wt",'SegEnds_Xtal_BW#'!$A:$Z,3,FALSE)</f>
        <v>34</v>
      </c>
      <c r="D349" s="42">
        <f>VLOOKUP($B349&amp;"__wt",'SegEnds_Xtal_BW#'!$A:$Z,4,FALSE)</f>
        <v>60</v>
      </c>
      <c r="E349" s="42">
        <f>VLOOKUP($B349&amp;"__wt",'SegEnds_Xtal_BW#'!$A:$Z,5,FALSE)</f>
        <v>47</v>
      </c>
      <c r="F349" s="42">
        <f>VLOOKUP($B349&amp;"__wt",'SegEnds_Xtal_BW#'!$A:$Z,6,FALSE)</f>
        <v>53</v>
      </c>
      <c r="G349" s="42">
        <v>39</v>
      </c>
      <c r="H349" s="101">
        <f>VLOOKUP($B349&amp;"__wt",'SegEnds_Xtal_BW#'!$A:$Z,8,FALSE)</f>
        <v>61</v>
      </c>
      <c r="I349" s="42" t="str">
        <f>VLOOKUP($B349&amp;"__wt",'SegEnds_Xtal_BW#'!$A:$Z,9,FALSE)</f>
        <v>-</v>
      </c>
      <c r="J349" s="42" t="str">
        <f>VLOOKUP($B349&amp;"__wt",'SegEnds_Xtal_BW#'!$A:$Z,10,FALSE)</f>
        <v>-</v>
      </c>
      <c r="K349" s="101">
        <f>VLOOKUP($B349&amp;"__wt",'SegEnds_Xtal_BW#'!$A:$Z,11,FALSE)</f>
        <v>22</v>
      </c>
      <c r="L349" s="42">
        <f>VLOOKUP($B349&amp;"__wt",'SegEnds_Xtal_BW#'!$A:$Z,12,FALSE)</f>
        <v>54</v>
      </c>
      <c r="M349" s="42" t="str">
        <f>VLOOKUP($B349&amp;"__wt",'SegEnds_Xtal_BW#'!$A:$Z,13,FALSE)</f>
        <v>-</v>
      </c>
      <c r="N349" s="101" t="str">
        <f>VLOOKUP($B349&amp;"__wt",'SegEnds_Xtal_BW#'!$A:$Z,14,FALSE)</f>
        <v>-</v>
      </c>
      <c r="O349" s="89">
        <f>VLOOKUP($B349&amp;"__wt",'SegEnds_Xtal_BW#'!$A:$Z,15,FALSE)</f>
        <v>38</v>
      </c>
      <c r="P349" s="42">
        <f>VLOOKUP($B349&amp;"__wt",'SegEnds_Xtal_BW#'!$A:$Z,16,FALSE)</f>
        <v>64</v>
      </c>
      <c r="Q349" s="42">
        <f>VLOOKUP($B349&amp;"__wt",'SegEnds_Xtal_BW#'!$A:$Z,17,FALSE)</f>
        <v>50</v>
      </c>
      <c r="R349" s="42">
        <f>VLOOKUP($B349&amp;"__wt",'SegEnds_Xtal_BW#'!$A:$Z,18,FALSE)</f>
        <v>52</v>
      </c>
      <c r="S349" s="42">
        <f>VLOOKUP($B349&amp;"__wt",'SegEnds_Xtal_BW#'!$A:$Z,19,FALSE)</f>
        <v>36</v>
      </c>
      <c r="T349" s="42">
        <f>VLOOKUP($B349&amp;"__wt",'SegEnds_Xtal_BW#'!$A:$Z,20,FALSE)</f>
        <v>61</v>
      </c>
      <c r="U349" s="42">
        <f>VLOOKUP($B349&amp;"__wt",'SegEnds_Xtal_BW#'!$A:$Z,21,FALSE)</f>
        <v>33</v>
      </c>
      <c r="V349" s="42">
        <f>VLOOKUP($B349&amp;"__wt",'SegEnds_Xtal_BW#'!$A:$Z,22,FALSE)</f>
        <v>57</v>
      </c>
      <c r="W349" s="42">
        <f>VLOOKUP($B349&amp;"__wt",'SegEnds_Xtal_BW#'!$A:$Z,23,FALSE)</f>
        <v>33</v>
      </c>
      <c r="X349" s="42">
        <f>VLOOKUP($B349&amp;"__wt",'SegEnds_Xtal_BW#'!$A:$Z,24,FALSE)</f>
        <v>64</v>
      </c>
      <c r="Y349" s="42">
        <f>VLOOKUP($B349&amp;"__wt",'SegEnds_Xtal_BW#'!$A:$Z,25,FALSE)</f>
        <v>46</v>
      </c>
      <c r="Z349" s="42">
        <f>VLOOKUP($B349&amp;"__wt",'SegEnds_Xtal_BW#'!$A:$Z,26,FALSE)</f>
        <v>57</v>
      </c>
      <c r="AA349" s="44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42">
        <f>VLOOKUP(A349,'SegEnds_NonXtal_Prot#'!A:AL,10,FALSE)-VLOOKUP(A349,'SegEnds_NonXtal_Prot#'!A:AL,7,FALSE)</f>
        <v>15</v>
      </c>
      <c r="AD349" s="42" t="e">
        <f>VLOOKUP(A349,'SegEnds_NonXtal_Prot#'!A:AL,13,FALSE)-VLOOKUP(A349,'SegEnds_NonXtal_Prot#'!A:AL,10,FALSE)</f>
        <v>#VALUE!</v>
      </c>
      <c r="AE349" s="42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42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49</v>
      </c>
      <c r="AI349" s="42">
        <f>VLOOKUP(A349,'SegEnds_NonXtal_Prot#'!A:AL,31,FALSE)-VLOOKUP(A349,'SegEnds_NonXtal_Prot#'!A:AL,28,FALSE)</f>
        <v>37</v>
      </c>
      <c r="AJ349" s="42">
        <f>VLOOKUP(A349,'SegEnds_NonXtal_Prot#'!A:AL,34,FALSE)-VLOOKUP(A349,'SegEnds_NonXtal_Prot#'!A:AL,31,FALSE)</f>
        <v>27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Xtal</v>
      </c>
    </row>
    <row r="350" spans="1:38" x14ac:dyDescent="0.2">
      <c r="A350" s="1" t="s">
        <v>41</v>
      </c>
      <c r="B350" s="1" t="str">
        <f>VLOOKUP(A350,Xtal_Templ!A:B,2,FALSE)</f>
        <v>grm5_human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21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7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36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33</v>
      </c>
      <c r="X350" s="1">
        <f>VLOOKUP($B350&amp;"__wt",'SegEnds_Xtal_BW#'!$A:$Z,24,FALSE)</f>
        <v>64</v>
      </c>
      <c r="Y350" s="1">
        <f>VLOOKUP($B350&amp;"__wt",'SegEnds_Xtal_BW#'!$A:$Z,25,FALSE)</f>
        <v>46</v>
      </c>
      <c r="Z350" s="1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1">
        <f>VLOOKUP(A350,'SegEnds_NonXtal_Prot#'!A:AL,10,FALSE)-VLOOKUP(A350,'SegEnds_NonXtal_Prot#'!A:AL,7,FALSE)</f>
        <v>15</v>
      </c>
      <c r="AD350" s="1" t="e">
        <f>VLOOKUP(A350,'SegEnds_NonXtal_Prot#'!A:AL,13,FALSE)-VLOOKUP(A350,'SegEnds_NonXtal_Prot#'!A:AL,10,FALSE)</f>
        <v>#VALUE!</v>
      </c>
      <c r="AE350" s="1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1">
        <f>VLOOKUP(A350,'SegEnds_NonXtal_Prot#'!A:AL,28,FALSE)-VLOOKUP(A350,'SegEnds_NonXtal_Prot#'!A:AL,25,FALSE)</f>
        <v>17</v>
      </c>
      <c r="AH350" s="1">
        <f>VLOOKUP(A350,'SegEnds_NonXtal_Prot#'!A:AL,28,FALSE)-VLOOKUP(A350,'SegEnds_NonXtal_Prot#'!A:AL,22,FALSE)</f>
        <v>49</v>
      </c>
      <c r="AI350" s="1">
        <f>VLOOKUP(A350,'SegEnds_NonXtal_Prot#'!A:AL,31,FALSE)-VLOOKUP(A350,'SegEnds_NonXtal_Prot#'!A:AL,28,FALSE)</f>
        <v>37</v>
      </c>
      <c r="AJ350" s="1">
        <f>VLOOKUP(A350,'SegEnds_NonXtal_Prot#'!A:AL,34,FALSE)-VLOOKUP(A350,'SegEnds_NonXtal_Prot#'!A:AL,31,FALSE)</f>
        <v>27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Xtal</v>
      </c>
    </row>
    <row r="351" spans="1:38" x14ac:dyDescent="0.2">
      <c r="A351" s="4" t="s">
        <v>105</v>
      </c>
      <c r="B351" s="4" t="str">
        <f>VLOOKUP(A351,Xtal_Templ!A:B,2,FALSE)</f>
        <v>grm5_human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21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31</v>
      </c>
      <c r="AC351" s="4">
        <f>VLOOKUP(A351,'SegEnds_NonXtal_Prot#'!A:AL,10,FALSE)-VLOOKUP(A351,'SegEnds_NonXtal_Prot#'!A:AL,7,FALSE)</f>
        <v>15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18</v>
      </c>
      <c r="AH351" s="1">
        <f>VLOOKUP(A351,'SegEnds_NonXtal_Prot#'!A:AL,28,FALSE)-VLOOKUP(A351,'SegEnds_NonXtal_Prot#'!A:AL,22,FALSE)</f>
        <v>51</v>
      </c>
      <c r="AI351" s="4">
        <f>VLOOKUP(A351,'SegEnds_NonXtal_Prot#'!A:AL,31,FALSE)-VLOOKUP(A351,'SegEnds_NonXtal_Prot#'!A:AL,28,FALSE)</f>
        <v>37</v>
      </c>
      <c r="AJ351" s="4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4" t="s">
        <v>114</v>
      </c>
      <c r="B352" s="4" t="str">
        <f>VLOOKUP(A352,Xtal_Templ!A:B,2,FALSE)</f>
        <v>grm1_human</v>
      </c>
      <c r="C352" s="5">
        <f>VLOOKUP($B352&amp;"__wt",'SegEnds_Xtal_BW#'!$A:$Z,3,FALSE)</f>
        <v>34</v>
      </c>
      <c r="D352" s="4">
        <f>VLOOKUP($B352&amp;"__wt",'SegEnds_Xtal_BW#'!$A:$Z,4,FALSE)</f>
        <v>60</v>
      </c>
      <c r="E352" s="4">
        <f>VLOOKUP($B352&amp;"__wt",'SegEnds_Xtal_BW#'!$A:$Z,5,FALSE)</f>
        <v>47</v>
      </c>
      <c r="F352" s="4">
        <f>VLOOKUP($B352&amp;"__wt",'SegEnds_Xtal_BW#'!$A:$Z,6,FALSE)</f>
        <v>53</v>
      </c>
      <c r="G352" s="4">
        <v>39</v>
      </c>
      <c r="H352" s="11">
        <f>VLOOKUP($B352&amp;"__wt",'SegEnds_Xtal_BW#'!$A:$Z,8,FALSE)</f>
        <v>61</v>
      </c>
      <c r="I352" s="4" t="str">
        <f>VLOOKUP($B352&amp;"__wt",'SegEnds_Xtal_BW#'!$A:$Z,9,FALSE)</f>
        <v>-</v>
      </c>
      <c r="J352" s="4" t="str">
        <f>VLOOKUP($B352&amp;"__wt",'SegEnds_Xtal_BW#'!$A:$Z,10,FALSE)</f>
        <v>-</v>
      </c>
      <c r="K352" s="11">
        <f>VLOOKUP($B352&amp;"__wt",'SegEnds_Xtal_BW#'!$A:$Z,11,FALSE)</f>
        <v>22</v>
      </c>
      <c r="L352" s="4">
        <f>VLOOKUP($B352&amp;"__wt",'SegEnds_Xtal_BW#'!$A:$Z,12,FALSE)</f>
        <v>54</v>
      </c>
      <c r="M352" s="4" t="str">
        <f>VLOOKUP($B352&amp;"__wt",'SegEnds_Xtal_BW#'!$A:$Z,13,FALSE)</f>
        <v>-</v>
      </c>
      <c r="N352" s="11" t="str">
        <f>VLOOKUP($B352&amp;"__wt",'SegEnds_Xtal_BW#'!$A:$Z,14,FALSE)</f>
        <v>-</v>
      </c>
      <c r="O352" s="88">
        <f>VLOOKUP($B352&amp;"__wt",'SegEnds_Xtal_BW#'!$A:$Z,15,FALSE)</f>
        <v>38</v>
      </c>
      <c r="P352" s="4">
        <f>VLOOKUP($B352&amp;"__wt",'SegEnds_Xtal_BW#'!$A:$Z,16,FALSE)</f>
        <v>64</v>
      </c>
      <c r="Q352" s="4">
        <f>VLOOKUP($B352&amp;"__wt",'SegEnds_Xtal_BW#'!$A:$Z,17,FALSE)</f>
        <v>50</v>
      </c>
      <c r="R352" s="4">
        <f>VLOOKUP($B352&amp;"__wt",'SegEnds_Xtal_BW#'!$A:$Z,18,FALSE)</f>
        <v>52</v>
      </c>
      <c r="S352" s="4">
        <f>VLOOKUP($B352&amp;"__wt",'SegEnds_Xtal_BW#'!$A:$Z,19,FALSE)</f>
        <v>36</v>
      </c>
      <c r="T352" s="4">
        <f>VLOOKUP($B352&amp;"__wt",'SegEnds_Xtal_BW#'!$A:$Z,20,FALSE)</f>
        <v>61</v>
      </c>
      <c r="U352" s="4">
        <f>VLOOKUP($B352&amp;"__wt",'SegEnds_Xtal_BW#'!$A:$Z,21,FALSE)</f>
        <v>33</v>
      </c>
      <c r="V352" s="4">
        <f>VLOOKUP($B352&amp;"__wt",'SegEnds_Xtal_BW#'!$A:$Z,22,FALSE)</f>
        <v>57</v>
      </c>
      <c r="W352" s="4">
        <f>VLOOKUP($B352&amp;"__wt",'SegEnds_Xtal_BW#'!$A:$Z,23,FALSE)</f>
        <v>33</v>
      </c>
      <c r="X352" s="4">
        <f>VLOOKUP($B352&amp;"__wt",'SegEnds_Xtal_BW#'!$A:$Z,24,FALSE)</f>
        <v>64</v>
      </c>
      <c r="Y352" s="4">
        <f>VLOOKUP($B352&amp;"__wt",'SegEnds_Xtal_BW#'!$A:$Z,25,FALSE)</f>
        <v>46</v>
      </c>
      <c r="Z352" s="4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32</v>
      </c>
      <c r="AC352" s="4">
        <f>VLOOKUP(A352,'SegEnds_NonXtal_Prot#'!A:AL,10,FALSE)-VLOOKUP(A352,'SegEnds_NonXtal_Prot#'!A:AL,7,FALSE)</f>
        <v>16</v>
      </c>
      <c r="AD352" s="4" t="e">
        <f>VLOOKUP(A352,'SegEnds_NonXtal_Prot#'!A:AL,13,FALSE)-VLOOKUP(A352,'SegEnds_NonXtal_Prot#'!A:AL,10,FALSE)</f>
        <v>#VALUE!</v>
      </c>
      <c r="AE352" s="4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4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50</v>
      </c>
      <c r="AI352" s="4">
        <f>VLOOKUP(A352,'SegEnds_NonXtal_Prot#'!A:AL,31,FALSE)-VLOOKUP(A352,'SegEnds_NonXtal_Prot#'!A:AL,28,FALSE)</f>
        <v>35</v>
      </c>
      <c r="AJ352" s="4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122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51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123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52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124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44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18</v>
      </c>
      <c r="AH355" s="1">
        <f>VLOOKUP(A355,'SegEnds_NonXtal_Prot#'!A:AL,28,FALSE)-VLOOKUP(A355,'SegEnds_NonXtal_Prot#'!A:AL,22,FALSE)</f>
        <v>51</v>
      </c>
      <c r="AI355" s="1">
        <f>VLOOKUP(A355,'SegEnds_NonXtal_Prot#'!A:AL,31,FALSE)-VLOOKUP(A355,'SegEnds_NonXtal_Prot#'!A:AL,28,FALSE)</f>
        <v>37</v>
      </c>
      <c r="AJ355" s="1">
        <f>VLOOKUP(A355,'SegEnds_NonXtal_Prot#'!A:AL,34,FALSE)-VLOOKUP(A355,'SegEnds_NonXtal_Prot#'!A:AL,31,FALSE)</f>
        <v>29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1" t="s">
        <v>108</v>
      </c>
      <c r="B356" s="1" t="str">
        <f>VLOOKUP(A356,Xtal_Templ!A:B,2,FALSE)</f>
        <v>grm1_human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7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36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33</v>
      </c>
      <c r="X356" s="1">
        <f>VLOOKUP($B356&amp;"__wt",'SegEnds_Xtal_BW#'!$A:$Z,24,FALSE)</f>
        <v>64</v>
      </c>
      <c r="Y356" s="1">
        <f>VLOOKUP($B356&amp;"__wt",'SegEnds_Xtal_BW#'!$A:$Z,25,FALSE)</f>
        <v>46</v>
      </c>
      <c r="Z356" s="1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1">
        <f>VLOOKUP(A356,'SegEnds_NonXtal_Prot#'!A:AL,10,FALSE)-VLOOKUP(A356,'SegEnds_NonXtal_Prot#'!A:AL,7,FALSE)</f>
        <v>15</v>
      </c>
      <c r="AD356" s="1" t="e">
        <f>VLOOKUP(A356,'SegEnds_NonXtal_Prot#'!A:AL,13,FALSE)-VLOOKUP(A356,'SegEnds_NonXtal_Prot#'!A:AL,10,FALSE)</f>
        <v>#VALUE!</v>
      </c>
      <c r="AE356" s="1">
        <f>VLOOKUP(A356,'SegEnds_NonXtal_Prot#'!A:AL,16,FALSE)-VLOOKUP(A356,'SegEnds_NonXtal_Prot#'!A:AL,10,FALSE)</f>
        <v>50</v>
      </c>
      <c r="AF356" s="1" t="e">
        <f>VLOOKUP(A356,'SegEnds_NonXtal_Prot#'!A:AL,22,FALSE)-VLOOKUP(A356,'SegEnds_NonXtal_Prot#'!A:AL,19,FALSE)</f>
        <v>#VALUE!</v>
      </c>
      <c r="AG356" s="1">
        <f>VLOOKUP(A356,'SegEnds_NonXtal_Prot#'!A:AL,28,FALSE)-VLOOKUP(A356,'SegEnds_NonXtal_Prot#'!A:AL,25,FALSE)</f>
        <v>19</v>
      </c>
      <c r="AH356" s="1">
        <f>VLOOKUP(A356,'SegEnds_NonXtal_Prot#'!A:AL,28,FALSE)-VLOOKUP(A356,'SegEnds_NonXtal_Prot#'!A:AL,22,FALSE)</f>
        <v>62</v>
      </c>
      <c r="AI356" s="1">
        <f>VLOOKUP(A356,'SegEnds_NonXtal_Prot#'!A:AL,31,FALSE)-VLOOKUP(A356,'SegEnds_NonXtal_Prot#'!A:AL,28,FALSE)</f>
        <v>39</v>
      </c>
      <c r="AJ356" s="1">
        <f>VLOOKUP(A356,'SegEnds_NonXtal_Prot#'!A:AL,34,FALSE)-VLOOKUP(A356,'SegEnds_NonXtal_Prot#'!A:AL,31,FALSE)</f>
        <v>30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4" t="s">
        <v>106</v>
      </c>
      <c r="B357" s="4" t="str">
        <f>VLOOKUP(A357,Xtal_Templ!A:B,2,FALSE)</f>
        <v>grm1_human</v>
      </c>
      <c r="C357" s="5">
        <f>VLOOKUP($B357&amp;"__wt",'SegEnds_Xtal_BW#'!$A:$Z,3,FALSE)</f>
        <v>34</v>
      </c>
      <c r="D357" s="4">
        <f>VLOOKUP($B357&amp;"__wt",'SegEnds_Xtal_BW#'!$A:$Z,4,FALSE)</f>
        <v>60</v>
      </c>
      <c r="E357" s="4">
        <f>VLOOKUP($B357&amp;"__wt",'SegEnds_Xtal_BW#'!$A:$Z,5,FALSE)</f>
        <v>47</v>
      </c>
      <c r="F357" s="4">
        <f>VLOOKUP($B357&amp;"__wt",'SegEnds_Xtal_BW#'!$A:$Z,6,FALSE)</f>
        <v>53</v>
      </c>
      <c r="G357" s="4">
        <v>39</v>
      </c>
      <c r="H357" s="11">
        <f>VLOOKUP($B357&amp;"__wt",'SegEnds_Xtal_BW#'!$A:$Z,8,FALSE)</f>
        <v>61</v>
      </c>
      <c r="I357" s="4" t="str">
        <f>VLOOKUP($B357&amp;"__wt",'SegEnds_Xtal_BW#'!$A:$Z,9,FALSE)</f>
        <v>-</v>
      </c>
      <c r="J357" s="4" t="str">
        <f>VLOOKUP($B357&amp;"__wt",'SegEnds_Xtal_BW#'!$A:$Z,10,FALSE)</f>
        <v>-</v>
      </c>
      <c r="K357" s="11">
        <f>VLOOKUP($B357&amp;"__wt",'SegEnds_Xtal_BW#'!$A:$Z,11,FALSE)</f>
        <v>22</v>
      </c>
      <c r="L357" s="4">
        <f>VLOOKUP($B357&amp;"__wt",'SegEnds_Xtal_BW#'!$A:$Z,12,FALSE)</f>
        <v>54</v>
      </c>
      <c r="M357" s="4" t="str">
        <f>VLOOKUP($B357&amp;"__wt",'SegEnds_Xtal_BW#'!$A:$Z,13,FALSE)</f>
        <v>-</v>
      </c>
      <c r="N357" s="11" t="str">
        <f>VLOOKUP($B357&amp;"__wt",'SegEnds_Xtal_BW#'!$A:$Z,14,FALSE)</f>
        <v>-</v>
      </c>
      <c r="O357" s="88">
        <f>VLOOKUP($B357&amp;"__wt",'SegEnds_Xtal_BW#'!$A:$Z,15,FALSE)</f>
        <v>38</v>
      </c>
      <c r="P357" s="4">
        <f>VLOOKUP($B357&amp;"__wt",'SegEnds_Xtal_BW#'!$A:$Z,16,FALSE)</f>
        <v>64</v>
      </c>
      <c r="Q357" s="4">
        <f>VLOOKUP($B357&amp;"__wt",'SegEnds_Xtal_BW#'!$A:$Z,17,FALSE)</f>
        <v>50</v>
      </c>
      <c r="R357" s="4">
        <f>VLOOKUP($B357&amp;"__wt",'SegEnds_Xtal_BW#'!$A:$Z,18,FALSE)</f>
        <v>52</v>
      </c>
      <c r="S357" s="4">
        <f>VLOOKUP($B357&amp;"__wt",'SegEnds_Xtal_BW#'!$A:$Z,19,FALSE)</f>
        <v>36</v>
      </c>
      <c r="T357" s="4">
        <f>VLOOKUP($B357&amp;"__wt",'SegEnds_Xtal_BW#'!$A:$Z,20,FALSE)</f>
        <v>61</v>
      </c>
      <c r="U357" s="4">
        <f>VLOOKUP($B357&amp;"__wt",'SegEnds_Xtal_BW#'!$A:$Z,21,FALSE)</f>
        <v>33</v>
      </c>
      <c r="V357" s="4">
        <f>VLOOKUP($B357&amp;"__wt",'SegEnds_Xtal_BW#'!$A:$Z,22,FALSE)</f>
        <v>57</v>
      </c>
      <c r="W357" s="4">
        <f>VLOOKUP($B357&amp;"__wt",'SegEnds_Xtal_BW#'!$A:$Z,23,FALSE)</f>
        <v>33</v>
      </c>
      <c r="X357" s="4">
        <f>VLOOKUP($B357&amp;"__wt",'SegEnds_Xtal_BW#'!$A:$Z,24,FALSE)</f>
        <v>64</v>
      </c>
      <c r="Y357" s="4">
        <f>VLOOKUP($B357&amp;"__wt",'SegEnds_Xtal_BW#'!$A:$Z,25,FALSE)</f>
        <v>46</v>
      </c>
      <c r="Z357" s="4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4">
        <f>VLOOKUP(A357,'SegEnds_NonXtal_Prot#'!A:AL,10,FALSE)-VLOOKUP(A357,'SegEnds_NonXtal_Prot#'!A:AL,7,FALSE)</f>
        <v>15</v>
      </c>
      <c r="AD357" s="4" t="e">
        <f>VLOOKUP(A357,'SegEnds_NonXtal_Prot#'!A:AL,13,FALSE)-VLOOKUP(A357,'SegEnds_NonXtal_Prot#'!A:AL,10,FALSE)</f>
        <v>#VALUE!</v>
      </c>
      <c r="AE357" s="4">
        <f>VLOOKUP(A357,'SegEnds_NonXtal_Prot#'!A:AL,16,FALSE)-VLOOKUP(A357,'SegEnds_NonXtal_Prot#'!A:AL,10,FALSE)</f>
        <v>51</v>
      </c>
      <c r="AF357" s="1" t="e">
        <f>VLOOKUP(A357,'SegEnds_NonXtal_Prot#'!A:AL,22,FALSE)-VLOOKUP(A357,'SegEnds_NonXtal_Prot#'!A:AL,19,FALSE)</f>
        <v>#VALUE!</v>
      </c>
      <c r="AG357" s="4">
        <f>VLOOKUP(A357,'SegEnds_NonXtal_Prot#'!A:AL,28,FALSE)-VLOOKUP(A357,'SegEnds_NonXtal_Prot#'!A:AL,25,FALSE)</f>
        <v>19</v>
      </c>
      <c r="AH357" s="1">
        <f>VLOOKUP(A357,'SegEnds_NonXtal_Prot#'!A:AL,28,FALSE)-VLOOKUP(A357,'SegEnds_NonXtal_Prot#'!A:AL,22,FALSE)</f>
        <v>62</v>
      </c>
      <c r="AI357" s="4">
        <f>VLOOKUP(A357,'SegEnds_NonXtal_Prot#'!A:AL,31,FALSE)-VLOOKUP(A357,'SegEnds_NonXtal_Prot#'!A:AL,28,FALSE)</f>
        <v>38</v>
      </c>
      <c r="AJ357" s="4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107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21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51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19</v>
      </c>
      <c r="AH358" s="1">
        <f>VLOOKUP(A358,'SegEnds_NonXtal_Prot#'!A:AL,28,FALSE)-VLOOKUP(A358,'SegEnds_NonXtal_Prot#'!A:AL,22,FALSE)</f>
        <v>62</v>
      </c>
      <c r="AI358" s="1">
        <f>VLOOKUP(A358,'SegEnds_NonXtal_Prot#'!A:AL,31,FALSE)-VLOOKUP(A358,'SegEnds_NonXtal_Prot#'!A:AL,28,FALSE)</f>
        <v>38</v>
      </c>
      <c r="AJ358" s="1">
        <f>VLOOKUP(A358,'SegEnds_NonXtal_Prot#'!A:AL,34,FALSE)-VLOOKUP(A358,'SegEnds_NonXtal_Prot#'!A:AL,31,FALSE)</f>
        <v>31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115</v>
      </c>
      <c r="B359" s="1" t="str">
        <f>VLOOKUP(A359,Xtal_Templ!A:B,2,FALSE)</f>
        <v>grm1_human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116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21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31</v>
      </c>
      <c r="AC360" s="1">
        <f>VLOOKUP(A360,'SegEnds_NonXtal_Prot#'!A:AL,10,FALSE)-VLOOKUP(A360,'SegEnds_NonXtal_Prot#'!A:AL,7,FALSE)</f>
        <v>15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>
        <f>VLOOKUP(A360,'SegEnds_NonXtal_Prot#'!A:AL,28,FALSE)-VLOOKUP(A360,'SegEnds_NonXtal_Prot#'!A:AL,25,FALSE)</f>
        <v>17</v>
      </c>
      <c r="AH360" s="1">
        <f>VLOOKUP(A360,'SegEnds_NonXtal_Prot#'!A:AL,28,FALSE)-VLOOKUP(A360,'SegEnds_NonXtal_Prot#'!A:AL,22,FALSE)</f>
        <v>51</v>
      </c>
      <c r="AI360" s="1">
        <f>VLOOKUP(A360,'SegEnds_NonXtal_Prot#'!A:AL,31,FALSE)-VLOOKUP(A360,'SegEnds_NonXtal_Prot#'!A:AL,28,FALSE)</f>
        <v>37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19</v>
      </c>
      <c r="AL360" s="1" t="str">
        <f>IF(ISERROR(MATCH(A360,'SegEnds_Xtal_Prot#'!B:B, 0)), "NoXtal", "Xtal")</f>
        <v>NoXtal</v>
      </c>
    </row>
    <row r="361" spans="1:38" x14ac:dyDescent="0.2">
      <c r="A361" s="1" t="s">
        <v>121</v>
      </c>
      <c r="B361" s="1" t="str">
        <f>VLOOKUP(A361,Xtal_Templ!A:B,2,FALSE)</f>
        <v>grm1_human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7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36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33</v>
      </c>
      <c r="X361" s="1">
        <f>VLOOKUP($B361&amp;"__wt",'SegEnds_Xtal_BW#'!$A:$Z,24,FALSE)</f>
        <v>64</v>
      </c>
      <c r="Y361" s="1">
        <f>VLOOKUP($B361&amp;"__wt",'SegEnds_Xtal_BW#'!$A:$Z,25,FALSE)</f>
        <v>46</v>
      </c>
      <c r="Z361" s="1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33</v>
      </c>
      <c r="AC361" s="1">
        <f>VLOOKUP(A361,'SegEnds_NonXtal_Prot#'!A:AL,10,FALSE)-VLOOKUP(A361,'SegEnds_NonXtal_Prot#'!A:AL,7,FALSE)</f>
        <v>19</v>
      </c>
      <c r="AD361" s="1" t="e">
        <f>VLOOKUP(A361,'SegEnds_NonXtal_Prot#'!A:AL,13,FALSE)-VLOOKUP(A361,'SegEnds_NonXtal_Prot#'!A:AL,10,FALSE)</f>
        <v>#VALUE!</v>
      </c>
      <c r="AE361" s="1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1" t="e">
        <f>VLOOKUP(A361,'SegEnds_NonXtal_Prot#'!A:AL,28,FALSE)-VLOOKUP(A361,'SegEnds_NonXtal_Prot#'!A:AL,25,FALSE)</f>
        <v>#VALUE!</v>
      </c>
      <c r="AH361" s="1">
        <f>VLOOKUP(A361,'SegEnds_NonXtal_Prot#'!A:AL,28,FALSE)-VLOOKUP(A361,'SegEnds_NonXtal_Prot#'!A:AL,22,FALSE)</f>
        <v>45</v>
      </c>
      <c r="AI361" s="1">
        <f>VLOOKUP(A361,'SegEnds_NonXtal_Prot#'!A:AL,31,FALSE)-VLOOKUP(A361,'SegEnds_NonXtal_Prot#'!A:AL,28,FALSE)</f>
        <v>39</v>
      </c>
      <c r="AJ361" s="1">
        <f>VLOOKUP(A361,'SegEnds_NonXtal_Prot#'!A:AL,34,FALSE)-VLOOKUP(A361,'SegEnds_NonXtal_Prot#'!A:AL,31,FALSE)</f>
        <v>31</v>
      </c>
      <c r="AK361" s="1">
        <f>VLOOKUP(A361,'SegEnds_NonXtal_Prot#'!A:AL,37,FALSE)-VLOOKUP(A361,'SegEnds_NonXtal_Prot#'!A:AL,34,FALSE)</f>
        <v>21</v>
      </c>
      <c r="AL361" s="1" t="str">
        <f>IF(ISERROR(MATCH(A361,'SegEnds_Xtal_Prot#'!B:B, 0)), "NoXtal", "Xtal")</f>
        <v>NoXtal</v>
      </c>
    </row>
    <row r="362" spans="1:38" x14ac:dyDescent="0.2">
      <c r="A362" s="4" t="s">
        <v>109</v>
      </c>
      <c r="B362" s="4" t="str">
        <f>VLOOKUP(A362,Xtal_Templ!A:B,2,FALSE)</f>
        <v>grm1_human</v>
      </c>
      <c r="C362" s="5">
        <f>VLOOKUP($B362&amp;"__wt",'SegEnds_Xtal_BW#'!$A:$Z,3,FALSE)</f>
        <v>34</v>
      </c>
      <c r="D362" s="4">
        <f>VLOOKUP($B362&amp;"__wt",'SegEnds_Xtal_BW#'!$A:$Z,4,FALSE)</f>
        <v>60</v>
      </c>
      <c r="E362" s="4">
        <f>VLOOKUP($B362&amp;"__wt",'SegEnds_Xtal_BW#'!$A:$Z,5,FALSE)</f>
        <v>47</v>
      </c>
      <c r="F362" s="4">
        <f>VLOOKUP($B362&amp;"__wt",'SegEnds_Xtal_BW#'!$A:$Z,6,FALSE)</f>
        <v>53</v>
      </c>
      <c r="G362" s="4">
        <v>39</v>
      </c>
      <c r="H362" s="11">
        <f>VLOOKUP($B362&amp;"__wt",'SegEnds_Xtal_BW#'!$A:$Z,8,FALSE)</f>
        <v>61</v>
      </c>
      <c r="I362" s="4" t="str">
        <f>VLOOKUP($B362&amp;"__wt",'SegEnds_Xtal_BW#'!$A:$Z,9,FALSE)</f>
        <v>-</v>
      </c>
      <c r="J362" s="4" t="str">
        <f>VLOOKUP($B362&amp;"__wt",'SegEnds_Xtal_BW#'!$A:$Z,10,FALSE)</f>
        <v>-</v>
      </c>
      <c r="K362" s="11">
        <f>VLOOKUP($B362&amp;"__wt",'SegEnds_Xtal_BW#'!$A:$Z,11,FALSE)</f>
        <v>22</v>
      </c>
      <c r="L362" s="4">
        <f>VLOOKUP($B362&amp;"__wt",'SegEnds_Xtal_BW#'!$A:$Z,12,FALSE)</f>
        <v>54</v>
      </c>
      <c r="M362" s="4" t="str">
        <f>VLOOKUP($B362&amp;"__wt",'SegEnds_Xtal_BW#'!$A:$Z,13,FALSE)</f>
        <v>-</v>
      </c>
      <c r="N362" s="11" t="str">
        <f>VLOOKUP($B362&amp;"__wt",'SegEnds_Xtal_BW#'!$A:$Z,14,FALSE)</f>
        <v>-</v>
      </c>
      <c r="O362" s="88">
        <f>VLOOKUP($B362&amp;"__wt",'SegEnds_Xtal_BW#'!$A:$Z,15,FALSE)</f>
        <v>38</v>
      </c>
      <c r="P362" s="4">
        <f>VLOOKUP($B362&amp;"__wt",'SegEnds_Xtal_BW#'!$A:$Z,16,FALSE)</f>
        <v>64</v>
      </c>
      <c r="Q362" s="4">
        <f>VLOOKUP($B362&amp;"__wt",'SegEnds_Xtal_BW#'!$A:$Z,17,FALSE)</f>
        <v>50</v>
      </c>
      <c r="R362" s="4">
        <f>VLOOKUP($B362&amp;"__wt",'SegEnds_Xtal_BW#'!$A:$Z,18,FALSE)</f>
        <v>52</v>
      </c>
      <c r="S362" s="4">
        <f>VLOOKUP($B362&amp;"__wt",'SegEnds_Xtal_BW#'!$A:$Z,19,FALSE)</f>
        <v>36</v>
      </c>
      <c r="T362" s="4">
        <f>VLOOKUP($B362&amp;"__wt",'SegEnds_Xtal_BW#'!$A:$Z,20,FALSE)</f>
        <v>61</v>
      </c>
      <c r="U362" s="4">
        <f>VLOOKUP($B362&amp;"__wt",'SegEnds_Xtal_BW#'!$A:$Z,21,FALSE)</f>
        <v>33</v>
      </c>
      <c r="V362" s="4">
        <f>VLOOKUP($B362&amp;"__wt",'SegEnds_Xtal_BW#'!$A:$Z,22,FALSE)</f>
        <v>57</v>
      </c>
      <c r="W362" s="4">
        <f>VLOOKUP($B362&amp;"__wt",'SegEnds_Xtal_BW#'!$A:$Z,23,FALSE)</f>
        <v>33</v>
      </c>
      <c r="X362" s="4">
        <f>VLOOKUP($B362&amp;"__wt",'SegEnds_Xtal_BW#'!$A:$Z,24,FALSE)</f>
        <v>64</v>
      </c>
      <c r="Y362" s="4">
        <f>VLOOKUP($B362&amp;"__wt",'SegEnds_Xtal_BW#'!$A:$Z,25,FALSE)</f>
        <v>46</v>
      </c>
      <c r="Z362" s="4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4">
        <f>VLOOKUP(A362,'SegEnds_NonXtal_Prot#'!A:AL,10,FALSE)-VLOOKUP(A362,'SegEnds_NonXtal_Prot#'!A:AL,7,FALSE)</f>
        <v>15</v>
      </c>
      <c r="AD362" s="4" t="e">
        <f>VLOOKUP(A362,'SegEnds_NonXtal_Prot#'!A:AL,13,FALSE)-VLOOKUP(A362,'SegEnds_NonXtal_Prot#'!A:AL,10,FALSE)</f>
        <v>#VALUE!</v>
      </c>
      <c r="AE362" s="4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4">
        <f>VLOOKUP(A362,'SegEnds_NonXtal_Prot#'!A:AL,28,FALSE)-VLOOKUP(A362,'SegEnds_NonXtal_Prot#'!A:AL,25,FALSE)</f>
        <v>16</v>
      </c>
      <c r="AH362" s="1">
        <f>VLOOKUP(A362,'SegEnds_NonXtal_Prot#'!A:AL,28,FALSE)-VLOOKUP(A362,'SegEnds_NonXtal_Prot#'!A:AL,22,FALSE)</f>
        <v>65</v>
      </c>
      <c r="AI362" s="4">
        <f>VLOOKUP(A362,'SegEnds_NonXtal_Prot#'!A:AL,31,FALSE)-VLOOKUP(A362,'SegEnds_NonXtal_Prot#'!A:AL,28,FALSE)</f>
        <v>37</v>
      </c>
      <c r="AJ362" s="4">
        <f>VLOOKUP(A362,'SegEnds_NonXtal_Prot#'!A:AL,34,FALSE)-VLOOKUP(A362,'SegEnds_NonXtal_Prot#'!A:AL,31,FALSE)</f>
        <v>33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110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31</v>
      </c>
      <c r="AC363" s="1">
        <f>VLOOKUP(A363,'SegEnds_NonXtal_Prot#'!A:AL,10,FALSE)-VLOOKUP(A363,'SegEnds_NonXtal_Prot#'!A:AL,7,FALSE)</f>
        <v>15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16</v>
      </c>
      <c r="AH363" s="1">
        <f>VLOOKUP(A363,'SegEnds_NonXtal_Prot#'!A:AL,28,FALSE)-VLOOKUP(A363,'SegEnds_NonXtal_Prot#'!A:AL,22,FALSE)</f>
        <v>65</v>
      </c>
      <c r="AI363" s="1">
        <f>VLOOKUP(A363,'SegEnds_NonXtal_Prot#'!A:AL,31,FALSE)-VLOOKUP(A363,'SegEnds_NonXtal_Prot#'!A:AL,28,FALSE)</f>
        <v>37</v>
      </c>
      <c r="AJ363" s="1">
        <f>VLOOKUP(A363,'SegEnds_NonXtal_Prot#'!A:AL,34,FALSE)-VLOOKUP(A363,'SegEnds_NonXtal_Prot#'!A:AL,31,FALSE)</f>
        <v>33</v>
      </c>
      <c r="AK363" s="1">
        <f>VLOOKUP(A363,'SegEnds_NonXtal_Prot#'!A:AL,37,FALSE)-VLOOKUP(A363,'SegEnds_NonXtal_Prot#'!A:AL,34,FALSE)</f>
        <v>19</v>
      </c>
      <c r="AL363" s="1" t="str">
        <f>IF(ISERROR(MATCH(A363,'SegEnds_Xtal_Prot#'!B:B, 0)), "NoXtal", "Xtal")</f>
        <v>NoXtal</v>
      </c>
    </row>
    <row r="364" spans="1:38" x14ac:dyDescent="0.2">
      <c r="A364" s="1" t="s">
        <v>112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33</v>
      </c>
      <c r="AC364" s="1">
        <f>VLOOKUP(A364,'SegEnds_NonXtal_Prot#'!A:AL,10,FALSE)-VLOOKUP(A364,'SegEnds_NonXtal_Prot#'!A:AL,7,FALSE)</f>
        <v>19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55</v>
      </c>
      <c r="AI364" s="1">
        <f>VLOOKUP(A364,'SegEnds_NonXtal_Prot#'!A:AL,31,FALSE)-VLOOKUP(A364,'SegEnds_NonXtal_Prot#'!A:AL,28,FALSE)</f>
        <v>39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20</v>
      </c>
      <c r="AL364" s="1" t="str">
        <f>IF(ISERROR(MATCH(A364,'SegEnds_Xtal_Prot#'!B:B, 0)), "NoXtal", "Xtal")</f>
        <v>NoXtal</v>
      </c>
    </row>
    <row r="365" spans="1:38" x14ac:dyDescent="0.2">
      <c r="A365" s="1" t="s">
        <v>117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118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119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1" t="s">
        <v>120</v>
      </c>
      <c r="B368" s="1" t="str">
        <f>VLOOKUP(A368,Xtal_Templ!A:B,2,FALSE)</f>
        <v>grm5_human</v>
      </c>
      <c r="C368" s="5">
        <f>VLOOKUP($B368&amp;"__wt",'SegEnds_Xtal_BW#'!$A:$Z,3,FALSE)</f>
        <v>34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53</v>
      </c>
      <c r="G368" s="1">
        <v>39</v>
      </c>
      <c r="H368" s="12">
        <f>VLOOKUP($B368&amp;"__wt",'SegEnds_Xtal_BW#'!$A:$Z,8,FALSE)</f>
        <v>61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21</v>
      </c>
      <c r="L368" s="1">
        <f>VLOOKUP($B368&amp;"__wt",'SegEnds_Xtal_BW#'!$A:$Z,12,FALSE)</f>
        <v>54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7">
        <f>VLOOKUP($B368&amp;"__wt",'SegEnds_Xtal_BW#'!$A:$Z,15,FALSE)</f>
        <v>38</v>
      </c>
      <c r="P368" s="1">
        <f>VLOOKUP($B368&amp;"__wt",'SegEnds_Xtal_BW#'!$A:$Z,16,FALSE)</f>
        <v>64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61</v>
      </c>
      <c r="U368" s="1">
        <f>VLOOKUP($B368&amp;"__wt",'SegEnds_Xtal_BW#'!$A:$Z,21,FALSE)</f>
        <v>33</v>
      </c>
      <c r="V368" s="1">
        <f>VLOOKUP($B368&amp;"__wt",'SegEnds_Xtal_BW#'!$A:$Z,22,FALSE)</f>
        <v>57</v>
      </c>
      <c r="W368" s="1">
        <f>VLOOKUP($B368&amp;"__wt",'SegEnds_Xtal_BW#'!$A:$Z,23,FALSE)</f>
        <v>33</v>
      </c>
      <c r="X368" s="1">
        <f>VLOOKUP($B368&amp;"__wt",'SegEnds_Xtal_BW#'!$A:$Z,24,FALSE)</f>
        <v>64</v>
      </c>
      <c r="Y368" s="1">
        <f>VLOOKUP($B368&amp;"__wt",'SegEnds_Xtal_BW#'!$A:$Z,25,FALSE)</f>
        <v>46</v>
      </c>
      <c r="Z368" s="1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31</v>
      </c>
      <c r="AC368" s="1">
        <f>VLOOKUP(A368,'SegEnds_NonXtal_Prot#'!A:AL,10,FALSE)-VLOOKUP(A368,'SegEnds_NonXtal_Prot#'!A:AL,7,FALSE)</f>
        <v>15</v>
      </c>
      <c r="AD368" s="1" t="e">
        <f>VLOOKUP(A368,'SegEnds_NonXtal_Prot#'!A:AL,13,FALSE)-VLOOKUP(A368,'SegEnds_NonXtal_Prot#'!A:AL,10,FALSE)</f>
        <v>#VALUE!</v>
      </c>
      <c r="AE368" s="1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1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56</v>
      </c>
      <c r="AI368" s="1">
        <f>VLOOKUP(A368,'SegEnds_NonXtal_Prot#'!A:AL,31,FALSE)-VLOOKUP(A368,'SegEnds_NonXtal_Prot#'!A:AL,28,FALSE)</f>
        <v>37</v>
      </c>
      <c r="AJ368" s="1">
        <f>VLOOKUP(A368,'SegEnds_NonXtal_Prot#'!A:AL,34,FALSE)-VLOOKUP(A368,'SegEnds_NonXtal_Prot#'!A:AL,31,FALSE)</f>
        <v>34</v>
      </c>
      <c r="AK368" s="1">
        <f>VLOOKUP(A368,'SegEnds_NonXtal_Prot#'!A:AL,37,FALSE)-VLOOKUP(A368,'SegEnds_NonXtal_Prot#'!A:AL,34,FALSE)</f>
        <v>19</v>
      </c>
      <c r="AL368" s="1" t="str">
        <f>IF(ISERROR(MATCH(A368,'SegEnds_Xtal_Prot#'!B:B, 0)), "NoXtal", "Xtal")</f>
        <v>NoXtal</v>
      </c>
    </row>
    <row r="369" spans="1:38" x14ac:dyDescent="0.2">
      <c r="A369" s="4" t="s">
        <v>111</v>
      </c>
      <c r="B369" s="4" t="str">
        <f>VLOOKUP(A369,Xtal_Templ!A:B,2,FALSE)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4">
        <f>VLOOKUP(A369,'SegEnds_NonXtal_Prot#'!A:AL,10,FALSE)-VLOOKUP(A369,'SegEnds_NonXtal_Prot#'!A:AL,7,FALSE)</f>
        <v>19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17</v>
      </c>
      <c r="AH369" s="1">
        <f>VLOOKUP(A369,'SegEnds_NonXtal_Prot#'!A:AL,28,FALSE)-VLOOKUP(A369,'SegEnds_NonXtal_Prot#'!A:AL,22,FALSE)</f>
        <v>40</v>
      </c>
      <c r="AI369" s="4">
        <f>VLOOKUP(A369,'SegEnds_NonXtal_Prot#'!A:AL,31,FALSE)-VLOOKUP(A369,'SegEnds_NonXtal_Prot#'!A:AL,28,FALSE)</f>
        <v>39</v>
      </c>
      <c r="AJ369" s="4">
        <f>VLOOKUP(A369,'SegEnds_NonXtal_Prot#'!A:AL,34,FALSE)-VLOOKUP(A369,'SegEnds_NonXtal_Prot#'!A:AL,31,FALSE)</f>
        <v>35</v>
      </c>
      <c r="AK369" s="1">
        <f>VLOOKUP(A369,'SegEnds_NonXtal_Prot#'!A:AL,37,FALSE)-VLOOKUP(A369,'SegEnds_NonXtal_Prot#'!A:AL,34,FALSE)</f>
        <v>20</v>
      </c>
      <c r="AL369" s="1" t="str">
        <f>IF(ISERROR(MATCH(A369,'SegEnds_Xtal_Prot#'!B:B, 0)), "NoXtal", "Xtal")</f>
        <v>NoXtal</v>
      </c>
    </row>
    <row r="370" spans="1:38" x14ac:dyDescent="0.2">
      <c r="A370" s="4" t="s">
        <v>113</v>
      </c>
      <c r="B370" s="4" t="str">
        <f>VLOOKUP(A370,Xtal_Templ!A:B,2,FALSE)</f>
        <v>grm1_human</v>
      </c>
      <c r="C370" s="5">
        <f>VLOOKUP($B370&amp;"__wt",'SegEnds_Xtal_BW#'!$A:$Z,3,FALSE)</f>
        <v>34</v>
      </c>
      <c r="D370" s="4">
        <f>VLOOKUP($B370&amp;"__wt",'SegEnds_Xtal_BW#'!$A:$Z,4,FALSE)</f>
        <v>60</v>
      </c>
      <c r="E370" s="4">
        <f>VLOOKUP($B370&amp;"__wt",'SegEnds_Xtal_BW#'!$A:$Z,5,FALSE)</f>
        <v>47</v>
      </c>
      <c r="F370" s="4">
        <f>VLOOKUP($B370&amp;"__wt",'SegEnds_Xtal_BW#'!$A:$Z,6,FALSE)</f>
        <v>53</v>
      </c>
      <c r="G370" s="4">
        <v>39</v>
      </c>
      <c r="H370" s="11">
        <f>VLOOKUP($B370&amp;"__wt",'SegEnds_Xtal_BW#'!$A:$Z,8,FALSE)</f>
        <v>61</v>
      </c>
      <c r="I370" s="4" t="str">
        <f>VLOOKUP($B370&amp;"__wt",'SegEnds_Xtal_BW#'!$A:$Z,9,FALSE)</f>
        <v>-</v>
      </c>
      <c r="J370" s="4" t="str">
        <f>VLOOKUP($B370&amp;"__wt",'SegEnds_Xtal_BW#'!$A:$Z,10,FALSE)</f>
        <v>-</v>
      </c>
      <c r="K370" s="11">
        <f>VLOOKUP($B370&amp;"__wt",'SegEnds_Xtal_BW#'!$A:$Z,11,FALSE)</f>
        <v>22</v>
      </c>
      <c r="L370" s="4">
        <f>VLOOKUP($B370&amp;"__wt",'SegEnds_Xtal_BW#'!$A:$Z,12,FALSE)</f>
        <v>54</v>
      </c>
      <c r="M370" s="4" t="str">
        <f>VLOOKUP($B370&amp;"__wt",'SegEnds_Xtal_BW#'!$A:$Z,13,FALSE)</f>
        <v>-</v>
      </c>
      <c r="N370" s="11" t="str">
        <f>VLOOKUP($B370&amp;"__wt",'SegEnds_Xtal_BW#'!$A:$Z,14,FALSE)</f>
        <v>-</v>
      </c>
      <c r="O370" s="88">
        <f>VLOOKUP($B370&amp;"__wt",'SegEnds_Xtal_BW#'!$A:$Z,15,FALSE)</f>
        <v>38</v>
      </c>
      <c r="P370" s="4">
        <f>VLOOKUP($B370&amp;"__wt",'SegEnds_Xtal_BW#'!$A:$Z,16,FALSE)</f>
        <v>64</v>
      </c>
      <c r="Q370" s="4">
        <f>VLOOKUP($B370&amp;"__wt",'SegEnds_Xtal_BW#'!$A:$Z,17,FALSE)</f>
        <v>50</v>
      </c>
      <c r="R370" s="4">
        <f>VLOOKUP($B370&amp;"__wt",'SegEnds_Xtal_BW#'!$A:$Z,18,FALSE)</f>
        <v>52</v>
      </c>
      <c r="S370" s="4">
        <f>VLOOKUP($B370&amp;"__wt",'SegEnds_Xtal_BW#'!$A:$Z,19,FALSE)</f>
        <v>36</v>
      </c>
      <c r="T370" s="4">
        <f>VLOOKUP($B370&amp;"__wt",'SegEnds_Xtal_BW#'!$A:$Z,20,FALSE)</f>
        <v>61</v>
      </c>
      <c r="U370" s="4">
        <f>VLOOKUP($B370&amp;"__wt",'SegEnds_Xtal_BW#'!$A:$Z,21,FALSE)</f>
        <v>33</v>
      </c>
      <c r="V370" s="4">
        <f>VLOOKUP($B370&amp;"__wt",'SegEnds_Xtal_BW#'!$A:$Z,22,FALSE)</f>
        <v>57</v>
      </c>
      <c r="W370" s="4">
        <f>VLOOKUP($B370&amp;"__wt",'SegEnds_Xtal_BW#'!$A:$Z,23,FALSE)</f>
        <v>33</v>
      </c>
      <c r="X370" s="4">
        <f>VLOOKUP($B370&amp;"__wt",'SegEnds_Xtal_BW#'!$A:$Z,24,FALSE)</f>
        <v>64</v>
      </c>
      <c r="Y370" s="4">
        <f>VLOOKUP($B370&amp;"__wt",'SegEnds_Xtal_BW#'!$A:$Z,25,FALSE)</f>
        <v>46</v>
      </c>
      <c r="Z370" s="4">
        <f>VLOOKUP($B370&amp;"__wt",'SegEnds_Xtal_BW#'!$A:$Z,26,FALSE)</f>
        <v>57</v>
      </c>
      <c r="AA370" s="27" t="str">
        <f>VLOOKUP(A370,Classification!A:B,2,FALSE)</f>
        <v>C</v>
      </c>
      <c r="AB370" s="1">
        <f>VLOOKUP(A370,'SegEnds_NonXtal_Prot#'!A:AL,10,FALSE)-VLOOKUP(A370,'SegEnds_NonXtal_Prot#'!A:AL,4,FALSE)</f>
        <v>33</v>
      </c>
      <c r="AC370" s="4">
        <f>VLOOKUP(A370,'SegEnds_NonXtal_Prot#'!A:AL,10,FALSE)-VLOOKUP(A370,'SegEnds_NonXtal_Prot#'!A:AL,7,FALSE)</f>
        <v>19</v>
      </c>
      <c r="AD370" s="4" t="e">
        <f>VLOOKUP(A370,'SegEnds_NonXtal_Prot#'!A:AL,13,FALSE)-VLOOKUP(A370,'SegEnds_NonXtal_Prot#'!A:AL,10,FALSE)</f>
        <v>#VALUE!</v>
      </c>
      <c r="AE370" s="4">
        <f>VLOOKUP(A370,'SegEnds_NonXtal_Prot#'!A:AL,16,FALSE)-VLOOKUP(A370,'SegEnds_NonXtal_Prot#'!A:AL,10,FALSE)</f>
        <v>44</v>
      </c>
      <c r="AF370" s="1" t="e">
        <f>VLOOKUP(A370,'SegEnds_NonXtal_Prot#'!A:AL,22,FALSE)-VLOOKUP(A370,'SegEnds_NonXtal_Prot#'!A:AL,19,FALSE)</f>
        <v>#VALUE!</v>
      </c>
      <c r="AG370" s="4">
        <f>VLOOKUP(A370,'SegEnds_NonXtal_Prot#'!A:AL,28,FALSE)-VLOOKUP(A370,'SegEnds_NonXtal_Prot#'!A:AL,25,FALSE)</f>
        <v>16</v>
      </c>
      <c r="AH370" s="1">
        <f>VLOOKUP(A370,'SegEnds_NonXtal_Prot#'!A:AL,28,FALSE)-VLOOKUP(A370,'SegEnds_NonXtal_Prot#'!A:AL,22,FALSE)</f>
        <v>43</v>
      </c>
      <c r="AI370" s="4">
        <f>VLOOKUP(A370,'SegEnds_NonXtal_Prot#'!A:AL,31,FALSE)-VLOOKUP(A370,'SegEnds_NonXtal_Prot#'!A:AL,28,FALSE)</f>
        <v>39</v>
      </c>
      <c r="AJ370" s="4">
        <f>VLOOKUP(A370,'SegEnds_NonXtal_Prot#'!A:AL,34,FALSE)-VLOOKUP(A370,'SegEnds_NonXtal_Prot#'!A:AL,31,FALSE)</f>
        <v>35</v>
      </c>
      <c r="AK370" s="1">
        <f>VLOOKUP(A370,'SegEnds_NonXtal_Prot#'!A:AL,37,FALSE)-VLOOKUP(A370,'SegEnds_NonXtal_Prot#'!A:AL,34,FALSE)</f>
        <v>21</v>
      </c>
      <c r="AL370" s="1" t="str">
        <f>IF(ISERROR(MATCH(A370,'SegEnds_Xtal_Prot#'!B:B, 0)), "NoXtal", "Xtal")</f>
        <v>NoXtal</v>
      </c>
    </row>
    <row r="371" spans="1:38" x14ac:dyDescent="0.2">
      <c r="A371" s="1" t="s">
        <v>450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">
        <f>VLOOKUP($B371&amp;"__wt",'SegEnds_Xtal_BW#'!$A:$Z,22,FALSE)</f>
        <v>58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67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36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Xtal</v>
      </c>
    </row>
    <row r="372" spans="1:38" x14ac:dyDescent="0.2">
      <c r="A372" s="1" t="s">
        <v>451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64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55</v>
      </c>
      <c r="AJ372" s="1">
        <f>VLOOKUP(A372,'SegEnds_NonXtal_Prot#'!A:AL,34,FALSE)-VLOOKUP(A372,'SegEnds_NonXtal_Prot#'!A:AL,31,FALSE)</f>
        <v>49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454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103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57</v>
      </c>
      <c r="AJ373" s="1">
        <f>VLOOKUP(A373,'SegEnds_NonXtal_Prot#'!A:AL,34,FALSE)-VLOOKUP(A373,'SegEnds_NonXtal_Prot#'!A:AL,31,FALSE)</f>
        <v>49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448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67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449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68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452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68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453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67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55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447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56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455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66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58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" t="s">
        <v>446</v>
      </c>
      <c r="B380" s="1" t="str">
        <f>VLOOKUP(A380,Xtal_Templ!A:B,2,FALSE)</f>
        <v>fzd4_human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39</v>
      </c>
      <c r="H380" s="12">
        <f>VLOOKUP($B380&amp;"__wt",'SegEnds_Xtal_BW#'!$A:$Z,8,FALSE)</f>
        <v>66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22</v>
      </c>
      <c r="L380" s="1">
        <f>VLOOKUP($B380&amp;"__wt",'SegEnds_Xtal_BW#'!$A:$Z,12,FALSE)</f>
        <v>55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41</v>
      </c>
      <c r="P380" s="1">
        <f>VLOOKUP($B380&amp;"__wt",'SegEnds_Xtal_BW#'!$A:$Z,16,FALSE)</f>
        <v>64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28</v>
      </c>
      <c r="V380" s="108">
        <v>78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26</v>
      </c>
      <c r="AC380" s="1">
        <f>VLOOKUP(A380,'SegEnds_NonXtal_Prot#'!A:AL,10,FALSE)-VLOOKUP(A380,'SegEnds_NonXtal_Prot#'!A:AL,7,FALSE)</f>
        <v>12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55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NoXtal</v>
      </c>
    </row>
    <row r="381" spans="1:38" x14ac:dyDescent="0.2">
      <c r="A381" s="121" t="s">
        <v>1495</v>
      </c>
      <c r="B381" s="1" t="str">
        <f>VLOOKUP(A381,Xtal_Templ!A:B,2,FALSE)</f>
        <v>q98sw5_xenla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61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81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33</v>
      </c>
      <c r="B382" s="1" t="str">
        <f>VLOOKUP(A382,Xtal_Templ!A:B,2,FALSE)</f>
        <v>smo_human</v>
      </c>
      <c r="C382" s="5">
        <f>VLOOKUP($B382&amp;"__wt",'SegEnds_Xtal_BW#'!$A:$Z,3,FALSE)</f>
        <v>28</v>
      </c>
      <c r="D382" s="1">
        <f>VLOOKUP($B382&amp;"__wt",'SegEnds_Xtal_BW#'!$A:$Z,4,FALSE)</f>
        <v>60</v>
      </c>
      <c r="E382" s="1">
        <f>VLOOKUP($B382&amp;"__wt",'SegEnds_Xtal_BW#'!$A:$Z,5,FALSE)</f>
        <v>47</v>
      </c>
      <c r="F382" s="1">
        <f>VLOOKUP($B382&amp;"__wt",'SegEnds_Xtal_BW#'!$A:$Z,6,FALSE)</f>
        <v>51</v>
      </c>
      <c r="G382" s="1">
        <v>40</v>
      </c>
      <c r="H382" s="12">
        <f>VLOOKUP($B382&amp;"__wt",'SegEnds_Xtal_BW#'!$A:$Z,8,FALSE)</f>
        <v>63</v>
      </c>
      <c r="I382" s="1" t="str">
        <f>VLOOKUP($B382&amp;"__wt",'SegEnds_Xtal_BW#'!$A:$Z,9,FALSE)</f>
        <v>-</v>
      </c>
      <c r="J382" s="1" t="str">
        <f>VLOOKUP($B382&amp;"__wt",'SegEnds_Xtal_BW#'!$A:$Z,10,FALSE)</f>
        <v>-</v>
      </c>
      <c r="K382" s="12">
        <f>VLOOKUP($B382&amp;"__wt",'SegEnds_Xtal_BW#'!$A:$Z,11,FALSE)</f>
        <v>23</v>
      </c>
      <c r="L382" s="1">
        <f>VLOOKUP($B382&amp;"__wt",'SegEnds_Xtal_BW#'!$A:$Z,12,FALSE)</f>
        <v>56</v>
      </c>
      <c r="M382" s="1" t="str">
        <f>VLOOKUP($B382&amp;"__wt",'SegEnds_Xtal_BW#'!$A:$Z,13,FALSE)</f>
        <v>-</v>
      </c>
      <c r="N382" s="12" t="str">
        <f>VLOOKUP($B382&amp;"__wt",'SegEnds_Xtal_BW#'!$A:$Z,14,FALSE)</f>
        <v>-</v>
      </c>
      <c r="O382" s="87">
        <f>VLOOKUP($B382&amp;"__wt",'SegEnds_Xtal_BW#'!$A:$Z,15,FALSE)</f>
        <v>41</v>
      </c>
      <c r="P382" s="1">
        <f>VLOOKUP($B382&amp;"__wt",'SegEnds_Xtal_BW#'!$A:$Z,16,FALSE)</f>
        <v>64</v>
      </c>
      <c r="Q382" s="1">
        <f>VLOOKUP($B382&amp;"__wt",'SegEnds_Xtal_BW#'!$A:$Z,17,FALSE)</f>
        <v>50</v>
      </c>
      <c r="R382" s="1">
        <f>VLOOKUP($B382&amp;"__wt",'SegEnds_Xtal_BW#'!$A:$Z,18,FALSE)</f>
        <v>52</v>
      </c>
      <c r="S382" s="1">
        <f>VLOOKUP($B382&amp;"__wt",'SegEnds_Xtal_BW#'!$A:$Z,19,FALSE)</f>
        <v>35</v>
      </c>
      <c r="T382" s="1">
        <f>VLOOKUP($B382&amp;"__wt",'SegEnds_Xtal_BW#'!$A:$Z,20,FALSE)</f>
        <v>72</v>
      </c>
      <c r="U382" s="1">
        <f>VLOOKUP($B382&amp;"__wt",'SegEnds_Xtal_BW#'!$A:$Z,21,FALSE)</f>
        <v>20</v>
      </c>
      <c r="V382" s="1">
        <f>VLOOKUP($B382&amp;"__wt",'SegEnds_Xtal_BW#'!$A:$Z,22,FALSE)</f>
        <v>78</v>
      </c>
      <c r="W382" s="1">
        <f>VLOOKUP($B382&amp;"__wt",'SegEnds_Xtal_BW#'!$A:$Z,23,FALSE)</f>
        <v>34</v>
      </c>
      <c r="X382" s="1">
        <f>VLOOKUP($B382&amp;"__wt",'SegEnds_Xtal_BW#'!$A:$Z,24,FALSE)</f>
        <v>57</v>
      </c>
      <c r="Y382" s="1">
        <f>VLOOKUP($B382&amp;"__wt",'SegEnds_Xtal_BW#'!$A:$Z,25,FALSE)</f>
        <v>47</v>
      </c>
      <c r="Z382" s="1">
        <f>VLOOKUP($B382&amp;"__wt",'SegEnds_Xtal_BW#'!$A:$Z,26,FALSE)</f>
        <v>62</v>
      </c>
      <c r="AA382" s="27" t="str">
        <f>VLOOKUP(A382,Classification!A:B,2,FALSE)</f>
        <v>F</v>
      </c>
      <c r="AB382" s="1">
        <f>VLOOKUP(A382,'SegEnds_NonXtal_Prot#'!A:AL,10,FALSE)-VLOOKUP(A382,'SegEnds_NonXtal_Prot#'!A:AL,4,FALSE)</f>
        <v>27</v>
      </c>
      <c r="AC382" s="1">
        <f>VLOOKUP(A382,'SegEnds_NonXtal_Prot#'!A:AL,10,FALSE)-VLOOKUP(A382,'SegEnds_NonXtal_Prot#'!A:AL,7,FALSE)</f>
        <v>13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67</v>
      </c>
      <c r="AF382" s="1" t="e">
        <f>VLOOKUP(A382,'SegEnds_NonXtal_Prot#'!A:AL,22,FALSE)-VLOOKUP(A382,'SegEnds_NonXtal_Prot#'!A:AL,19,FALSE)</f>
        <v>#VALUE!</v>
      </c>
      <c r="AG382" s="1">
        <f>VLOOKUP(A382,'SegEnds_NonXtal_Prot#'!A:AL,28,FALSE)-VLOOKUP(A382,'SegEnds_NonXtal_Prot#'!A:AL,25,FALSE)</f>
        <v>21</v>
      </c>
      <c r="AH382" s="1">
        <f>VLOOKUP(A382,'SegEnds_NonXtal_Prot#'!A:AL,28,FALSE)-VLOOKUP(A382,'SegEnds_NonXtal_Prot#'!A:AL,22,FALSE)</f>
        <v>46</v>
      </c>
      <c r="AI382" s="1">
        <f>VLOOKUP(A382,'SegEnds_NonXtal_Prot#'!A:AL,31,FALSE)-VLOOKUP(A382,'SegEnds_NonXtal_Prot#'!A:AL,28,FALSE)</f>
        <v>57</v>
      </c>
      <c r="AJ382" s="1">
        <f>VLOOKUP(A382,'SegEnds_NonXtal_Prot#'!A:AL,34,FALSE)-VLOOKUP(A382,'SegEnds_NonXtal_Prot#'!A:AL,31,FALSE)</f>
        <v>62</v>
      </c>
      <c r="AK382" s="1">
        <f>VLOOKUP(A382,'SegEnds_NonXtal_Prot#'!A:AL,37,FALSE)-VLOOKUP(A382,'SegEnds_NonXtal_Prot#'!A:AL,34,FALSE)</f>
        <v>11</v>
      </c>
      <c r="AL382" s="1" t="str">
        <f>IF(ISERROR(MATCH(A382,'SegEnds_Xtal_Prot#'!B:B, 0)), "NoXtal", "Xtal")</f>
        <v>Xtal</v>
      </c>
    </row>
    <row r="383" spans="1:38" x14ac:dyDescent="0.2">
      <c r="A383" s="1" t="s">
        <v>1594</v>
      </c>
      <c r="B383" s="1" t="str">
        <f>VLOOKUP(A383,Xtal_Templ!A:B,2,FALSE)</f>
        <v>smo_mouse</v>
      </c>
      <c r="C383" s="5">
        <f>VLOOKUP($B383&amp;"__wt",'SegEnds_Xtal_BW#'!$A:$Z,3,FALSE)</f>
        <v>28</v>
      </c>
      <c r="D383" s="1">
        <f>VLOOKUP($B383&amp;"__wt",'SegEnds_Xtal_BW#'!$A:$Z,4,FALSE)</f>
        <v>60</v>
      </c>
      <c r="E383" s="1">
        <f>VLOOKUP($B383&amp;"__wt",'SegEnds_Xtal_BW#'!$A:$Z,5,FALSE)</f>
        <v>47</v>
      </c>
      <c r="F383" s="1">
        <f>VLOOKUP($B383&amp;"__wt",'SegEnds_Xtal_BW#'!$A:$Z,6,FALSE)</f>
        <v>51</v>
      </c>
      <c r="G383" s="1">
        <v>41</v>
      </c>
      <c r="H383" s="12">
        <f>VLOOKUP($B383&amp;"__wt",'SegEnds_Xtal_BW#'!$A:$Z,8,FALSE)</f>
        <v>63</v>
      </c>
      <c r="I383" s="1" t="str">
        <f>VLOOKUP($B383&amp;"__wt",'SegEnds_Xtal_BW#'!$A:$Z,9,FALSE)</f>
        <v>-</v>
      </c>
      <c r="J383" s="1" t="str">
        <f>VLOOKUP($B383&amp;"__wt",'SegEnds_Xtal_BW#'!$A:$Z,10,FALSE)</f>
        <v>-</v>
      </c>
      <c r="K383" s="12">
        <f>VLOOKUP($B383&amp;"__wt",'SegEnds_Xtal_BW#'!$A:$Z,11,FALSE)</f>
        <v>23</v>
      </c>
      <c r="L383" s="1">
        <f>VLOOKUP($B383&amp;"__wt",'SegEnds_Xtal_BW#'!$A:$Z,12,FALSE)</f>
        <v>56</v>
      </c>
      <c r="M383" s="1" t="str">
        <f>VLOOKUP($B383&amp;"__wt",'SegEnds_Xtal_BW#'!$A:$Z,13,FALSE)</f>
        <v>-</v>
      </c>
      <c r="N383" s="12" t="str">
        <f>VLOOKUP($B383&amp;"__wt",'SegEnds_Xtal_BW#'!$A:$Z,14,FALSE)</f>
        <v>-</v>
      </c>
      <c r="O383" s="87">
        <f>VLOOKUP($B383&amp;"__wt",'SegEnds_Xtal_BW#'!$A:$Z,15,FALSE)</f>
        <v>41</v>
      </c>
      <c r="P383" s="1">
        <f>VLOOKUP($B383&amp;"__wt",'SegEnds_Xtal_BW#'!$A:$Z,16,FALSE)</f>
        <v>64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f>VLOOKUP($B383&amp;"__wt",'SegEnds_Xtal_BW#'!$A:$Z,19,FALSE)</f>
        <v>35</v>
      </c>
      <c r="T383" s="1">
        <f>VLOOKUP($B383&amp;"__wt",'SegEnds_Xtal_BW#'!$A:$Z,20,FALSE)</f>
        <v>72</v>
      </c>
      <c r="U383" s="1">
        <f>VLOOKUP($B383&amp;"__wt",'SegEnds_Xtal_BW#'!$A:$Z,21,FALSE)</f>
        <v>20</v>
      </c>
      <c r="V383" s="1">
        <f>VLOOKUP($B383&amp;"__wt",'SegEnds_Xtal_BW#'!$A:$Z,22,FALSE)</f>
        <v>78</v>
      </c>
      <c r="W383" s="1">
        <f>VLOOKUP($B383&amp;"__wt",'SegEnds_Xtal_BW#'!$A:$Z,23,FALSE)</f>
        <v>34</v>
      </c>
      <c r="X383" s="1">
        <f>VLOOKUP($B383&amp;"__wt",'SegEnds_Xtal_BW#'!$A:$Z,24,FALSE)</f>
        <v>57</v>
      </c>
      <c r="Y383" s="1">
        <f>VLOOKUP($B383&amp;"__wt",'SegEnds_Xtal_BW#'!$A:$Z,25,FALSE)</f>
        <v>47</v>
      </c>
      <c r="Z383" s="1">
        <f>VLOOKUP($B383&amp;"__wt",'SegEnds_Xtal_BW#'!$A:$Z,26,FALSE)</f>
        <v>62</v>
      </c>
      <c r="AA383" s="27" t="str">
        <f>VLOOKUP(A383,Classification!A:B,2,FALSE)</f>
        <v>F</v>
      </c>
      <c r="AB383" s="1">
        <f>VLOOKUP(A383,'SegEnds_NonXtal_Prot#'!A:AL,10,FALSE)-VLOOKUP(A383,'SegEnds_NonXtal_Prot#'!A:AL,4,FALSE)</f>
        <v>27</v>
      </c>
      <c r="AC383" s="1">
        <f>VLOOKUP(A383,'SegEnds_NonXtal_Prot#'!A:AL,10,FALSE)-VLOOKUP(A383,'SegEnds_NonXtal_Prot#'!A:AL,7,FALSE)</f>
        <v>13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67</v>
      </c>
      <c r="AF383" s="1" t="e">
        <f>VLOOKUP(A383,'SegEnds_NonXtal_Prot#'!A:AL,22,FALSE)-VLOOKUP(A383,'SegEnds_NonXtal_Prot#'!A:AL,19,FALSE)</f>
        <v>#VALUE!</v>
      </c>
      <c r="AG383" s="1">
        <f>VLOOKUP(A383,'SegEnds_NonXtal_Prot#'!A:AL,28,FALSE)-VLOOKUP(A383,'SegEnds_NonXtal_Prot#'!A:AL,25,FALSE)</f>
        <v>21</v>
      </c>
      <c r="AH383" s="1">
        <f>VLOOKUP(A383,'SegEnds_NonXtal_Prot#'!A:AL,28,FALSE)-VLOOKUP(A383,'SegEnds_NonXtal_Prot#'!A:AL,22,FALSE)</f>
        <v>46</v>
      </c>
      <c r="AI383" s="1">
        <f>VLOOKUP(A383,'SegEnds_NonXtal_Prot#'!A:AL,31,FALSE)-VLOOKUP(A383,'SegEnds_NonXtal_Prot#'!A:AL,28,FALSE)</f>
        <v>57</v>
      </c>
      <c r="AJ383" s="1">
        <f>VLOOKUP(A383,'SegEnds_NonXtal_Prot#'!A:AL,34,FALSE)-VLOOKUP(A383,'SegEnds_NonXtal_Prot#'!A:AL,31,FALSE)</f>
        <v>62</v>
      </c>
      <c r="AK383" s="1">
        <f>VLOOKUP(A383,'SegEnds_NonXtal_Prot#'!A:AL,37,FALSE)-VLOOKUP(A383,'SegEnds_NonXtal_Prot#'!A:AL,34,FALSE)</f>
        <v>11</v>
      </c>
      <c r="AL383" s="1" t="str">
        <f>IF(ISERROR(MATCH(A383,'SegEnds_Xtal_Prot#'!B:B, 0)), "NoXtal", "Xtal")</f>
        <v>Xtal</v>
      </c>
    </row>
    <row r="384" spans="1:38" x14ac:dyDescent="0.2">
      <c r="A384" s="1" t="s">
        <v>481</v>
      </c>
      <c r="B384" s="1" t="str">
        <f>VLOOKUP(A384,Xtal_Templ!A:B,2,FALSE)</f>
        <v>agtr1_human</v>
      </c>
      <c r="C384" s="5">
        <f>VLOOKUP($B384&amp;"__wt",'SegEnds_Xtal_BW#'!$A:$Z,3,FALSE)</f>
        <v>28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f>VLOOKUP($B384&amp;"__wt",'SegEnds_Xtal_BW#'!$A:$Z,16,FALSE)</f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18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81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83</v>
      </c>
      <c r="AI384" s="1">
        <f>VLOOKUP(A384,'SegEnds_NonXtal_Prot#'!A:AL,31,FALSE)-VLOOKUP(A384,'SegEnds_NonXtal_Prot#'!A:AL,28,FALSE)</f>
        <v>79</v>
      </c>
      <c r="AJ384" s="1">
        <f>VLOOKUP(A384,'SegEnds_NonXtal_Prot#'!A:AL,34,FALSE)-VLOOKUP(A384,'SegEnds_NonXtal_Prot#'!A:AL,31,FALSE)</f>
        <v>33</v>
      </c>
      <c r="AK384" s="1">
        <f>VLOOKUP(A384,'SegEnds_NonXtal_Prot#'!A:AL,37,FALSE)-VLOOKUP(A384,'SegEnds_NonXtal_Prot#'!A:AL,34,FALSE)</f>
        <v>10</v>
      </c>
      <c r="AL384" s="1" t="str">
        <f>IF(ISERROR(MATCH(A384,'SegEnds_Xtal_Prot#'!B:B, 0)), "NoXtal", "Xtal")</f>
        <v>NoXtal</v>
      </c>
    </row>
    <row r="385" spans="1:38" x14ac:dyDescent="0.2">
      <c r="A385" s="1" t="s">
        <v>484</v>
      </c>
      <c r="B385" s="1" t="str">
        <f>VLOOKUP(A385,Xtal_Templ!A:B,2,FALSE)</f>
        <v>pe2r4_human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08">
        <v>61</v>
      </c>
      <c r="Q385" s="1" t="s">
        <v>23</v>
      </c>
      <c r="R385" s="1" t="s">
        <v>23</v>
      </c>
      <c r="S385" s="108">
        <v>40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32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45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25</v>
      </c>
      <c r="AI385" s="1">
        <f>VLOOKUP(A385,'SegEnds_NonXtal_Prot#'!A:AL,31,FALSE)-VLOOKUP(A385,'SegEnds_NonXtal_Prot#'!A:AL,28,FALSE)</f>
        <v>76</v>
      </c>
      <c r="AJ385" s="1">
        <f>VLOOKUP(A385,'SegEnds_NonXtal_Prot#'!A:AL,34,FALSE)-VLOOKUP(A385,'SegEnds_NonXtal_Prot#'!A:AL,31,FALSE)</f>
        <v>36</v>
      </c>
      <c r="AK385" s="1">
        <f>VLOOKUP(A385,'SegEnds_NonXtal_Prot#'!A:AL,37,FALSE)-VLOOKUP(A385,'SegEnds_NonXtal_Prot#'!A:AL,34,FALSE)</f>
        <v>24</v>
      </c>
      <c r="AL385" s="1" t="str">
        <f>IF(ISERROR(MATCH(A385,'SegEnds_Xtal_Prot#'!B:B, 0)), "NoXtal", "Xtal")</f>
        <v>NoXtal</v>
      </c>
    </row>
    <row r="386" spans="1:38" x14ac:dyDescent="0.2">
      <c r="A386" s="1" t="s">
        <v>482</v>
      </c>
      <c r="B386" s="1" t="str">
        <f>VLOOKUP(A386,Xtal_Templ!A:B,2,FALSE)</f>
        <v>ccr9_human</v>
      </c>
      <c r="C386" s="5">
        <f>VLOOKUP($B386&amp;"__wt",'SegEnds_Xtal_BW#'!$A:$Z,3,FALSE)</f>
        <v>27</v>
      </c>
      <c r="D386" s="1">
        <v>60</v>
      </c>
      <c r="E386" s="1" t="s">
        <v>23</v>
      </c>
      <c r="F386" s="1" t="s">
        <v>23</v>
      </c>
      <c r="G386" s="1">
        <v>39</v>
      </c>
      <c r="H386" s="12">
        <v>63</v>
      </c>
      <c r="I386" s="1" t="s">
        <v>23</v>
      </c>
      <c r="J386" s="1" t="s">
        <v>23</v>
      </c>
      <c r="K386" s="12">
        <v>23</v>
      </c>
      <c r="L386" s="1">
        <v>56</v>
      </c>
      <c r="M386" s="1" t="s">
        <v>23</v>
      </c>
      <c r="N386" s="12" t="s">
        <v>23</v>
      </c>
      <c r="O386" s="87">
        <v>40</v>
      </c>
      <c r="P386" s="1">
        <v>64</v>
      </c>
      <c r="Q386" s="1" t="s">
        <v>23</v>
      </c>
      <c r="R386" s="1" t="s">
        <v>23</v>
      </c>
      <c r="S386" s="1">
        <v>39</v>
      </c>
      <c r="T386" s="1">
        <v>61</v>
      </c>
      <c r="U386" s="1">
        <v>29</v>
      </c>
      <c r="V386" s="1">
        <v>53</v>
      </c>
      <c r="W386" s="1">
        <v>35</v>
      </c>
      <c r="X386" s="1">
        <v>56</v>
      </c>
      <c r="Y386" s="1">
        <v>47</v>
      </c>
      <c r="Z386" s="1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49</v>
      </c>
      <c r="AC386" s="1" t="e">
        <f>VLOOKUP(A386,'SegEnds_NonXtal_Prot#'!A:AL,10,FALSE)-VLOOKUP(A386,'SegEnds_NonXtal_Prot#'!A:AL,7,FALSE)</f>
        <v>#VALUE!</v>
      </c>
      <c r="AD386" s="1" t="e">
        <f>VLOOKUP(A386,'SegEnds_NonXtal_Prot#'!A:AL,13,FALSE)-VLOOKUP(A386,'SegEnds_NonXtal_Prot#'!A:AL,10,FALSE)</f>
        <v>#VALUE!</v>
      </c>
      <c r="AE386" s="1">
        <f>VLOOKUP(A386,'SegEnds_NonXtal_Prot#'!A:AL,16,FALSE)-VLOOKUP(A386,'SegEnds_NonXtal_Prot#'!A:AL,10,FALSE)</f>
        <v>74</v>
      </c>
      <c r="AF386" s="1" t="e">
        <f>VLOOKUP(A386,'SegEnds_NonXtal_Prot#'!A:AL,22,FALSE)-VLOOKUP(A386,'SegEnds_NonXtal_Prot#'!A:AL,19,FALSE)</f>
        <v>#VALUE!</v>
      </c>
      <c r="AG386" s="1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81</v>
      </c>
      <c r="AI386" s="1">
        <f>VLOOKUP(A386,'SegEnds_NonXtal_Prot#'!A:AL,31,FALSE)-VLOOKUP(A386,'SegEnds_NonXtal_Prot#'!A:AL,28,FALSE)</f>
        <v>37</v>
      </c>
      <c r="AJ386" s="1">
        <f>VLOOKUP(A386,'SegEnds_NonXtal_Prot#'!A:AL,34,FALSE)-VLOOKUP(A386,'SegEnds_NonXtal_Prot#'!A:AL,31,FALSE)</f>
        <v>44</v>
      </c>
      <c r="AK386" s="1">
        <f>VLOOKUP(A386,'SegEnds_NonXtal_Prot#'!A:AL,37,FALSE)-VLOOKUP(A386,'SegEnds_NonXtal_Prot#'!A:AL,34,FALSE)</f>
        <v>11</v>
      </c>
      <c r="AL386" s="1" t="str">
        <f>IF(ISERROR(MATCH(A386,'SegEnds_Xtal_Prot#'!B:B, 0)), "NoXtal", "Xtal")</f>
        <v>NoXtal</v>
      </c>
    </row>
    <row r="387" spans="1:38" x14ac:dyDescent="0.2">
      <c r="A387" s="1" t="s">
        <v>486</v>
      </c>
      <c r="B387" s="1" t="str">
        <f>VLOOKUP(A387,Xtal_Templ!A:B,2,FALSE)</f>
        <v>5ht2c_human</v>
      </c>
      <c r="C387" s="5">
        <f>VLOOKUP($B387&amp;"__wt",'SegEnds_Xtal_BW#'!$A:$Z,3,FALSE)</f>
        <v>33</v>
      </c>
      <c r="D387" s="1">
        <v>60</v>
      </c>
      <c r="E387" s="1" t="s">
        <v>23</v>
      </c>
      <c r="F387" s="1" t="s">
        <v>23</v>
      </c>
      <c r="G387" s="1">
        <v>39</v>
      </c>
      <c r="H387" s="12">
        <v>63</v>
      </c>
      <c r="I387" s="1" t="s">
        <v>23</v>
      </c>
      <c r="J387" s="1" t="s">
        <v>23</v>
      </c>
      <c r="K387" s="12">
        <v>23</v>
      </c>
      <c r="L387" s="1">
        <v>56</v>
      </c>
      <c r="M387" s="1" t="s">
        <v>23</v>
      </c>
      <c r="N387" s="12" t="s">
        <v>23</v>
      </c>
      <c r="O387" s="87">
        <v>40</v>
      </c>
      <c r="P387" s="1">
        <v>64</v>
      </c>
      <c r="Q387" s="1" t="s">
        <v>23</v>
      </c>
      <c r="R387" s="1" t="s">
        <v>23</v>
      </c>
      <c r="S387" s="1">
        <v>39</v>
      </c>
      <c r="T387" s="1">
        <v>61</v>
      </c>
      <c r="U387" s="1">
        <v>29</v>
      </c>
      <c r="V387" s="1">
        <v>53</v>
      </c>
      <c r="W387" s="1">
        <v>35</v>
      </c>
      <c r="X387" s="1">
        <v>56</v>
      </c>
      <c r="Y387" s="1">
        <v>47</v>
      </c>
      <c r="Z387" s="1">
        <v>57</v>
      </c>
      <c r="AA387" s="27" t="str">
        <f>VLOOKUP(A387,Classification!A:B,2,FALSE)</f>
        <v>O</v>
      </c>
      <c r="AB387" s="1">
        <f>VLOOKUP(A387,'SegEnds_NonXtal_Prot#'!A:AL,10,FALSE)-VLOOKUP(A387,'SegEnds_NonXtal_Prot#'!A:AL,4,FALSE)</f>
        <v>28</v>
      </c>
      <c r="AC387" s="1" t="e">
        <f>VLOOKUP(A387,'SegEnds_NonXtal_Prot#'!A:AL,10,FALSE)-VLOOKUP(A387,'SegEnds_NonXtal_Prot#'!A:AL,7,FALSE)</f>
        <v>#VALUE!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47</v>
      </c>
      <c r="AF387" s="1" t="e">
        <f>VLOOKUP(A387,'SegEnds_NonXtal_Prot#'!A:AL,22,FALSE)-VLOOKUP(A387,'SegEnds_NonXtal_Prot#'!A:AL,19,FALSE)</f>
        <v>#VALUE!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29</v>
      </c>
      <c r="AI387" s="1">
        <f>VLOOKUP(A387,'SegEnds_NonXtal_Prot#'!A:AL,31,FALSE)-VLOOKUP(A387,'SegEnds_NonXtal_Prot#'!A:AL,28,FALSE)</f>
        <v>67</v>
      </c>
      <c r="AJ387" s="1">
        <f>VLOOKUP(A387,'SegEnds_NonXtal_Prot#'!A:AL,34,FALSE)-VLOOKUP(A387,'SegEnds_NonXtal_Prot#'!A:AL,31,FALSE)</f>
        <v>45</v>
      </c>
      <c r="AK387" s="1">
        <f>VLOOKUP(A387,'SegEnds_NonXtal_Prot#'!A:AL,37,FALSE)-VLOOKUP(A387,'SegEnds_NonXtal_Prot#'!A:AL,34,FALSE)</f>
        <v>18</v>
      </c>
      <c r="AL387" s="1" t="str">
        <f>IF(ISERROR(MATCH(A387,'SegEnds_Xtal_Prot#'!B:B, 0)), "NoXtal", "Xtal")</f>
        <v>NoXtal</v>
      </c>
    </row>
    <row r="388" spans="1:38" x14ac:dyDescent="0.2">
      <c r="A388" s="4" t="s">
        <v>485</v>
      </c>
      <c r="B388" s="4" t="str">
        <f>VLOOKUP(A388,Xtal_Templ!A:B,2,FALSE)</f>
        <v>aa2ar_human</v>
      </c>
      <c r="C388" s="5">
        <f>VLOOKUP($B388&amp;"__wt",'SegEnds_Xtal_BW#'!$A:$Z,3,FALSE)</f>
        <v>27</v>
      </c>
      <c r="D388" s="4">
        <v>60</v>
      </c>
      <c r="E388" s="4" t="s">
        <v>23</v>
      </c>
      <c r="F388" s="4" t="s">
        <v>23</v>
      </c>
      <c r="G388" s="4">
        <v>39</v>
      </c>
      <c r="H388" s="11">
        <v>63</v>
      </c>
      <c r="I388" s="4" t="s">
        <v>23</v>
      </c>
      <c r="J388" s="4" t="s">
        <v>23</v>
      </c>
      <c r="K388" s="11">
        <v>23</v>
      </c>
      <c r="L388" s="4">
        <v>56</v>
      </c>
      <c r="M388" s="4" t="s">
        <v>23</v>
      </c>
      <c r="N388" s="11" t="s">
        <v>23</v>
      </c>
      <c r="O388" s="88">
        <v>40</v>
      </c>
      <c r="P388" s="4">
        <v>64</v>
      </c>
      <c r="Q388" s="4" t="s">
        <v>23</v>
      </c>
      <c r="R388" s="4" t="s">
        <v>23</v>
      </c>
      <c r="S388" s="4">
        <v>39</v>
      </c>
      <c r="T388" s="4">
        <v>61</v>
      </c>
      <c r="U388" s="4">
        <v>29</v>
      </c>
      <c r="V388" s="4">
        <v>53</v>
      </c>
      <c r="W388" s="4">
        <v>35</v>
      </c>
      <c r="X388" s="4">
        <v>56</v>
      </c>
      <c r="Y388" s="4">
        <v>47</v>
      </c>
      <c r="Z388" s="4">
        <v>57</v>
      </c>
      <c r="AA388" s="27" t="str">
        <f>VLOOKUP(A388,Classification!A:B,2,FALSE)</f>
        <v>O</v>
      </c>
      <c r="AB388" s="1">
        <f>VLOOKUP(A388,'SegEnds_NonXtal_Prot#'!A:AL,10,FALSE)-VLOOKUP(A388,'SegEnds_NonXtal_Prot#'!A:AL,4,FALSE)</f>
        <v>36</v>
      </c>
      <c r="AC388" s="4" t="e">
        <f>VLOOKUP(A388,'SegEnds_NonXtal_Prot#'!A:AL,10,FALSE)-VLOOKUP(A388,'SegEnds_NonXtal_Prot#'!A:AL,7,FALSE)</f>
        <v>#VALUE!</v>
      </c>
      <c r="AD388" s="4" t="e">
        <f>VLOOKUP(A388,'SegEnds_NonXtal_Prot#'!A:AL,13,FALSE)-VLOOKUP(A388,'SegEnds_NonXtal_Prot#'!A:AL,10,FALSE)</f>
        <v>#VALUE!</v>
      </c>
      <c r="AE388" s="4">
        <f>VLOOKUP(A388,'SegEnds_NonXtal_Prot#'!A:AL,16,FALSE)-VLOOKUP(A388,'SegEnds_NonXtal_Prot#'!A:AL,10,FALSE)</f>
        <v>63</v>
      </c>
      <c r="AF388" s="1" t="e">
        <f>VLOOKUP(A388,'SegEnds_NonXtal_Prot#'!A:AL,22,FALSE)-VLOOKUP(A388,'SegEnds_NonXtal_Prot#'!A:AL,19,FALSE)</f>
        <v>#VALUE!</v>
      </c>
      <c r="AG388" s="4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39</v>
      </c>
      <c r="AI388" s="4">
        <f>VLOOKUP(A388,'SegEnds_NonXtal_Prot#'!A:AL,31,FALSE)-VLOOKUP(A388,'SegEnds_NonXtal_Prot#'!A:AL,28,FALSE)</f>
        <v>58</v>
      </c>
      <c r="AJ388" s="4">
        <f>VLOOKUP(A388,'SegEnds_NonXtal_Prot#'!A:AL,34,FALSE)-VLOOKUP(A388,'SegEnds_NonXtal_Prot#'!A:AL,31,FALSE)</f>
        <v>49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929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8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33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51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52</v>
      </c>
      <c r="AI389" s="1">
        <f>VLOOKUP(A389,'SegEnds_NonXtal_Prot#'!A:AL,31,FALSE)-VLOOKUP(A389,'SegEnds_NonXtal_Prot#'!A:AL,28,FALSE)</f>
        <v>56</v>
      </c>
      <c r="AJ389" s="1">
        <f>VLOOKUP(A389,'SegEnds_NonXtal_Prot#'!A:AL,34,FALSE)-VLOOKUP(A389,'SegEnds_NonXtal_Prot#'!A:AL,31,FALSE)</f>
        <v>33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457</v>
      </c>
      <c r="B390" s="1" t="str">
        <f>VLOOKUP(A390,Xtal_Templ!A:B,2,FALSE)</f>
        <v>5ht2a_human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67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67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52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54</v>
      </c>
      <c r="AI390" s="1">
        <f>VLOOKUP(A390,'SegEnds_NonXtal_Prot#'!A:AL,31,FALSE)-VLOOKUP(A390,'SegEnds_NonXtal_Prot#'!A:AL,28,FALSE)</f>
        <v>53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458</v>
      </c>
      <c r="B391" s="1" t="str">
        <f>VLOOKUP(A391,Xtal_Templ!A:B,2,FALSE)</f>
        <v>5ht2c_human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67</v>
      </c>
      <c r="I391" s="1" t="s">
        <v>23</v>
      </c>
      <c r="J391" s="1" t="s">
        <v>23</v>
      </c>
      <c r="K391" s="12">
        <v>21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7">
        <v>38</v>
      </c>
      <c r="P391" s="1">
        <f>VLOOKUP($B391&amp;"__wt",'SegEnds_Xtal_BW#'!$A:$Z,16,FALSE)</f>
        <v>67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52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54</v>
      </c>
      <c r="AI391" s="1">
        <f>VLOOKUP(A391,'SegEnds_NonXtal_Prot#'!A:AL,31,FALSE)-VLOOKUP(A391,'SegEnds_NonXtal_Prot#'!A:AL,28,FALSE)</f>
        <v>52</v>
      </c>
      <c r="AJ391" s="1">
        <f>VLOOKUP(A391,'SegEnds_NonXtal_Prot#'!A:AL,34,FALSE)-VLOOKUP(A391,'SegEnds_NonXtal_Prot#'!A:AL,31,FALSE)</f>
        <v>35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459</v>
      </c>
      <c r="B392" s="1" t="str">
        <f>VLOOKUP(A392,Xtal_Templ!A:B,2,FALSE)</f>
        <v>pd2r2_human</v>
      </c>
      <c r="C392" s="5">
        <v>32</v>
      </c>
      <c r="D392" s="1">
        <v>62</v>
      </c>
      <c r="E392" s="1" t="str">
        <f>VLOOKUP($B392&amp;"__wt",'SegEnds_Xtal_BW#'!$A:$Z,5,FALSE)</f>
        <v>-</v>
      </c>
      <c r="F392" s="1" t="str">
        <f>VLOOKUP($B392&amp;"__wt",'SegEnds_Xtal_BW#'!$A:$Z,6,FALSE)</f>
        <v>-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24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47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56</v>
      </c>
      <c r="AI392" s="1">
        <f>VLOOKUP(A392,'SegEnds_NonXtal_Prot#'!A:AL,31,FALSE)-VLOOKUP(A392,'SegEnds_NonXtal_Prot#'!A:AL,28,FALSE)</f>
        <v>50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465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18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466</v>
      </c>
      <c r="B394" s="1" t="str">
        <f>VLOOKUP(A394,Xtal_Templ!A:B,2,FALSE)</f>
        <v>5ht2a_human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7">
        <v>38</v>
      </c>
      <c r="P394" s="1">
        <f>VLOOKUP($B394&amp;"__wt",'SegEnds_Xtal_BW#'!$A:$Z,16,FALSE)</f>
        <v>67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57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1" t="s">
        <v>467</v>
      </c>
      <c r="B395" s="1" t="str">
        <f>VLOOKUP(A395,Xtal_Templ!A:B,2,FALSE)</f>
        <v>drd2_human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8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1">
        <f>VLOOKUP(A395,'SegEnds_NonXtal_Prot#'!A:AL,10,FALSE)-VLOOKUP(A395,'SegEnds_NonXtal_Prot#'!A:AL,7,FALSE)</f>
        <v>16</v>
      </c>
      <c r="AD395" s="1" t="e">
        <f>VLOOKUP(A395,'SegEnds_NonXtal_Prot#'!A:AL,13,FALSE)-VLOOKUP(A395,'SegEnds_NonXtal_Prot#'!A:AL,10,FALSE)</f>
        <v>#VALUE!</v>
      </c>
      <c r="AE395" s="1">
        <f>VLOOKUP(A395,'SegEnds_NonXtal_Prot#'!A:AL,16,FALSE)-VLOOKUP(A395,'SegEnds_NonXtal_Prot#'!A:AL,10,FALSE)</f>
        <v>52</v>
      </c>
      <c r="AF395" s="1">
        <f>VLOOKUP(A395,'SegEnds_NonXtal_Prot#'!A:AL,22,FALSE)-VLOOKUP(A395,'SegEnds_NonXtal_Prot#'!A:AL,19,FALSE)</f>
        <v>20</v>
      </c>
      <c r="AG395" s="1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56</v>
      </c>
      <c r="AI395" s="1">
        <f>VLOOKUP(A395,'SegEnds_NonXtal_Prot#'!A:AL,31,FALSE)-VLOOKUP(A395,'SegEnds_NonXtal_Prot#'!A:AL,28,FALSE)</f>
        <v>53</v>
      </c>
      <c r="AJ395" s="1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472</v>
      </c>
      <c r="B396" s="1" t="str">
        <f>VLOOKUP(A396,Xtal_Templ!A:B,2,FALSE)</f>
        <v>oprk_human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18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88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31</v>
      </c>
      <c r="AC396" s="1">
        <f>VLOOKUP(A396,'SegEnds_NonXtal_Prot#'!A:AL,10,FALSE)-VLOOKUP(A396,'SegEnds_NonXtal_Prot#'!A:AL,7,FALSE)</f>
        <v>16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58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35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4" t="s">
        <v>474</v>
      </c>
      <c r="B397" s="4" t="str">
        <f>VLOOKUP(A397,Xtal_Templ!A:B,2,FALSE)</f>
        <v>cxcr4_human</v>
      </c>
      <c r="C397" s="5">
        <v>32</v>
      </c>
      <c r="D397" s="4">
        <v>62</v>
      </c>
      <c r="E397" s="4">
        <f>VLOOKUP($B397&amp;"__wt",'SegEnds_Xtal_BW#'!$A:$Z,5,FALSE)</f>
        <v>48</v>
      </c>
      <c r="F397" s="4">
        <f>VLOOKUP($B397&amp;"__wt",'SegEnds_Xtal_BW#'!$A:$Z,6,FALSE)</f>
        <v>51</v>
      </c>
      <c r="G397" s="4">
        <v>39</v>
      </c>
      <c r="H397" s="11">
        <v>66</v>
      </c>
      <c r="I397" s="4" t="s">
        <v>23</v>
      </c>
      <c r="J397" s="4" t="s">
        <v>23</v>
      </c>
      <c r="K397" s="11">
        <v>24</v>
      </c>
      <c r="L397" s="4">
        <f>VLOOKUP($B397&amp;"__wt",'SegEnds_Xtal_BW#'!$A:$Z,12,FALSE)</f>
        <v>56</v>
      </c>
      <c r="M397" s="4">
        <f>VLOOKUP($B397&amp;"__wt",'SegEnds_Xtal_BW#'!$A:$Z,13,FALSE)</f>
        <v>50</v>
      </c>
      <c r="N397" s="11">
        <v>57</v>
      </c>
      <c r="O397" s="88">
        <v>38</v>
      </c>
      <c r="P397" s="4">
        <f>VLOOKUP($B397&amp;"__wt",'SegEnds_Xtal_BW#'!$A:$Z,16,FALSE)</f>
        <v>64</v>
      </c>
      <c r="Q397" s="4">
        <f>VLOOKUP($B397&amp;"__wt",'SegEnds_Xtal_BW#'!$A:$Z,17,FALSE)</f>
        <v>50</v>
      </c>
      <c r="R397" s="4">
        <f>VLOOKUP($B397&amp;"__wt",'SegEnds_Xtal_BW#'!$A:$Z,18,FALSE)</f>
        <v>52</v>
      </c>
      <c r="S397" s="4">
        <v>32</v>
      </c>
      <c r="T397" s="4">
        <v>72</v>
      </c>
      <c r="U397" s="4">
        <v>29</v>
      </c>
      <c r="V397" s="4">
        <v>61</v>
      </c>
      <c r="W397" s="4">
        <v>31</v>
      </c>
      <c r="X397" s="4">
        <f>VLOOKUP($B397&amp;"__wt",'SegEnds_Xtal_BW#'!$A:$Z,24,FALSE)</f>
        <v>56</v>
      </c>
      <c r="Y397" s="4">
        <f>VLOOKUP($B397&amp;"__wt",'SegEnds_Xtal_BW#'!$A:$Z,25,FALSE)</f>
        <v>47</v>
      </c>
      <c r="Z397" s="4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4">
        <f>VLOOKUP(A397,'SegEnds_NonXtal_Prot#'!A:AL,10,FALSE)-VLOOKUP(A397,'SegEnds_NonXtal_Prot#'!A:AL,7,FALSE)</f>
        <v>16</v>
      </c>
      <c r="AD397" s="4" t="e">
        <f>VLOOKUP(A397,'SegEnds_NonXtal_Prot#'!A:AL,13,FALSE)-VLOOKUP(A397,'SegEnds_NonXtal_Prot#'!A:AL,10,FALSE)</f>
        <v>#VALUE!</v>
      </c>
      <c r="AE397" s="4">
        <f>VLOOKUP(A397,'SegEnds_NonXtal_Prot#'!A:AL,16,FALSE)-VLOOKUP(A397,'SegEnds_NonXtal_Prot#'!A:AL,10,FALSE)</f>
        <v>48</v>
      </c>
      <c r="AF397" s="1">
        <f>VLOOKUP(A397,'SegEnds_NonXtal_Prot#'!A:AL,22,FALSE)-VLOOKUP(A397,'SegEnds_NonXtal_Prot#'!A:AL,19,FALSE)</f>
        <v>20</v>
      </c>
      <c r="AG397" s="4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54</v>
      </c>
      <c r="AI397" s="4">
        <f>VLOOKUP(A397,'SegEnds_NonXtal_Prot#'!A:AL,31,FALSE)-VLOOKUP(A397,'SegEnds_NonXtal_Prot#'!A:AL,28,FALSE)</f>
        <v>53</v>
      </c>
      <c r="AJ397" s="4">
        <f>VLOOKUP(A397,'SegEnds_NonXtal_Prot#'!A:AL,34,FALSE)-VLOOKUP(A397,'SegEnds_NonXtal_Prot#'!A:AL,31,FALSE)</f>
        <v>35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456</v>
      </c>
      <c r="B398" s="1" t="str">
        <f>VLOOKUP(A398,Xtal_Templ!A:B,2,FALSE)</f>
        <v>drd2_human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67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f>VLOOKUP($B398&amp;"__wt",'SegEnds_Xtal_BW#'!$A:$Z,14,FALSE)</f>
        <v>58</v>
      </c>
      <c r="O398" s="88">
        <v>38</v>
      </c>
      <c r="P398" s="1">
        <f>VLOOKUP($B398&amp;"__wt",'SegEnds_Xtal_BW#'!$A:$Z,16,FALSE)</f>
        <v>62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30</v>
      </c>
      <c r="AC398" s="1">
        <f>VLOOKUP(A398,'SegEnds_NonXtal_Prot#'!A:AL,10,FALSE)-VLOOKUP(A398,'SegEnds_NonXtal_Prot#'!A:AL,7,FALSE)</f>
        <v>15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52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50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460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461</v>
      </c>
      <c r="B400" s="1" t="str">
        <f>VLOOKUP(A400,Xtal_Templ!A:B,2,FALSE)</f>
        <v>5ht2c_human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67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462</v>
      </c>
      <c r="B401" s="1" t="str">
        <f>VLOOKUP(A401,Xtal_Templ!A:B,2,FALSE)</f>
        <v>5ht2c_human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66</v>
      </c>
      <c r="I401" s="1" t="s">
        <v>23</v>
      </c>
      <c r="J401" s="1" t="s">
        <v>23</v>
      </c>
      <c r="K401" s="12">
        <v>21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8">
        <v>38</v>
      </c>
      <c r="P401" s="1">
        <f>VLOOKUP($B401&amp;"__wt",'SegEnds_Xtal_BW#'!$A:$Z,16,FALSE)</f>
        <v>67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51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52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463</v>
      </c>
      <c r="B402" s="1" t="str">
        <f>VLOOKUP(A402,Xtal_Templ!A:B,2,FALSE)</f>
        <v>drd2_human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66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51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52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464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67</v>
      </c>
      <c r="I403" s="1" t="s">
        <v>23</v>
      </c>
      <c r="J403" s="1" t="s">
        <v>23</v>
      </c>
      <c r="K403" s="12">
        <v>18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7">
        <v>38</v>
      </c>
      <c r="P403" s="1">
        <f>VLOOKUP($B403&amp;"__wt",'SegEnds_Xtal_BW#'!$A:$Z,16,FALSE)</f>
        <v>64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53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59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468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67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52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56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469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470</v>
      </c>
      <c r="B406" s="1" t="str">
        <f>VLOOKUP(A406,Xtal_Templ!A:B,2,FALSE)</f>
        <v>5ht2c_human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67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51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52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471</v>
      </c>
      <c r="B407" s="1" t="str">
        <f>VLOOKUP(A407,Xtal_Templ!A:B,2,FALSE)</f>
        <v>drd2_human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8">
        <v>38</v>
      </c>
      <c r="P407" s="1">
        <f>VLOOKUP($B407&amp;"__wt",'SegEnds_Xtal_BW#'!$A:$Z,16,FALSE)</f>
        <v>62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52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475</v>
      </c>
      <c r="B408" s="1" t="str">
        <f>VLOOKUP(A408,Xtal_Templ!A:B,2,FALSE)</f>
        <v>agtr1_human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67</v>
      </c>
      <c r="I408" s="1" t="s">
        <v>23</v>
      </c>
      <c r="J408" s="1" t="s">
        <v>23</v>
      </c>
      <c r="K408" s="12">
        <v>21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v>57</v>
      </c>
      <c r="O408" s="87">
        <v>38</v>
      </c>
      <c r="P408" s="1">
        <f>VLOOKUP($B408&amp;"__wt",'SegEnds_Xtal_BW#'!$A:$Z,16,FALSE)</f>
        <v>64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52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56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476</v>
      </c>
      <c r="B409" s="1" t="str">
        <f>VLOOKUP(A409,Xtal_Templ!A:B,2,FALSE)</f>
        <v>5ht1b_human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66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7">
        <v>38</v>
      </c>
      <c r="P409" s="1">
        <f>VLOOKUP($B409&amp;"__wt",'SegEnds_Xtal_BW#'!$A:$Z,16,FALSE)</f>
        <v>63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51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53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477</v>
      </c>
      <c r="B410" s="1" t="str">
        <f>VLOOKUP(A410,Xtal_Templ!A:B,2,FALSE)</f>
        <v>hrh1_human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24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f>VLOOKUP($B410&amp;"__wt",'SegEnds_Xtal_BW#'!$A:$Z,14,FALSE)</f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48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48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478</v>
      </c>
      <c r="B411" s="1" t="str">
        <f>VLOOKUP(A411,Xtal_Templ!A:B,2,FALSE)</f>
        <v>drd2_human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67</v>
      </c>
      <c r="I411" s="1" t="s">
        <v>23</v>
      </c>
      <c r="J411" s="1" t="s">
        <v>23</v>
      </c>
      <c r="K411" s="12">
        <v>21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62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57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  <row r="412" spans="1:38" x14ac:dyDescent="0.2">
      <c r="A412" s="1" t="s">
        <v>479</v>
      </c>
      <c r="B412" s="1" t="str">
        <f>VLOOKUP(A412,Xtal_Templ!A:B,2,FALSE)</f>
        <v>drd2_human</v>
      </c>
      <c r="C412" s="5">
        <v>32</v>
      </c>
      <c r="D412" s="1">
        <v>62</v>
      </c>
      <c r="E412" s="1">
        <f>VLOOKUP($B412&amp;"__wt",'SegEnds_Xtal_BW#'!$A:$Z,5,FALSE)</f>
        <v>48</v>
      </c>
      <c r="F412" s="1">
        <f>VLOOKUP($B412&amp;"__wt",'SegEnds_Xtal_BW#'!$A:$Z,6,FALSE)</f>
        <v>51</v>
      </c>
      <c r="G412" s="1">
        <v>39</v>
      </c>
      <c r="H412" s="12">
        <v>66</v>
      </c>
      <c r="I412" s="1" t="s">
        <v>23</v>
      </c>
      <c r="J412" s="1" t="s">
        <v>23</v>
      </c>
      <c r="K412" s="12">
        <v>18</v>
      </c>
      <c r="L412" s="1">
        <f>VLOOKUP($B412&amp;"__wt",'SegEnds_Xtal_BW#'!$A:$Z,12,FALSE)</f>
        <v>56</v>
      </c>
      <c r="M412" s="1">
        <f>VLOOKUP($B412&amp;"__wt",'SegEnds_Xtal_BW#'!$A:$Z,13,FALSE)</f>
        <v>50</v>
      </c>
      <c r="N412" s="12">
        <v>57</v>
      </c>
      <c r="O412" s="87">
        <v>38</v>
      </c>
      <c r="P412" s="1">
        <f>VLOOKUP($B412&amp;"__wt",'SegEnds_Xtal_BW#'!$A:$Z,16,FALSE)</f>
        <v>62</v>
      </c>
      <c r="Q412" s="1">
        <f>VLOOKUP($B412&amp;"__wt",'SegEnds_Xtal_BW#'!$A:$Z,17,FALSE)</f>
        <v>50</v>
      </c>
      <c r="R412" s="1">
        <f>VLOOKUP($B412&amp;"__wt",'SegEnds_Xtal_BW#'!$A:$Z,18,FALSE)</f>
        <v>52</v>
      </c>
      <c r="S412" s="1">
        <v>32</v>
      </c>
      <c r="T412" s="1">
        <v>72</v>
      </c>
      <c r="U412" s="1">
        <v>29</v>
      </c>
      <c r="V412" s="1">
        <v>61</v>
      </c>
      <c r="W412" s="1">
        <v>31</v>
      </c>
      <c r="X412" s="1">
        <f>VLOOKUP($B412&amp;"__wt",'SegEnds_Xtal_BW#'!$A:$Z,24,FALSE)</f>
        <v>56</v>
      </c>
      <c r="Y412" s="1">
        <f>VLOOKUP($B412&amp;"__wt",'SegEnds_Xtal_BW#'!$A:$Z,25,FALSE)</f>
        <v>47</v>
      </c>
      <c r="Z412" s="1">
        <v>60</v>
      </c>
      <c r="AA412" s="27" t="str">
        <f>VLOOKUP(A412,Classification!A:B,2,FALSE)</f>
        <v>T</v>
      </c>
      <c r="AB412" s="1">
        <f>VLOOKUP(A412,'SegEnds_NonXtal_Prot#'!A:AL,10,FALSE)-VLOOKUP(A412,'SegEnds_NonXtal_Prot#'!A:AL,4,FALSE)</f>
        <v>31</v>
      </c>
      <c r="AC412" s="1">
        <f>VLOOKUP(A412,'SegEnds_NonXtal_Prot#'!A:AL,10,FALSE)-VLOOKUP(A412,'SegEnds_NonXtal_Prot#'!A:AL,7,FALSE)</f>
        <v>16</v>
      </c>
      <c r="AD412" s="1" t="e">
        <f>VLOOKUP(A412,'SegEnds_NonXtal_Prot#'!A:AL,13,FALSE)-VLOOKUP(A412,'SegEnds_NonXtal_Prot#'!A:AL,10,FALSE)</f>
        <v>#VALUE!</v>
      </c>
      <c r="AE412" s="1">
        <f>VLOOKUP(A412,'SegEnds_NonXtal_Prot#'!A:AL,16,FALSE)-VLOOKUP(A412,'SegEnds_NonXtal_Prot#'!A:AL,10,FALSE)</f>
        <v>52</v>
      </c>
      <c r="AF412" s="1">
        <f>VLOOKUP(A412,'SegEnds_NonXtal_Prot#'!A:AL,22,FALSE)-VLOOKUP(A412,'SegEnds_NonXtal_Prot#'!A:AL,19,FALSE)</f>
        <v>20</v>
      </c>
      <c r="AG412" s="1" t="e">
        <f>VLOOKUP(A412,'SegEnds_NonXtal_Prot#'!A:AL,28,FALSE)-VLOOKUP(A412,'SegEnds_NonXtal_Prot#'!A:AL,25,FALSE)</f>
        <v>#VALUE!</v>
      </c>
      <c r="AH412" s="1">
        <f>VLOOKUP(A412,'SegEnds_NonXtal_Prot#'!A:AL,28,FALSE)-VLOOKUP(A412,'SegEnds_NonXtal_Prot#'!A:AL,22,FALSE)</f>
        <v>57</v>
      </c>
      <c r="AI412" s="1">
        <f>VLOOKUP(A412,'SegEnds_NonXtal_Prot#'!A:AL,31,FALSE)-VLOOKUP(A412,'SegEnds_NonXtal_Prot#'!A:AL,28,FALSE)</f>
        <v>53</v>
      </c>
      <c r="AJ412" s="1">
        <f>VLOOKUP(A412,'SegEnds_NonXtal_Prot#'!A:AL,34,FALSE)-VLOOKUP(A412,'SegEnds_NonXtal_Prot#'!A:AL,31,FALSE)</f>
        <v>36</v>
      </c>
      <c r="AK412" s="1">
        <f>VLOOKUP(A412,'SegEnds_NonXtal_Prot#'!A:AL,37,FALSE)-VLOOKUP(A412,'SegEnds_NonXtal_Prot#'!A:AL,34,FALSE)</f>
        <v>10</v>
      </c>
      <c r="AL412" s="1" t="str">
        <f>IF(ISERROR(MATCH(A412,'SegEnds_Xtal_Prot#'!B:B, 0)), "NoXtal", "Xtal")</f>
        <v>NoXtal</v>
      </c>
    </row>
    <row r="413" spans="1:38" x14ac:dyDescent="0.2">
      <c r="A413" s="1" t="s">
        <v>480</v>
      </c>
      <c r="B413" s="1" t="str">
        <f>VLOOKUP(A413,Xtal_Templ!A:B,2,FALSE)</f>
        <v>agtr1_human</v>
      </c>
      <c r="C413" s="5">
        <v>32</v>
      </c>
      <c r="D413" s="1">
        <v>62</v>
      </c>
      <c r="E413" s="1">
        <f>VLOOKUP($B413&amp;"__wt",'SegEnds_Xtal_BW#'!$A:$Z,5,FALSE)</f>
        <v>48</v>
      </c>
      <c r="F413" s="1">
        <f>VLOOKUP($B413&amp;"__wt",'SegEnds_Xtal_BW#'!$A:$Z,6,FALSE)</f>
        <v>51</v>
      </c>
      <c r="G413" s="1">
        <v>39</v>
      </c>
      <c r="H413" s="12">
        <v>66</v>
      </c>
      <c r="I413" s="1" t="s">
        <v>23</v>
      </c>
      <c r="J413" s="1" t="s">
        <v>23</v>
      </c>
      <c r="K413" s="12">
        <v>18</v>
      </c>
      <c r="L413" s="1">
        <f>VLOOKUP($B413&amp;"__wt",'SegEnds_Xtal_BW#'!$A:$Z,12,FALSE)</f>
        <v>56</v>
      </c>
      <c r="M413" s="1">
        <f>VLOOKUP($B413&amp;"__wt",'SegEnds_Xtal_BW#'!$A:$Z,13,FALSE)</f>
        <v>50</v>
      </c>
      <c r="N413" s="12">
        <v>57</v>
      </c>
      <c r="O413" s="88">
        <v>38</v>
      </c>
      <c r="P413" s="1">
        <f>VLOOKUP($B413&amp;"__wt",'SegEnds_Xtal_BW#'!$A:$Z,16,FALSE)</f>
        <v>64</v>
      </c>
      <c r="Q413" s="1">
        <f>VLOOKUP($B413&amp;"__wt",'SegEnds_Xtal_BW#'!$A:$Z,17,FALSE)</f>
        <v>50</v>
      </c>
      <c r="R413" s="1">
        <f>VLOOKUP($B413&amp;"__wt",'SegEnds_Xtal_BW#'!$A:$Z,18,FALSE)</f>
        <v>52</v>
      </c>
      <c r="S413" s="1">
        <v>32</v>
      </c>
      <c r="T413" s="1">
        <v>72</v>
      </c>
      <c r="U413" s="1">
        <v>29</v>
      </c>
      <c r="V413" s="1">
        <v>61</v>
      </c>
      <c r="W413" s="1">
        <v>31</v>
      </c>
      <c r="X413" s="1">
        <f>VLOOKUP($B413&amp;"__wt",'SegEnds_Xtal_BW#'!$A:$Z,24,FALSE)</f>
        <v>56</v>
      </c>
      <c r="Y413" s="1">
        <f>VLOOKUP($B413&amp;"__wt",'SegEnds_Xtal_BW#'!$A:$Z,25,FALSE)</f>
        <v>47</v>
      </c>
      <c r="Z413" s="1">
        <v>60</v>
      </c>
      <c r="AA413" s="27" t="str">
        <f>VLOOKUP(A413,Classification!A:B,2,FALSE)</f>
        <v>T</v>
      </c>
      <c r="AB413" s="1">
        <f>VLOOKUP(A413,'SegEnds_NonXtal_Prot#'!A:AL,10,FALSE)-VLOOKUP(A413,'SegEnds_NonXtal_Prot#'!A:AL,4,FALSE)</f>
        <v>31</v>
      </c>
      <c r="AC413" s="1">
        <f>VLOOKUP(A413,'SegEnds_NonXtal_Prot#'!A:AL,10,FALSE)-VLOOKUP(A413,'SegEnds_NonXtal_Prot#'!A:AL,7,FALSE)</f>
        <v>16</v>
      </c>
      <c r="AD413" s="1" t="e">
        <f>VLOOKUP(A413,'SegEnds_NonXtal_Prot#'!A:AL,13,FALSE)-VLOOKUP(A413,'SegEnds_NonXtal_Prot#'!A:AL,10,FALSE)</f>
        <v>#VALUE!</v>
      </c>
      <c r="AE413" s="1">
        <f>VLOOKUP(A413,'SegEnds_NonXtal_Prot#'!A:AL,16,FALSE)-VLOOKUP(A413,'SegEnds_NonXtal_Prot#'!A:AL,10,FALSE)</f>
        <v>52</v>
      </c>
      <c r="AF413" s="1">
        <f>VLOOKUP(A413,'SegEnds_NonXtal_Prot#'!A:AL,22,FALSE)-VLOOKUP(A413,'SegEnds_NonXtal_Prot#'!A:AL,19,FALSE)</f>
        <v>20</v>
      </c>
      <c r="AG413" s="1" t="e">
        <f>VLOOKUP(A413,'SegEnds_NonXtal_Prot#'!A:AL,28,FALSE)-VLOOKUP(A413,'SegEnds_NonXtal_Prot#'!A:AL,25,FALSE)</f>
        <v>#VALUE!</v>
      </c>
      <c r="AH413" s="1">
        <f>VLOOKUP(A413,'SegEnds_NonXtal_Prot#'!A:AL,28,FALSE)-VLOOKUP(A413,'SegEnds_NonXtal_Prot#'!A:AL,22,FALSE)</f>
        <v>54</v>
      </c>
      <c r="AI413" s="1">
        <f>VLOOKUP(A413,'SegEnds_NonXtal_Prot#'!A:AL,31,FALSE)-VLOOKUP(A413,'SegEnds_NonXtal_Prot#'!A:AL,28,FALSE)</f>
        <v>53</v>
      </c>
      <c r="AJ413" s="1">
        <f>VLOOKUP(A413,'SegEnds_NonXtal_Prot#'!A:AL,34,FALSE)-VLOOKUP(A413,'SegEnds_NonXtal_Prot#'!A:AL,31,FALSE)</f>
        <v>36</v>
      </c>
      <c r="AK413" s="1">
        <f>VLOOKUP(A413,'SegEnds_NonXtal_Prot#'!A:AL,37,FALSE)-VLOOKUP(A413,'SegEnds_NonXtal_Prot#'!A:AL,34,FALSE)</f>
        <v>10</v>
      </c>
      <c r="AL413" s="1" t="str">
        <f>IF(ISERROR(MATCH(A413,'SegEnds_Xtal_Prot#'!B:B, 0)), "NoXtal", "Xtal")</f>
        <v>NoXtal</v>
      </c>
    </row>
  </sheetData>
  <sortState ref="A2:AL413">
    <sortCondition ref="AA2:AA413"/>
    <sortCondition ref="AJ2:AJ413"/>
    <sortCondition ref="A2:A413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5"/>
  <sheetViews>
    <sheetView zoomScale="120" zoomScaleNormal="120" zoomScalePageLayoutView="120" workbookViewId="0">
      <pane ySplit="1" topLeftCell="A2" activePane="bottomLeft" state="frozenSplit"/>
      <selection pane="bottomLeft" activeCell="A60" sqref="A60:XFD6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1203</v>
      </c>
      <c r="C1" s="8" t="s">
        <v>1060</v>
      </c>
      <c r="D1" s="41" t="s">
        <v>1081</v>
      </c>
      <c r="E1" s="8" t="s">
        <v>1061</v>
      </c>
      <c r="F1" s="41" t="s">
        <v>1077</v>
      </c>
      <c r="G1" s="41" t="s">
        <v>1082</v>
      </c>
      <c r="H1" s="41" t="s">
        <v>1078</v>
      </c>
      <c r="I1" s="41" t="s">
        <v>1062</v>
      </c>
      <c r="J1" s="41" t="s">
        <v>1083</v>
      </c>
      <c r="K1" s="8" t="s">
        <v>1063</v>
      </c>
      <c r="L1" s="8" t="s">
        <v>1079</v>
      </c>
      <c r="M1" s="41" t="s">
        <v>1084</v>
      </c>
      <c r="N1" s="8" t="s">
        <v>1080</v>
      </c>
      <c r="O1" s="8" t="s">
        <v>1064</v>
      </c>
      <c r="P1" s="41" t="s">
        <v>1085</v>
      </c>
      <c r="Q1" s="8" t="s">
        <v>1065</v>
      </c>
      <c r="R1" s="8" t="s">
        <v>1092</v>
      </c>
      <c r="S1" s="41" t="s">
        <v>1091</v>
      </c>
      <c r="T1" s="86" t="s">
        <v>1093</v>
      </c>
      <c r="U1" s="99" t="s">
        <v>1066</v>
      </c>
      <c r="V1" s="41" t="s">
        <v>1086</v>
      </c>
      <c r="W1" s="8" t="s">
        <v>1067</v>
      </c>
      <c r="X1" s="8" t="s">
        <v>1095</v>
      </c>
      <c r="Y1" s="41" t="s">
        <v>1094</v>
      </c>
      <c r="Z1" s="8" t="s">
        <v>1096</v>
      </c>
      <c r="AA1" s="8" t="s">
        <v>1068</v>
      </c>
      <c r="AB1" s="41" t="s">
        <v>1087</v>
      </c>
      <c r="AC1" s="8" t="s">
        <v>1069</v>
      </c>
      <c r="AD1" s="8" t="s">
        <v>1070</v>
      </c>
      <c r="AE1" s="41" t="s">
        <v>1088</v>
      </c>
      <c r="AF1" s="8" t="s">
        <v>1071</v>
      </c>
      <c r="AG1" s="8" t="s">
        <v>1072</v>
      </c>
      <c r="AH1" s="41" t="s">
        <v>1089</v>
      </c>
      <c r="AI1" s="8" t="s">
        <v>1073</v>
      </c>
      <c r="AJ1" s="8" t="s">
        <v>1074</v>
      </c>
      <c r="AK1" s="41" t="s">
        <v>1090</v>
      </c>
      <c r="AL1" s="8" t="s">
        <v>1075</v>
      </c>
      <c r="AM1" s="26" t="s">
        <v>99</v>
      </c>
      <c r="AN1" s="26" t="s">
        <v>1166</v>
      </c>
      <c r="AO1" s="8" t="s">
        <v>1226</v>
      </c>
      <c r="AP1" s="8" t="s">
        <v>1228</v>
      </c>
      <c r="AQ1" s="8" t="s">
        <v>1229</v>
      </c>
      <c r="AR1" s="8" t="s">
        <v>1230</v>
      </c>
      <c r="AS1" s="8" t="s">
        <v>1231</v>
      </c>
      <c r="AT1" s="8" t="s">
        <v>1232</v>
      </c>
      <c r="AU1" s="8" t="s">
        <v>1233</v>
      </c>
      <c r="AV1" s="8" t="s">
        <v>1234</v>
      </c>
      <c r="AW1" s="8" t="s">
        <v>1235</v>
      </c>
      <c r="AX1" s="8" t="s">
        <v>1236</v>
      </c>
      <c r="AY1" s="8" t="s">
        <v>1237</v>
      </c>
      <c r="AZ1" s="8" t="s">
        <v>1238</v>
      </c>
      <c r="BA1" s="8" t="s">
        <v>1305</v>
      </c>
      <c r="BB1" s="26" t="s">
        <v>1240</v>
      </c>
      <c r="BC1" s="99" t="s">
        <v>1275</v>
      </c>
      <c r="BD1" s="8" t="s">
        <v>1240</v>
      </c>
      <c r="BE1" s="8" t="s">
        <v>1242</v>
      </c>
      <c r="BF1" s="8" t="s">
        <v>1239</v>
      </c>
      <c r="BG1" s="8" t="s">
        <v>1306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350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65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1174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110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210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378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1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6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47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1175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384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60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355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15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ccr7_human</v>
      </c>
      <c r="C10" s="3">
        <f>VLOOKUP($A10,'SegEnds_NonXtal_BW#'!$A:$Z,3,FALSE)+D10-50</f>
        <v>36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197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321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8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29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ccr7_human</v>
      </c>
      <c r="C11" s="3">
        <f>VLOOKUP($A11,'SegEnds_NonXtal_BW#'!$A:$Z,3,FALSE)+D11-50</f>
        <v>45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330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30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1440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1451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919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237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3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919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240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3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240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3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256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3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256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3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616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3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626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3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368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50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ntr1_human</v>
      </c>
      <c r="C37" s="3">
        <f>VLOOKUP($A37,'SegEnds_NonXtal_BW#'!$A:$Z,3,FALSE)+D37-50</f>
        <v>30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192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357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4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67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64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561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29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909</v>
      </c>
      <c r="B58" s="3" t="str">
        <f>LOWER(VLOOKUP(A58,Xtal_Templ!A:B,2,FALSE))</f>
        <v>acm3_rat</v>
      </c>
      <c r="C58" s="3">
        <f>VLOOKUP($A58,'SegEnds_NonXtal_BW#'!$A:$Z,3,FALSE)+D58-50</f>
        <v>63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560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29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acm5_human</v>
      </c>
      <c r="C60" s="3">
        <f>VLOOKUP($A60,'SegEnds_NonXtal_BW#'!$A:$Z,3,FALSE)+D60-50</f>
        <v>26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94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511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Xtal</v>
      </c>
      <c r="AP60" s="3">
        <f t="shared" si="2"/>
        <v>1</v>
      </c>
      <c r="AQ60" s="3">
        <f t="shared" si="3"/>
        <v>1</v>
      </c>
      <c r="AR60" s="3">
        <f t="shared" si="4"/>
        <v>1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21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911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105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204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344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390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1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6</v>
      </c>
      <c r="AX80" s="3">
        <f t="shared" si="47"/>
        <v>57</v>
      </c>
      <c r="AY80" s="3">
        <f t="shared" si="48"/>
        <v>5</v>
      </c>
      <c r="AZ80" s="3">
        <f t="shared" si="49"/>
        <v>1</v>
      </c>
      <c r="BA80" s="3">
        <f>IF(ISERROR(LEN(VLOOKUP(A80,Seqs!A:E,2,FALSE))-AL80),"-",LEN(VLOOKUP(A80,Seqs!A:E,2,FALSE))-AL80)</f>
        <v>38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cltr1_human</v>
      </c>
      <c r="C87" s="3">
        <f>VLOOKUP($A87,'SegEnds_NonXtal_BW#'!$A:$Z,3,FALSE)+D87-50</f>
        <v>11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86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161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179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Xtal</v>
      </c>
      <c r="AP87" s="3" t="str">
        <f t="shared" si="39"/>
        <v>-</v>
      </c>
      <c r="AQ87" s="3" t="str">
        <f t="shared" si="40"/>
        <v>-</v>
      </c>
      <c r="AR87" s="3">
        <f t="shared" si="41"/>
        <v>2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12</v>
      </c>
      <c r="AW87" s="3">
        <f t="shared" si="46"/>
        <v>4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ht="15" customHeight="1" x14ac:dyDescent="0.2">
      <c r="A88" s="3" t="s">
        <v>180</v>
      </c>
      <c r="B88" s="3" t="str">
        <f>LOWER(VLOOKUP(A88,Xtal_Templ!A:B,2,FALSE))</f>
        <v>cltr2_human</v>
      </c>
      <c r="C88" s="3">
        <f>VLOOKUP($A88,'SegEnds_NonXtal_BW#'!$A:$Z,3,FALSE)+D88-50</f>
        <v>31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101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176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274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322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Xtal</v>
      </c>
      <c r="AP88" s="3" t="str">
        <f t="shared" si="39"/>
        <v>-</v>
      </c>
      <c r="AQ88" s="3" t="str">
        <f t="shared" si="40"/>
        <v>-</v>
      </c>
      <c r="AR88" s="3">
        <f t="shared" si="41"/>
        <v>2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11</v>
      </c>
      <c r="AW88" s="3">
        <f t="shared" si="46"/>
        <v>6</v>
      </c>
      <c r="AX88" s="3">
        <f t="shared" si="47"/>
        <v>5</v>
      </c>
      <c r="AY88" s="3">
        <f t="shared" si="48"/>
        <v>6</v>
      </c>
      <c r="AZ88" s="3">
        <f t="shared" si="49"/>
        <v>1</v>
      </c>
      <c r="BA88" s="3">
        <f>IF(ISERROR(LEN(VLOOKUP(A88,Seqs!A:E,2,FALSE))-AL88),"-",LEN(VLOOKUP(A88,Seqs!A:E,2,FALSE))-AL88)</f>
        <v>24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ccr7_human</v>
      </c>
      <c r="C93" s="3">
        <f>VLOOKUP($A93,'SegEnds_NonXtal_BW#'!$A:$Z,3,FALSE)+D93-50</f>
        <v>50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210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5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1171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ccr7_human</v>
      </c>
      <c r="C95" s="3">
        <f>VLOOKUP($A95,'SegEnds_NonXtal_BW#'!$A:$Z,3,FALSE)+D95-50</f>
        <v>48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213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9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1172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357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20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224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3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410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37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ntr1_human</v>
      </c>
      <c r="C114" s="3">
        <f>VLOOKUP($A114,'SegEnds_NonXtal_BW#'!$A:$Z,3,FALSE)+D114-50</f>
        <v>39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205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342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5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24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5ht2a_human</v>
      </c>
      <c r="C116" s="3">
        <f>VLOOKUP($A116,'SegEnds_NonXtal_BW#'!$A:$Z,3,FALSE)+D116-50</f>
        <v>-1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147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296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8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39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ccr7_human</v>
      </c>
      <c r="C117" s="3">
        <f>VLOOKUP($A117,'SegEnds_NonXtal_BW#'!$A:$Z,3,FALSE)+D117-50</f>
        <v>13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154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179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12</v>
      </c>
      <c r="AW117" s="3">
        <f t="shared" si="46"/>
        <v>11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316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293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cltr2_human</v>
      </c>
      <c r="C127" s="3">
        <f>VLOOKUP($A127,'SegEnds_NonXtal_BW#'!$A:$Z,3,FALSE)+D127-50</f>
        <v>52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195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341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10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34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cltr2_human</v>
      </c>
      <c r="C131" s="3">
        <f>VLOOKUP($A131,'SegEnds_NonXtal_BW#'!$A:$Z,3,FALSE)+D131-50</f>
        <v>52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197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213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342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12</v>
      </c>
      <c r="AW131" s="3">
        <f t="shared" si="46"/>
        <v>2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25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ccr7_human</v>
      </c>
      <c r="C132" s="3">
        <f>VLOOKUP($A132,'SegEnds_NonXtal_BW#'!$A:$Z,3,FALSE)+D132-50</f>
        <v>19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182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8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5ht2a_human</v>
      </c>
      <c r="C134" s="3">
        <f>VLOOKUP($A134,'SegEnds_NonXtal_BW#'!$A:$Z,3,FALSE)+D134-50</f>
        <v>23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cltr2_human</v>
      </c>
      <c r="C141" s="3">
        <f>VLOOKUP($A141,'SegEnds_NonXtal_BW#'!$A:$Z,3,FALSE)+D141-50</f>
        <v>47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344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6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37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oprk_human</v>
      </c>
      <c r="C142" s="3">
        <f>VLOOKUP($A142,'SegEnds_NonXtal_BW#'!$A:$Z,3,FALSE)+D142-50</f>
        <v>18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292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17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363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90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5ht2c_human</v>
      </c>
      <c r="C150" s="3">
        <f>VLOOKUP($A150,'SegEnds_NonXtal_BW#'!$A:$Z,3,FALSE)+D150-50</f>
        <v>43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184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358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11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93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95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356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28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cltr2_human</v>
      </c>
      <c r="C159" s="3">
        <f>VLOOKUP($A159,'SegEnds_NonXtal_BW#'!$A:$Z,3,FALSE)+D159-50</f>
        <v>20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165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182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311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12</v>
      </c>
      <c r="AW159" s="3">
        <f t="shared" si="88"/>
        <v>3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52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cltr2_human</v>
      </c>
      <c r="C168" s="3">
        <f>VLOOKUP($A168,'SegEnds_NonXtal_BW#'!$A:$Z,3,FALSE)+D168-50</f>
        <v>15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159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185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314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16</v>
      </c>
      <c r="AW168" s="3">
        <f t="shared" si="88"/>
        <v>8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58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cltr1_human</v>
      </c>
      <c r="C169" s="3">
        <f>VLOOKUP($A169,'SegEnds_NonXtal_BW#'!$A:$Z,3,FALSE)+D169-50</f>
        <v>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174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307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4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37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ccr7_human</v>
      </c>
      <c r="C171" s="3">
        <f>VLOOKUP($A171,'SegEnds_NonXtal_BW#'!$A:$Z,3,FALSE)+D171-50</f>
        <v>15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301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51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5" si="112">G188-2</f>
        <v>67</v>
      </c>
      <c r="G188" s="3">
        <v>69</v>
      </c>
      <c r="H188" s="3">
        <f t="shared" ref="H188:I195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ntr1_human</v>
      </c>
      <c r="C189" s="3">
        <f>VLOOKUP($A189,'SegEnds_NonXtal_BW#'!$A:$Z,3,FALSE)+D189-50</f>
        <v>34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240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374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3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38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mtr1a_human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273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315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9</v>
      </c>
      <c r="AZ190" s="3">
        <f t="shared" si="91"/>
        <v>1</v>
      </c>
      <c r="BA190" s="3">
        <f>IF(ISERROR(LEN(VLOOKUP(A190,Seqs!A:E,2,FALSE))-AL190),"-",LEN(VLOOKUP(A190,Seqs!A:E,2,FALSE))-AL190)</f>
        <v>35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mtr1b_human</v>
      </c>
      <c r="C191" s="3">
        <f>VLOOKUP($A191,'SegEnds_NonXtal_BW#'!$A:$Z,3,FALSE)+D191-50</f>
        <v>38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286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328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9</v>
      </c>
      <c r="AZ191" s="3">
        <f t="shared" si="91"/>
        <v>1</v>
      </c>
      <c r="BA191" s="3">
        <f>IF(ISERROR(LEN(VLOOKUP(A191,Seqs!A:E,2,FALSE))-AL191),"-",LEN(VLOOKUP(A191,Seqs!A:E,2,FALSE))-AL191)</f>
        <v>34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mtr1a_human</v>
      </c>
      <c r="C192" s="3">
        <f>VLOOKUP($A192,'SegEnds_NonXtal_BW#'!$A:$Z,3,FALSE)+D192-50</f>
        <v>24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225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272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314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3</v>
      </c>
      <c r="AY192" s="3">
        <f t="shared" si="90"/>
        <v>9</v>
      </c>
      <c r="AZ192" s="3">
        <f t="shared" si="91"/>
        <v>1</v>
      </c>
      <c r="BA192" s="3">
        <f>IF(ISERROR(LEN(VLOOKUP(A192,Seqs!A:E,2,FALSE))-AL192),"-",LEN(VLOOKUP(A192,Seqs!A:E,2,FALSE))-AL192)</f>
        <v>303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375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51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346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69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ntr1_human</v>
      </c>
      <c r="C196" s="3">
        <f>VLOOKUP($A196,'SegEnds_NonXtal_BW#'!$A:$Z,3,FALSE)+D196-50</f>
        <v>59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 t="s">
        <v>23</v>
      </c>
      <c r="G196" s="3" t="s">
        <v>23</v>
      </c>
      <c r="H196" s="3" t="s">
        <v>23</v>
      </c>
      <c r="I196" s="3">
        <f>VLOOKUP($A196,'SegEnds_NonXtal_BW#'!$A:$Z,7,FALSE)+J196-50</f>
        <v>99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229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383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Xtal</v>
      </c>
      <c r="AP196" s="3" t="str">
        <f t="shared" ref="AP196:AP260" si="118">IF(ISERROR(F196-E196),"-",F196-E196)</f>
        <v>-</v>
      </c>
      <c r="AQ196" s="3" t="str">
        <f t="shared" ref="AQ196:AQ260" si="119">IF(ISERROR(I196-H196),"-",I196-H196)</f>
        <v>-</v>
      </c>
      <c r="AR196" s="3">
        <f t="shared" ref="AR196:AR260" si="120">IF(ISERROR(L196-K196),"-",L196-K196)</f>
        <v>3</v>
      </c>
      <c r="AS196" s="3">
        <f t="shared" ref="AS196:AS260" si="121">IF(ISERROR(O196-N196),"-",O196-N196)</f>
        <v>1</v>
      </c>
      <c r="AT196" s="3">
        <f t="shared" ref="AT196:AT260" si="122">IF(ISERROR(R196-Q196),"-",R196-Q196)</f>
        <v>1</v>
      </c>
      <c r="AU196" s="3">
        <f t="shared" ref="AU196:AU260" si="123">IF(ISERROR(U196-T196),"-",U196-T196)</f>
        <v>1</v>
      </c>
      <c r="AV196" s="3">
        <f t="shared" ref="AV196:AV260" si="124">IF(ISERROR(X196-W196),"-",X196-W196)</f>
        <v>17</v>
      </c>
      <c r="AW196" s="3">
        <f t="shared" ref="AW196:AW260" si="125">IF(ISERROR(AA196-Z196),"-",AA196-Z196)</f>
        <v>3</v>
      </c>
      <c r="AX196" s="3">
        <f t="shared" ref="AX196:AX260" si="126">IF(ISERROR(AD196-AC196),"-",AD196-AC196)</f>
        <v>18</v>
      </c>
      <c r="AY196" s="3">
        <f t="shared" ref="AY196:AY260" si="127">IF(ISERROR(AG196-AF196),"-",AG196-AF196)</f>
        <v>6</v>
      </c>
      <c r="AZ196" s="3">
        <f t="shared" ref="AZ196:AZ260" si="128">IF(ISERROR(AJ196-AI196),"-",AJ196-AI196)</f>
        <v>1</v>
      </c>
      <c r="BA196" s="3">
        <f>IF(ISERROR(LEN(VLOOKUP(A196,Seqs!A:E,2,FALSE))-AL196),"-",LEN(VLOOKUP(A196,Seqs!A:E,2,FALSE))-AL196)</f>
        <v>35</v>
      </c>
      <c r="BB196" s="16">
        <f t="shared" ref="BB196:BB260" si="129">J196-D196</f>
        <v>31</v>
      </c>
      <c r="BC196" s="9">
        <f t="shared" ref="BC196:BC260" si="130">IF(ISERROR(V196-S196),"-",V196-S196)</f>
        <v>20</v>
      </c>
      <c r="BD196" s="3">
        <f t="shared" ref="BD196:BD260" si="131">J196-D196</f>
        <v>31</v>
      </c>
      <c r="BE196" s="3">
        <f t="shared" ref="BE196:BE260" si="132">AE196-AB196</f>
        <v>70</v>
      </c>
    </row>
    <row r="197" spans="1:57" s="3" customFormat="1" x14ac:dyDescent="0.2">
      <c r="A197" s="3" t="s">
        <v>913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 t="s">
        <v>23</v>
      </c>
      <c r="G197" s="3" t="s">
        <v>23</v>
      </c>
      <c r="H197" s="3" t="s">
        <v>23</v>
      </c>
      <c r="I197" s="3">
        <f>VLOOKUP($A197,'SegEnds_NonXtal_BW#'!$A:$Z,7,FALSE)+J197-50</f>
        <v>100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388</v>
      </c>
      <c r="AM197" s="28" t="str">
        <f>VLOOKUP(A197,Classification!A:B,2,FALSE)</f>
        <v>A</v>
      </c>
      <c r="AN197" s="28" t="b">
        <f t="shared" ref="AN197:AN261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 t="str">
        <f t="shared" si="118"/>
        <v>-</v>
      </c>
      <c r="AQ197" s="3" t="str">
        <f t="shared" si="119"/>
        <v>-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36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377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33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919</v>
      </c>
      <c r="C200" s="3">
        <f>VLOOKUP($A200,'SegEnds_NonXtal_BW#'!$A:$Z,3,FALSE)+D200-50</f>
        <v>66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915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917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1173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921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1307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2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352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79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2" si="142">M234-1</f>
        <v>122</v>
      </c>
      <c r="M234" s="3">
        <v>123</v>
      </c>
      <c r="N234" s="3">
        <f t="shared" ref="N234:N252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9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sucr1_rat</v>
      </c>
      <c r="C239" s="3">
        <f>VLOOKUP($A239,'SegEnds_NonXtal_BW#'!$A:$Z,3,FALSE)+D239-50</f>
        <v>11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52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164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180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317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8</v>
      </c>
      <c r="AW239" s="3">
        <f t="shared" si="125"/>
        <v>6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17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8" si="145">AH239-AE239</f>
        <v>45</v>
      </c>
    </row>
    <row r="240" spans="1:58" s="3" customFormat="1" x14ac:dyDescent="0.2">
      <c r="A240" s="3" t="s">
        <v>1597</v>
      </c>
      <c r="B240" s="3" t="str">
        <f>LOWER(VLOOKUP(A240,Xtal_Templ!A:B,2,FALSE))</f>
        <v>sucr1_rat</v>
      </c>
      <c r="C240" s="3">
        <f>VLOOKUP($A240,'SegEnds_NonXtal_BW#'!$A:$Z,3,FALSE)+D240-50</f>
        <v>7</v>
      </c>
      <c r="D240" s="3">
        <v>37</v>
      </c>
      <c r="E240" s="3">
        <f>IF(ISERROR(VLOOKUP($A240,'SegEnds_NonXtal_BW#'!$A:$Z,4,FALSE)+VLOOKUP($A240,A:AL,4,FALSE)-50),"-",(VLOOKUP($A240,'SegEnds_NonXtal_BW#'!$A:$Z,4,FALSE)+VLOOKUP($A240,A:AL,4,FALSE)-50))</f>
        <v>48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52</v>
      </c>
      <c r="J240" s="3">
        <v>65</v>
      </c>
      <c r="K240" s="3">
        <f>VLOOKUP($A240,'SegEnds_NonXtal_BW#'!$A:$Z,8,FALSE)+VLOOKUP($A240,A:AL,10,FALSE)-50</f>
        <v>82</v>
      </c>
      <c r="L240" s="3">
        <f t="shared" ref="L240" si="146">M240-1</f>
        <v>83</v>
      </c>
      <c r="M240" s="3">
        <v>84</v>
      </c>
      <c r="N240" s="3">
        <f t="shared" ref="N240" si="147">M240+2</f>
        <v>86</v>
      </c>
      <c r="O240" s="3">
        <f t="shared" ref="O240" si="148">N240+1</f>
        <v>87</v>
      </c>
      <c r="P240" s="3">
        <v>116</v>
      </c>
      <c r="Q240" s="3">
        <f>VLOOKUP($A240,'SegEnds_NonXtal_BW#'!$A:$Z,12,FALSE)+VLOOKUP($A240,A:AL,16,FALSE)-50</f>
        <v>122</v>
      </c>
      <c r="R240" s="3">
        <f>IF(ISERROR(VLOOKUP($A240,'SegEnds_NonXtal_BW#'!$A:$Z,13,FALSE)+VLOOKUP($A240,A:AL,19,FALSE)-50),"-",VLOOKUP($A240,'SegEnds_NonXtal_BW#'!$A:$Z,13,FALSE)+VLOOKUP($A240,A:AL,19,FALSE)-50)</f>
        <v>123</v>
      </c>
      <c r="S240" s="3">
        <v>123</v>
      </c>
      <c r="T240" s="100">
        <f>IF(ISERROR(VLOOKUP($A240,'SegEnds_NonXtal_BW#'!$A:$Z,14,FALSE)+VLOOKUP($A240,A:AL,19,FALSE)-50),"-",(VLOOKUP($A240,'SegEnds_NonXtal_BW#'!$A:$Z,14,FALSE)+VLOOKUP($A240,A:AL,19,FALSE)-50))</f>
        <v>130</v>
      </c>
      <c r="U240" s="9">
        <f>IF(ISERROR(VLOOKUP($A240,'SegEnds_NonXtal_BW#'!$A:$Z,15,FALSE)+VLOOKUP($A240,A:AL,22,FALSE)-50),"-",VLOOKUP($A240,'SegEnds_NonXtal_BW#'!$A:$Z,15,FALSE)+VLOOKUP($A240,A:AL,22,FALSE)-50)</f>
        <v>131</v>
      </c>
      <c r="V240" s="3">
        <v>143</v>
      </c>
      <c r="W240" s="3">
        <f>IF(ISERROR(VLOOKUP($A240,'SegEnds_NonXtal_BW#'!$A:$Z,16,FALSE)+VLOOKUP($A240,A:AL,22,FALSE)-50),"-",(VLOOKUP($A240,'SegEnds_NonXtal_BW#'!$A:$Z,16,FALSE)+VLOOKUP($A240,A:AL,22,FALSE)-50))</f>
        <v>160</v>
      </c>
      <c r="X240" s="3">
        <f>IF(ISERROR(VLOOKUP($A240,'SegEnds_NonXtal_BW#'!$A:$Z,17,FALSE)+VLOOKUP($A240,A:AL,25,FALSE)-50),"-",(VLOOKUP($A240,'SegEnds_NonXtal_BW#'!$A:$Z,17,FALSE)+VLOOKUP($A240,A:AL,25,FALSE)-50))</f>
        <v>168</v>
      </c>
      <c r="Y240" s="3">
        <v>168</v>
      </c>
      <c r="Z240" s="3">
        <f t="shared" ref="Z240" si="149">Y240+2</f>
        <v>170</v>
      </c>
      <c r="AA240" s="3">
        <f>IF(ISERROR(VLOOKUP($A240,'SegEnds_NonXtal_BW#'!$A:$Z,19,FALSE)+VLOOKUP($A240,A:AL,28,FALSE)-50),"-",(VLOOKUP($A240,'SegEnds_NonXtal_BW#'!$A:$Z,19,FALSE)+VLOOKUP($A240,A:AL,28,FALSE)-50))</f>
        <v>176</v>
      </c>
      <c r="AB240" s="3">
        <v>195</v>
      </c>
      <c r="AC240" s="3">
        <f>IF(ISERROR((VLOOKUP($A240,'SegEnds_NonXtal_BW#'!$A:$Z,20,FALSE)+VLOOKUP($A240,A:AL,28,FALSE)-50)),"-",(VLOOKUP($A240,'SegEnds_NonXtal_BW#'!$A:$Z,20,FALSE)+VLOOKUP($A240,A:AL,28,FALSE)-50))</f>
        <v>213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243</v>
      </c>
      <c r="AF240" s="3">
        <f>IF(ISERROR((VLOOKUP($A240,'SegEnds_NonXtal_BW#'!$A:$Z,22,FALSE)+VLOOKUP($A240,A:AL,31,FALSE)-50)),"-",(VLOOKUP($A240,'SegEnds_NonXtal_BW#'!$A:$Z,22,FALSE)+VLOOKUP($A240,A:AL,31,FALSE)-50))</f>
        <v>256</v>
      </c>
      <c r="AG240" s="3">
        <f>IF(ISERROR(VLOOKUP($A240,'SegEnds_NonXtal_BW#'!$A:$Z,23,FALSE)+VLOOKUP($A240,A:AL,34,FALSE)-50),"-",(VLOOKUP($A240,'SegEnds_NonXtal_BW#'!$A:$Z,23,FALSE)+VLOOKUP($A240,A:AL,34,FALSE)-50))</f>
        <v>263</v>
      </c>
      <c r="AH240" s="3">
        <v>287</v>
      </c>
      <c r="AI240" s="3">
        <f>IF(ISERROR((VLOOKUP($A240,'SegEnds_NonXtal_BW#'!$A:$Z,24,FALSE)+VLOOKUP($A240,A:AL,34,FALSE)-50)),"-",(VLOOKUP($A240,'SegEnds_NonXtal_BW#'!$A:$Z,24,FALSE)+VLOOKUP($A240,A:AL,34,FALSE)-50))</f>
        <v>293</v>
      </c>
      <c r="AJ240" s="3">
        <f>IF(ISERROR(VLOOKUP($A240,'SegEnds_NonXtal_BW#'!$A:$Z,25,FALSE)+VLOOKUP($A240,A:AL,37,FALSE)-50),"-",(VLOOKUP($A240,'SegEnds_NonXtal_BW#'!$A:$Z,25,FALSE)+VLOOKUP($A240,A:AL,37,FALSE)-50))</f>
        <v>294</v>
      </c>
      <c r="AK240" s="3">
        <v>297</v>
      </c>
      <c r="AL240" s="3">
        <f>IF(ISERROR((VLOOKUP($A240,'SegEnds_NonXtal_BW#'!$A:$Z,26,FALSE)+VLOOKUP($A240,A:AL,37,FALSE)-50)),"-",(VLOOKUP($A240,'SegEnds_NonXtal_BW#'!$A:$Z,26,FALSE)+VLOOKUP($A240,A:AL,37,FALSE)-50))</f>
        <v>312</v>
      </c>
      <c r="AM240" s="28" t="str">
        <f>VLOOKUP(A240,Classification!A:B,2,FALSE)</f>
        <v>A</v>
      </c>
      <c r="AN240" s="28" t="b">
        <f t="shared" ref="AN240" si="150">AND(IF(Y240="-",IF(AA240-W240&gt;3,TRUE,FALSE),TRUE),IF(M240="-",IF(O240-K240&gt;3,TRUE,FALSE),TRUE),IF(AG240-AF240&gt;1,TRUE,FALSE),C240&lt;E240,OR(E240&lt;F240,F240="-"),OR(F240&lt;H240,F240="-"),OR(H240&lt;I240,H240="-"),I240&lt;K240,OR(K240&lt;L240,L240="-"),OR(L240&lt;N240,L240="-"),OR(N240&lt;O240,N240="-"),O240&lt;Q240,OR(Q240&lt;R240,R240="-"),OR(R240&lt;T240,R240="-"),OR(T240&lt;U240,T240="-"),U240&lt;W240,OR(W240&lt;X240,X240="-"),OR(X240&lt;Z240,X240="-"),OR(Z240&lt;AA240,Z240="-"),AA240&lt;AC240,AC240&lt;AD240,AD240&lt;AF240,AF240&lt;AG240,AG240&lt;AI240,OR(AI240&lt;AJ240,AJ240="-"),OR(AJ240&lt;AL240,AJ240="-"))</f>
        <v>1</v>
      </c>
      <c r="AO240" s="3" t="str">
        <f>IF(ISERROR(MATCH(A240,'SegEnds_Xtal_Prot#'!B:B, 0)), "NoXtal", "Xtal")</f>
        <v>Xtal</v>
      </c>
      <c r="AP240" s="3" t="str">
        <f t="shared" ref="AP240" si="151">IF(ISERROR(F240-E240),"-",F240-E240)</f>
        <v>-</v>
      </c>
      <c r="AQ240" s="3" t="str">
        <f t="shared" ref="AQ240" si="152">IF(ISERROR(I240-H240),"-",I240-H240)</f>
        <v>-</v>
      </c>
      <c r="AR240" s="3">
        <f t="shared" ref="AR240" si="153">IF(ISERROR(L240-K240),"-",L240-K240)</f>
        <v>1</v>
      </c>
      <c r="AS240" s="3">
        <f t="shared" ref="AS240" si="154">IF(ISERROR(O240-N240),"-",O240-N240)</f>
        <v>1</v>
      </c>
      <c r="AT240" s="3">
        <f t="shared" ref="AT240" si="155">IF(ISERROR(R240-Q240),"-",R240-Q240)</f>
        <v>1</v>
      </c>
      <c r="AU240" s="3">
        <f t="shared" ref="AU240" si="156">IF(ISERROR(U240-T240),"-",U240-T240)</f>
        <v>1</v>
      </c>
      <c r="AV240" s="3">
        <f t="shared" ref="AV240" si="157">IF(ISERROR(X240-W240),"-",X240-W240)</f>
        <v>8</v>
      </c>
      <c r="AW240" s="3">
        <f t="shared" ref="AW240" si="158">IF(ISERROR(AA240-Z240),"-",AA240-Z240)</f>
        <v>6</v>
      </c>
      <c r="AX240" s="3">
        <f t="shared" ref="AX240" si="159">IF(ISERROR(AD240-AC240),"-",AD240-AC240)</f>
        <v>4</v>
      </c>
      <c r="AY240" s="3">
        <f t="shared" ref="AY240" si="160">IF(ISERROR(AG240-AF240),"-",AG240-AF240)</f>
        <v>7</v>
      </c>
      <c r="AZ240" s="3">
        <f t="shared" ref="AZ240" si="161">IF(ISERROR(AJ240-AI240),"-",AJ240-AI240)</f>
        <v>1</v>
      </c>
      <c r="BA240" s="3">
        <f>IF(ISERROR(LEN(VLOOKUP(A240,Seqs!A:E,2,FALSE))-AL240),"-",LEN(VLOOKUP(A240,Seqs!A:E,2,FALSE))-AL240)</f>
        <v>5</v>
      </c>
      <c r="BB240" s="16">
        <f t="shared" ref="BB240" si="162">J240-D240</f>
        <v>28</v>
      </c>
      <c r="BC240" s="9">
        <f t="shared" ref="BC240" si="163">IF(ISERROR(V240-S240),"-",V240-S240)</f>
        <v>20</v>
      </c>
      <c r="BD240" s="3">
        <f t="shared" ref="BD240" si="164">J240-D240</f>
        <v>28</v>
      </c>
      <c r="BE240" s="3">
        <f t="shared" ref="BE240" si="165">AE240-AB240</f>
        <v>48</v>
      </c>
      <c r="BF240" s="3">
        <f t="shared" ref="BF240" si="166">AH240-AE240</f>
        <v>44</v>
      </c>
    </row>
    <row r="241" spans="1:58" s="3" customFormat="1" x14ac:dyDescent="0.2">
      <c r="A241" s="3" t="s">
        <v>473</v>
      </c>
      <c r="B241" s="3" t="str">
        <f>LOWER(VLOOKUP(A241,Xtal_Templ!A:B,2,FALSE))</f>
        <v>ta2r_human</v>
      </c>
      <c r="C241" s="3">
        <f>VLOOKUP($A241,'SegEnds_NonXtal_BW#'!$A:$Z,3,FALSE)+D241-50</f>
        <v>27</v>
      </c>
      <c r="D241" s="3">
        <v>42</v>
      </c>
      <c r="E241" s="3">
        <f>IF(ISERROR(VLOOKUP($A241,'SegEnds_NonXtal_BW#'!$A:$Z,4,FALSE)+VLOOKUP($A241,A:AL,4,FALSE)-50),"-",(VLOOKUP($A241,'SegEnds_NonXtal_BW#'!$A:$Z,4,FALSE)+VLOOKUP($A241,A:AL,4,FALSE)-50))</f>
        <v>54</v>
      </c>
      <c r="F241" s="3" t="str">
        <f>IF(ISERROR(VLOOKUP($A241,'SegEnds_NonXtal_BW#'!$A:$Z,5,FALSE)+VLOOKUP($A241,A:AL,7,FALSE)-50),"-",(VLOOKUP($A241,'SegEnds_NonXtal_BW#'!$A:$Z,5,FALSE)+VLOOKUP($A241,A:AL,7,FALSE)-50))</f>
        <v>-</v>
      </c>
      <c r="G241" s="3" t="s">
        <v>23</v>
      </c>
      <c r="H241" s="3" t="str">
        <f>IF(ISERROR(VLOOKUP($A241,'SegEnds_NonXtal_BW#'!$A:$Z,6,FALSE)+VLOOKUP($A241,A:AL,7,FALSE)-50),"-",(VLOOKUP($A241,'SegEnds_NonXtal_BW#'!$A:$Z,6,FALSE)+VLOOKUP($A241,A:AL,7,FALSE)-50))</f>
        <v>-</v>
      </c>
      <c r="I241" s="3">
        <f>VLOOKUP($A241,'SegEnds_NonXtal_BW#'!$A:$Z,7,FALSE)+J241-50</f>
        <v>61</v>
      </c>
      <c r="J241" s="3">
        <v>74</v>
      </c>
      <c r="K241" s="3">
        <f>VLOOKUP($A241,'SegEnds_NonXtal_BW#'!$A:$Z,8,FALSE)+VLOOKUP($A241,A:AL,10,FALSE)-50</f>
        <v>91</v>
      </c>
      <c r="L241" s="3">
        <f t="shared" si="142"/>
        <v>94</v>
      </c>
      <c r="M241" s="3">
        <v>95</v>
      </c>
      <c r="N241" s="105">
        <v>98</v>
      </c>
      <c r="O241" s="105">
        <v>102</v>
      </c>
      <c r="P241" s="3">
        <v>130</v>
      </c>
      <c r="Q241" s="3">
        <f>VLOOKUP($A241,'SegEnds_NonXtal_BW#'!$A:$Z,12,FALSE)+VLOOKUP($A241,A:AL,16,FALSE)-50</f>
        <v>136</v>
      </c>
      <c r="R241" s="3">
        <f>IF(ISERROR(VLOOKUP($A241,'SegEnds_NonXtal_BW#'!$A:$Z,13,FALSE)+VLOOKUP($A241,A:AL,19,FALSE)-50),"-",VLOOKUP($A241,'SegEnds_NonXtal_BW#'!$A:$Z,13,FALSE)+VLOOKUP($A241,A:AL,19,FALSE)-50)</f>
        <v>137</v>
      </c>
      <c r="S241" s="3">
        <v>137</v>
      </c>
      <c r="T241" s="100">
        <f>IF(ISERROR(VLOOKUP($A241,'SegEnds_NonXtal_BW#'!$A:$Z,14,FALSE)+VLOOKUP($A241,A:AL,19,FALSE)-50),"-",(VLOOKUP($A241,'SegEnds_NonXtal_BW#'!$A:$Z,14,FALSE)+VLOOKUP($A241,A:AL,19,FALSE)-50))</f>
        <v>144</v>
      </c>
      <c r="U241" s="9">
        <f>IF(ISERROR(VLOOKUP($A241,'SegEnds_NonXtal_BW#'!$A:$Z,15,FALSE)+VLOOKUP($A241,A:AL,22,FALSE)-50),"-",VLOOKUP($A241,'SegEnds_NonXtal_BW#'!$A:$Z,15,FALSE)+VLOOKUP($A241,A:AL,22,FALSE)-50)</f>
        <v>145</v>
      </c>
      <c r="V241" s="3">
        <v>157</v>
      </c>
      <c r="W241" s="3">
        <f>IF(ISERROR(VLOOKUP($A241,'SegEnds_NonXtal_BW#'!$A:$Z,16,FALSE)+VLOOKUP($A241,A:AL,22,FALSE)-50),"-",(VLOOKUP($A241,'SegEnds_NonXtal_BW#'!$A:$Z,16,FALSE)+VLOOKUP($A241,A:AL,22,FALSE)-50))</f>
        <v>170</v>
      </c>
      <c r="X241" s="3">
        <f>Y241</f>
        <v>183</v>
      </c>
      <c r="Y241" s="3">
        <v>183</v>
      </c>
      <c r="Z241" s="3">
        <f t="shared" si="144"/>
        <v>185</v>
      </c>
      <c r="AA241" s="3">
        <f>IF(ISERROR(VLOOKUP($A241,'SegEnds_NonXtal_BW#'!$A:$Z,19,FALSE)+VLOOKUP($A241,A:AL,28,FALSE)-50),"-",(VLOOKUP($A241,'SegEnds_NonXtal_BW#'!$A:$Z,19,FALSE)+VLOOKUP($A241,A:AL,28,FALSE)-50))</f>
        <v>190</v>
      </c>
      <c r="AB241" s="3">
        <v>207</v>
      </c>
      <c r="AC241" s="3">
        <f>IF(ISERROR((VLOOKUP($A241,'SegEnds_NonXtal_BW#'!$A:$Z,20,FALSE)+VLOOKUP($A241,A:AL,28,FALSE)-50)),"-",(VLOOKUP($A241,'SegEnds_NonXtal_BW#'!$A:$Z,20,FALSE)+VLOOKUP($A241,A:AL,28,FALSE)-50))</f>
        <v>229</v>
      </c>
      <c r="AD241" s="3">
        <f>IF(ISERROR(VLOOKUP($A241,'SegEnds_NonXtal_BW#'!$A:$Z,21,FALSE)+VLOOKUP($A241,A:AL,31,FALSE)-50),"-",(VLOOKUP($A241,'SegEnds_NonXtal_BW#'!$A:$Z,21,FALSE)+VLOOKUP($A241,A:AL,31,FALSE)-50))</f>
        <v>234</v>
      </c>
      <c r="AE241" s="3">
        <v>260</v>
      </c>
      <c r="AF241" s="3">
        <f>IF(ISERROR((VLOOKUP($A241,'SegEnds_NonXtal_BW#'!$A:$Z,22,FALSE)+VLOOKUP($A241,A:AL,31,FALSE)-50)),"-",(VLOOKUP($A241,'SegEnds_NonXtal_BW#'!$A:$Z,22,FALSE)+VLOOKUP($A241,A:AL,31,FALSE)-50))</f>
        <v>271</v>
      </c>
      <c r="AG241" s="3">
        <f>IF(ISERROR(VLOOKUP($A241,'SegEnds_NonXtal_BW#'!$A:$Z,23,FALSE)+VLOOKUP($A241,A:AL,34,FALSE)-50),"-",(VLOOKUP($A241,'SegEnds_NonXtal_BW#'!$A:$Z,23,FALSE)+VLOOKUP($A241,A:AL,34,FALSE)-50))</f>
        <v>283</v>
      </c>
      <c r="AH241" s="3">
        <v>305</v>
      </c>
      <c r="AI241" s="3">
        <f>IF(ISERROR((VLOOKUP($A241,'SegEnds_NonXtal_BW#'!$A:$Z,24,FALSE)+VLOOKUP($A241,A:AL,34,FALSE)-50)),"-",(VLOOKUP($A241,'SegEnds_NonXtal_BW#'!$A:$Z,24,FALSE)+VLOOKUP($A241,A:AL,34,FALSE)-50))</f>
        <v>311</v>
      </c>
      <c r="AJ241" s="3">
        <f>IF(ISERROR(VLOOKUP($A241,'SegEnds_NonXtal_BW#'!$A:$Z,25,FALSE)+VLOOKUP($A241,A:AL,37,FALSE)-50),"-",(VLOOKUP($A241,'SegEnds_NonXtal_BW#'!$A:$Z,25,FALSE)+VLOOKUP($A241,A:AL,37,FALSE)-50))</f>
        <v>312</v>
      </c>
      <c r="AK241" s="3">
        <v>315</v>
      </c>
      <c r="AL241" s="3">
        <f>IF(ISERROR((VLOOKUP($A241,'SegEnds_NonXtal_BW#'!$A:$Z,26,FALSE)+VLOOKUP($A241,A:AL,37,FALSE)-50)),"-",(VLOOKUP($A241,'SegEnds_NonXtal_BW#'!$A:$Z,26,FALSE)+VLOOKUP($A241,A:AL,37,FALSE)-50))</f>
        <v>331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Xtal</v>
      </c>
      <c r="AP241" s="3" t="str">
        <f t="shared" si="118"/>
        <v>-</v>
      </c>
      <c r="AQ241" s="3" t="str">
        <f t="shared" si="119"/>
        <v>-</v>
      </c>
      <c r="AR241" s="3">
        <f t="shared" si="120"/>
        <v>3</v>
      </c>
      <c r="AS241" s="3">
        <f t="shared" si="121"/>
        <v>4</v>
      </c>
      <c r="AT241" s="3">
        <f t="shared" si="122"/>
        <v>1</v>
      </c>
      <c r="AU241" s="3">
        <f t="shared" si="123"/>
        <v>1</v>
      </c>
      <c r="AV241" s="3">
        <f t="shared" si="124"/>
        <v>13</v>
      </c>
      <c r="AW241" s="3">
        <f t="shared" si="125"/>
        <v>5</v>
      </c>
      <c r="AX241" s="3">
        <f t="shared" si="126"/>
        <v>5</v>
      </c>
      <c r="AY241" s="3">
        <f t="shared" si="127"/>
        <v>12</v>
      </c>
      <c r="AZ241" s="3">
        <f t="shared" si="128"/>
        <v>1</v>
      </c>
      <c r="BA241" s="3">
        <f>IF(ISERROR(LEN(VLOOKUP(A241,Seqs!A:E,2,FALSE))-AL241),"-",LEN(VLOOKUP(A241,Seqs!A:E,2,FALSE))-AL241)</f>
        <v>12</v>
      </c>
      <c r="BB241" s="16">
        <f t="shared" si="129"/>
        <v>32</v>
      </c>
      <c r="BC241" s="9">
        <f t="shared" si="130"/>
        <v>20</v>
      </c>
      <c r="BD241" s="3">
        <f t="shared" si="131"/>
        <v>32</v>
      </c>
      <c r="BE241" s="3">
        <f t="shared" si="132"/>
        <v>53</v>
      </c>
      <c r="BF241" s="3">
        <f t="shared" si="145"/>
        <v>45</v>
      </c>
    </row>
    <row r="242" spans="1:58" s="3" customFormat="1" x14ac:dyDescent="0.2">
      <c r="A242" s="3" t="s">
        <v>387</v>
      </c>
      <c r="B242" s="3" t="str">
        <f>LOWER(VLOOKUP(A242,Xtal_Templ!A:B,2,FALSE))</f>
        <v>drd2_human</v>
      </c>
      <c r="C242" s="3">
        <f>VLOOKUP($A242,'SegEnds_NonXtal_BW#'!$A:$Z,3,FALSE)+D242-50</f>
        <v>20</v>
      </c>
      <c r="D242" s="3">
        <v>41</v>
      </c>
      <c r="E242" s="3">
        <f>IF(ISERROR(VLOOKUP($A242,'SegEnds_NonXtal_BW#'!$A:$Z,4,FALSE)+VLOOKUP($A242,A:AL,4,FALSE)-50),"-",(VLOOKUP($A242,'SegEnds_NonXtal_BW#'!$A:$Z,4,FALSE)+VLOOKUP($A242,A:AL,4,FALSE)-50))</f>
        <v>51</v>
      </c>
      <c r="F242" s="3">
        <f t="shared" ref="F242:F263" si="167">G242-2</f>
        <v>52</v>
      </c>
      <c r="G242" s="3">
        <v>54</v>
      </c>
      <c r="H242" s="3">
        <f t="shared" ref="H242:I263" si="168">G242+1</f>
        <v>55</v>
      </c>
      <c r="I242" s="3">
        <f t="shared" si="168"/>
        <v>56</v>
      </c>
      <c r="J242" s="3">
        <v>69</v>
      </c>
      <c r="K242" s="3">
        <f>VLOOKUP($A242,'SegEnds_NonXtal_BW#'!$A:$Z,8,FALSE)+VLOOKUP($A242,A:AL,10,FALSE)-50</f>
        <v>87</v>
      </c>
      <c r="L242" s="3">
        <f t="shared" si="142"/>
        <v>88</v>
      </c>
      <c r="M242" s="3">
        <v>89</v>
      </c>
      <c r="N242" s="3">
        <f t="shared" si="143"/>
        <v>91</v>
      </c>
      <c r="O242" s="3">
        <f t="shared" si="139"/>
        <v>92</v>
      </c>
      <c r="P242" s="3">
        <v>121</v>
      </c>
      <c r="Q242" s="3">
        <f>VLOOKUP($A242,'SegEnds_NonXtal_BW#'!$A:$Z,12,FALSE)+VLOOKUP($A242,A:AL,16,FALSE)-50</f>
        <v>127</v>
      </c>
      <c r="R242" s="3">
        <f>IF(ISERROR(VLOOKUP($A242,'SegEnds_NonXtal_BW#'!$A:$Z,13,FALSE)+VLOOKUP($A242,A:AL,19,FALSE)-50),"-",VLOOKUP($A242,'SegEnds_NonXtal_BW#'!$A:$Z,13,FALSE)+VLOOKUP($A242,A:AL,19,FALSE)-50)</f>
        <v>128</v>
      </c>
      <c r="S242" s="3">
        <v>128</v>
      </c>
      <c r="T242" s="100">
        <f>IF(ISERROR(VLOOKUP($A242,'SegEnds_NonXtal_BW#'!$A:$Z,14,FALSE)+VLOOKUP($A242,A:AL,19,FALSE)-50),"-",(VLOOKUP($A242,'SegEnds_NonXtal_BW#'!$A:$Z,14,FALSE)+VLOOKUP($A242,A:AL,19,FALSE)-50))</f>
        <v>135</v>
      </c>
      <c r="U242" s="9">
        <f>IF(ISERROR(VLOOKUP($A242,'SegEnds_NonXtal_BW#'!$A:$Z,15,FALSE)+VLOOKUP($A242,A:AL,22,FALSE)-50),"-",VLOOKUP($A242,'SegEnds_NonXtal_BW#'!$A:$Z,15,FALSE)+VLOOKUP($A242,A:AL,22,FALSE)-50)</f>
        <v>136</v>
      </c>
      <c r="V242" s="3">
        <v>148</v>
      </c>
      <c r="W242" s="3">
        <f>IF(ISERROR(VLOOKUP($A242,'SegEnds_NonXtal_BW#'!$A:$Z,16,FALSE)+VLOOKUP($A242,A:AL,22,FALSE)-50),"-",(VLOOKUP($A242,'SegEnds_NonXtal_BW#'!$A:$Z,16,FALSE)+VLOOKUP($A242,A:AL,22,FALSE)-50))</f>
        <v>160</v>
      </c>
      <c r="X242" s="3">
        <f>IF(ISERROR(VLOOKUP($A242,'SegEnds_NonXtal_BW#'!$A:$Z,17,FALSE)+VLOOKUP($A242,A:AL,25,FALSE)-50),"-",(VLOOKUP($A242,'SegEnds_NonXtal_BW#'!$A:$Z,17,FALSE)+VLOOKUP($A242,A:AL,25,FALSE)-50))</f>
        <v>182</v>
      </c>
      <c r="Y242" s="3">
        <v>182</v>
      </c>
      <c r="Z242" s="3">
        <f t="shared" si="144"/>
        <v>184</v>
      </c>
      <c r="AA242" s="3">
        <f>IF(ISERROR(VLOOKUP($A242,'SegEnds_NonXtal_BW#'!$A:$Z,19,FALSE)+VLOOKUP($A242,A:AL,28,FALSE)-50),"-",(VLOOKUP($A242,'SegEnds_NonXtal_BW#'!$A:$Z,19,FALSE)+VLOOKUP($A242,A:AL,28,FALSE)-50))</f>
        <v>187</v>
      </c>
      <c r="AB242" s="3">
        <v>202</v>
      </c>
      <c r="AC242" s="3">
        <f>IF(ISERROR((VLOOKUP($A242,'SegEnds_NonXtal_BW#'!$A:$Z,20,FALSE)+VLOOKUP($A242,A:AL,28,FALSE)-50)),"-",(VLOOKUP($A242,'SegEnds_NonXtal_BW#'!$A:$Z,20,FALSE)+VLOOKUP($A242,A:AL,28,FALSE)-50))</f>
        <v>226</v>
      </c>
      <c r="AD242" s="3">
        <f>IF(ISERROR(VLOOKUP($A242,'SegEnds_NonXtal_BW#'!$A:$Z,21,FALSE)+VLOOKUP($A242,A:AL,31,FALSE)-50),"-",(VLOOKUP($A242,'SegEnds_NonXtal_BW#'!$A:$Z,21,FALSE)+VLOOKUP($A242,A:AL,31,FALSE)-50))</f>
        <v>237</v>
      </c>
      <c r="AE242" s="3">
        <v>266</v>
      </c>
      <c r="AF242" s="3">
        <f>IF(ISERROR((VLOOKUP($A242,'SegEnds_NonXtal_BW#'!$A:$Z,22,FALSE)+VLOOKUP($A242,A:AL,31,FALSE)-50)),"-",(VLOOKUP($A242,'SegEnds_NonXtal_BW#'!$A:$Z,22,FALSE)+VLOOKUP($A242,A:AL,31,FALSE)-50))</f>
        <v>277</v>
      </c>
      <c r="AG242" s="3">
        <f>IF(ISERROR(VLOOKUP($A242,'SegEnds_NonXtal_BW#'!$A:$Z,23,FALSE)+VLOOKUP($A242,A:AL,34,FALSE)-50),"-",(VLOOKUP($A242,'SegEnds_NonXtal_BW#'!$A:$Z,23,FALSE)+VLOOKUP($A242,A:AL,34,FALSE)-50))</f>
        <v>282</v>
      </c>
      <c r="AH242" s="3">
        <v>301</v>
      </c>
      <c r="AI242" s="3">
        <v>307</v>
      </c>
      <c r="AJ242" s="3">
        <f>IF(ISERROR(VLOOKUP($A242,'SegEnds_NonXtal_BW#'!$A:$Z,25,FALSE)+VLOOKUP($A242,A:AL,37,FALSE)-50),"-",(VLOOKUP($A242,'SegEnds_NonXtal_BW#'!$A:$Z,25,FALSE)+VLOOKUP($A242,A:AL,37,FALSE)-50))</f>
        <v>308</v>
      </c>
      <c r="AK242" s="3">
        <v>311</v>
      </c>
      <c r="AL242" s="3">
        <f>IF(ISERROR((VLOOKUP($A242,'SegEnds_NonXtal_BW#'!$A:$Z,26,FALSE)+VLOOKUP($A242,A:AL,37,FALSE)-50)),"-",(VLOOKUP($A242,'SegEnds_NonXtal_BW#'!$A:$Z,26,FALSE)+VLOOKUP($A242,A:AL,37,FALSE)-50))</f>
        <v>320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22</v>
      </c>
      <c r="AW242" s="3">
        <f t="shared" si="125"/>
        <v>3</v>
      </c>
      <c r="AX242" s="3">
        <f t="shared" si="126"/>
        <v>11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19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64</v>
      </c>
      <c r="BF242" s="3">
        <f t="shared" si="145"/>
        <v>35</v>
      </c>
    </row>
    <row r="243" spans="1:58" s="3" customFormat="1" x14ac:dyDescent="0.2">
      <c r="A243" s="3" t="s">
        <v>388</v>
      </c>
      <c r="B243" s="3" t="str">
        <f>LOWER(VLOOKUP(A243,Xtal_Templ!A:B,2,FALSE))</f>
        <v>drd2_human</v>
      </c>
      <c r="C243" s="3">
        <f>VLOOKUP($A243,'SegEnds_NonXtal_BW#'!$A:$Z,3,FALSE)+D243-50</f>
        <v>40</v>
      </c>
      <c r="D243" s="3">
        <v>61</v>
      </c>
      <c r="E243" s="3">
        <f>IF(ISERROR(VLOOKUP($A243,'SegEnds_NonXtal_BW#'!$A:$Z,4,FALSE)+VLOOKUP($A243,A:AL,4,FALSE)-50),"-",(VLOOKUP($A243,'SegEnds_NonXtal_BW#'!$A:$Z,4,FALSE)+VLOOKUP($A243,A:AL,4,FALSE)-50))</f>
        <v>71</v>
      </c>
      <c r="F243" s="3">
        <f t="shared" si="167"/>
        <v>72</v>
      </c>
      <c r="G243" s="3">
        <v>74</v>
      </c>
      <c r="H243" s="3">
        <f t="shared" si="168"/>
        <v>75</v>
      </c>
      <c r="I243" s="3">
        <f t="shared" si="168"/>
        <v>76</v>
      </c>
      <c r="J243" s="3">
        <v>89</v>
      </c>
      <c r="K243" s="3">
        <f>VLOOKUP($A243,'SegEnds_NonXtal_BW#'!$A:$Z,8,FALSE)+VLOOKUP($A243,A:AL,10,FALSE)-50</f>
        <v>107</v>
      </c>
      <c r="L243" s="3">
        <f t="shared" si="142"/>
        <v>108</v>
      </c>
      <c r="M243" s="3">
        <v>109</v>
      </c>
      <c r="N243" s="3">
        <f t="shared" si="143"/>
        <v>111</v>
      </c>
      <c r="O243" s="3">
        <f t="shared" si="139"/>
        <v>112</v>
      </c>
      <c r="P243" s="3">
        <v>141</v>
      </c>
      <c r="Q243" s="3">
        <f>VLOOKUP($A243,'SegEnds_NonXtal_BW#'!$A:$Z,12,FALSE)+VLOOKUP($A243,A:AL,16,FALSE)-50</f>
        <v>147</v>
      </c>
      <c r="R243" s="3">
        <f>IF(ISERROR(VLOOKUP($A243,'SegEnds_NonXtal_BW#'!$A:$Z,13,FALSE)+VLOOKUP($A243,A:AL,19,FALSE)-50),"-",VLOOKUP($A243,'SegEnds_NonXtal_BW#'!$A:$Z,13,FALSE)+VLOOKUP($A243,A:AL,19,FALSE)-50)</f>
        <v>148</v>
      </c>
      <c r="S243" s="3">
        <v>148</v>
      </c>
      <c r="T243" s="100">
        <f>IF(ISERROR(VLOOKUP($A243,'SegEnds_NonXtal_BW#'!$A:$Z,14,FALSE)+VLOOKUP($A243,A:AL,19,FALSE)-50),"-",(VLOOKUP($A243,'SegEnds_NonXtal_BW#'!$A:$Z,14,FALSE)+VLOOKUP($A243,A:AL,19,FALSE)-50))</f>
        <v>155</v>
      </c>
      <c r="U243" s="9">
        <f>IF(ISERROR(VLOOKUP($A243,'SegEnds_NonXtal_BW#'!$A:$Z,15,FALSE)+VLOOKUP($A243,A:AL,22,FALSE)-50),"-",VLOOKUP($A243,'SegEnds_NonXtal_BW#'!$A:$Z,15,FALSE)+VLOOKUP($A243,A:AL,22,FALSE)-50)</f>
        <v>156</v>
      </c>
      <c r="V243" s="3">
        <v>168</v>
      </c>
      <c r="W243" s="3">
        <f>IF(ISERROR(VLOOKUP($A243,'SegEnds_NonXtal_BW#'!$A:$Z,16,FALSE)+VLOOKUP($A243,A:AL,22,FALSE)-50),"-",(VLOOKUP($A243,'SegEnds_NonXtal_BW#'!$A:$Z,16,FALSE)+VLOOKUP($A243,A:AL,22,FALSE)-50))</f>
        <v>180</v>
      </c>
      <c r="X243" s="3">
        <f>IF(ISERROR(VLOOKUP($A243,'SegEnds_NonXtal_BW#'!$A:$Z,17,FALSE)+VLOOKUP($A243,A:AL,25,FALSE)-50),"-",(VLOOKUP($A243,'SegEnds_NonXtal_BW#'!$A:$Z,17,FALSE)+VLOOKUP($A243,A:AL,25,FALSE)-50))</f>
        <v>201</v>
      </c>
      <c r="Y243" s="3">
        <v>201</v>
      </c>
      <c r="Z243" s="3">
        <f t="shared" si="144"/>
        <v>203</v>
      </c>
      <c r="AA243" s="3">
        <f>IF(ISERROR(VLOOKUP($A243,'SegEnds_NonXtal_BW#'!$A:$Z,19,FALSE)+VLOOKUP($A243,A:AL,28,FALSE)-50),"-",(VLOOKUP($A243,'SegEnds_NonXtal_BW#'!$A:$Z,19,FALSE)+VLOOKUP($A243,A:AL,28,FALSE)-50))</f>
        <v>206</v>
      </c>
      <c r="AB243" s="3">
        <v>221</v>
      </c>
      <c r="AC243" s="3">
        <f>IF(ISERROR((VLOOKUP($A243,'SegEnds_NonXtal_BW#'!$A:$Z,20,FALSE)+VLOOKUP($A243,A:AL,28,FALSE)-50)),"-",(VLOOKUP($A243,'SegEnds_NonXtal_BW#'!$A:$Z,20,FALSE)+VLOOKUP($A243,A:AL,28,FALSE)-50))</f>
        <v>244</v>
      </c>
      <c r="AD243" s="3">
        <f>IF(ISERROR(VLOOKUP($A243,'SegEnds_NonXtal_BW#'!$A:$Z,21,FALSE)+VLOOKUP($A243,A:AL,31,FALSE)-50),"-",(VLOOKUP($A243,'SegEnds_NonXtal_BW#'!$A:$Z,21,FALSE)+VLOOKUP($A243,A:AL,31,FALSE)-50))</f>
        <v>249</v>
      </c>
      <c r="AE243" s="3">
        <v>277</v>
      </c>
      <c r="AF243" s="3">
        <f>IF(ISERROR((VLOOKUP($A243,'SegEnds_NonXtal_BW#'!$A:$Z,22,FALSE)+VLOOKUP($A243,A:AL,31,FALSE)-50)),"-",(VLOOKUP($A243,'SegEnds_NonXtal_BW#'!$A:$Z,22,FALSE)+VLOOKUP($A243,A:AL,31,FALSE)-50))</f>
        <v>288</v>
      </c>
      <c r="AG243" s="3">
        <f>IF(ISERROR(VLOOKUP($A243,'SegEnds_NonXtal_BW#'!$A:$Z,23,FALSE)+VLOOKUP($A243,A:AL,34,FALSE)-50),"-",(VLOOKUP($A243,'SegEnds_NonXtal_BW#'!$A:$Z,23,FALSE)+VLOOKUP($A243,A:AL,34,FALSE)-50))</f>
        <v>293</v>
      </c>
      <c r="AH243" s="3">
        <v>312</v>
      </c>
      <c r="AI243" s="3">
        <f>IF(ISERROR((VLOOKUP($A243,'SegEnds_NonXtal_BW#'!$A:$Z,24,FALSE)+VLOOKUP($A243,A:AL,34,FALSE)-50)),"-",(VLOOKUP($A243,'SegEnds_NonXtal_BW#'!$A:$Z,24,FALSE)+VLOOKUP($A243,A:AL,34,FALSE)-50))</f>
        <v>318</v>
      </c>
      <c r="AJ243" s="3">
        <f>IF(ISERROR(VLOOKUP($A243,'SegEnds_NonXtal_BW#'!$A:$Z,25,FALSE)+VLOOKUP($A243,A:AL,37,FALSE)-50),"-",(VLOOKUP($A243,'SegEnds_NonXtal_BW#'!$A:$Z,25,FALSE)+VLOOKUP($A243,A:AL,37,FALSE)-50))</f>
        <v>319</v>
      </c>
      <c r="AK243" s="3">
        <v>322</v>
      </c>
      <c r="AL243" s="3">
        <f>IF(ISERROR((VLOOKUP($A243,'SegEnds_NonXtal_BW#'!$A:$Z,26,FALSE)+VLOOKUP($A243,A:AL,37,FALSE)-50)),"-",(VLOOKUP($A243,'SegEnds_NonXtal_BW#'!$A:$Z,26,FALSE)+VLOOKUP($A243,A:AL,37,FALSE)-50))</f>
        <v>331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5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20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56</v>
      </c>
      <c r="BF243" s="3">
        <f t="shared" si="145"/>
        <v>35</v>
      </c>
    </row>
    <row r="244" spans="1:58" s="3" customFormat="1" x14ac:dyDescent="0.2">
      <c r="A244" s="3" t="s">
        <v>389</v>
      </c>
      <c r="B244" s="3" t="str">
        <f>LOWER(VLOOKUP(A244,Xtal_Templ!A:B,2,FALSE))</f>
        <v>drd2_human</v>
      </c>
      <c r="C244" s="3">
        <f>VLOOKUP($A244,'SegEnds_NonXtal_BW#'!$A:$Z,3,FALSE)+D244-50</f>
        <v>28</v>
      </c>
      <c r="D244" s="3">
        <v>49</v>
      </c>
      <c r="E244" s="3">
        <f>IF(ISERROR(VLOOKUP($A244,'SegEnds_NonXtal_BW#'!$A:$Z,4,FALSE)+VLOOKUP($A244,A:AL,4,FALSE)-50),"-",(VLOOKUP($A244,'SegEnds_NonXtal_BW#'!$A:$Z,4,FALSE)+VLOOKUP($A244,A:AL,4,FALSE)-50))</f>
        <v>59</v>
      </c>
      <c r="F244" s="3">
        <f t="shared" si="167"/>
        <v>60</v>
      </c>
      <c r="G244" s="3">
        <v>62</v>
      </c>
      <c r="H244" s="3">
        <f t="shared" si="168"/>
        <v>63</v>
      </c>
      <c r="I244" s="3">
        <f t="shared" si="168"/>
        <v>64</v>
      </c>
      <c r="J244" s="3">
        <v>77</v>
      </c>
      <c r="K244" s="3">
        <f>VLOOKUP($A244,'SegEnds_NonXtal_BW#'!$A:$Z,8,FALSE)+VLOOKUP($A244,A:AL,10,FALSE)-50</f>
        <v>95</v>
      </c>
      <c r="L244" s="3">
        <f t="shared" si="142"/>
        <v>96</v>
      </c>
      <c r="M244" s="3">
        <v>97</v>
      </c>
      <c r="N244" s="3">
        <f t="shared" si="143"/>
        <v>99</v>
      </c>
      <c r="O244" s="3">
        <f t="shared" si="139"/>
        <v>100</v>
      </c>
      <c r="P244" s="3">
        <v>129</v>
      </c>
      <c r="Q244" s="3">
        <f>VLOOKUP($A244,'SegEnds_NonXtal_BW#'!$A:$Z,12,FALSE)+VLOOKUP($A244,A:AL,16,FALSE)-50</f>
        <v>135</v>
      </c>
      <c r="R244" s="3">
        <f>IF(ISERROR(VLOOKUP($A244,'SegEnds_NonXtal_BW#'!$A:$Z,13,FALSE)+VLOOKUP($A244,A:AL,19,FALSE)-50),"-",VLOOKUP($A244,'SegEnds_NonXtal_BW#'!$A:$Z,13,FALSE)+VLOOKUP($A244,A:AL,19,FALSE)-50)</f>
        <v>136</v>
      </c>
      <c r="S244" s="3">
        <v>136</v>
      </c>
      <c r="T244" s="100">
        <f>IF(ISERROR(VLOOKUP($A244,'SegEnds_NonXtal_BW#'!$A:$Z,14,FALSE)+VLOOKUP($A244,A:AL,19,FALSE)-50),"-",(VLOOKUP($A244,'SegEnds_NonXtal_BW#'!$A:$Z,14,FALSE)+VLOOKUP($A244,A:AL,19,FALSE)-50))</f>
        <v>143</v>
      </c>
      <c r="U244" s="9">
        <f>IF(ISERROR(VLOOKUP($A244,'SegEnds_NonXtal_BW#'!$A:$Z,15,FALSE)+VLOOKUP($A244,A:AL,22,FALSE)-50),"-",VLOOKUP($A244,'SegEnds_NonXtal_BW#'!$A:$Z,15,FALSE)+VLOOKUP($A244,A:AL,22,FALSE)-50)</f>
        <v>144</v>
      </c>
      <c r="V244" s="3">
        <v>156</v>
      </c>
      <c r="W244" s="3">
        <f>IF(ISERROR(VLOOKUP($A244,'SegEnds_NonXtal_BW#'!$A:$Z,16,FALSE)+VLOOKUP($A244,A:AL,22,FALSE)-50),"-",(VLOOKUP($A244,'SegEnds_NonXtal_BW#'!$A:$Z,16,FALSE)+VLOOKUP($A244,A:AL,22,FALSE)-50))</f>
        <v>168</v>
      </c>
      <c r="X244" s="3">
        <f>IF(ISERROR(VLOOKUP($A244,'SegEnds_NonXtal_BW#'!$A:$Z,17,FALSE)+VLOOKUP($A244,A:AL,25,FALSE)-50),"-",(VLOOKUP($A244,'SegEnds_NonXtal_BW#'!$A:$Z,17,FALSE)+VLOOKUP($A244,A:AL,25,FALSE)-50))</f>
        <v>189</v>
      </c>
      <c r="Y244" s="3">
        <v>189</v>
      </c>
      <c r="Z244" s="3">
        <f t="shared" si="144"/>
        <v>191</v>
      </c>
      <c r="AA244" s="3">
        <f>IF(ISERROR(VLOOKUP($A244,'SegEnds_NonXtal_BW#'!$A:$Z,19,FALSE)+VLOOKUP($A244,A:AL,28,FALSE)-50),"-",(VLOOKUP($A244,'SegEnds_NonXtal_BW#'!$A:$Z,19,FALSE)+VLOOKUP($A244,A:AL,28,FALSE)-50))</f>
        <v>194</v>
      </c>
      <c r="AB244" s="3">
        <v>209</v>
      </c>
      <c r="AC244" s="3">
        <f>IF(ISERROR((VLOOKUP($A244,'SegEnds_NonXtal_BW#'!$A:$Z,20,FALSE)+VLOOKUP($A244,A:AL,28,FALSE)-50)),"-",(VLOOKUP($A244,'SegEnds_NonXtal_BW#'!$A:$Z,20,FALSE)+VLOOKUP($A244,A:AL,28,FALSE)-50))</f>
        <v>233</v>
      </c>
      <c r="AD244" s="3">
        <f>IF(ISERROR(VLOOKUP($A244,'SegEnds_NonXtal_BW#'!$A:$Z,21,FALSE)+VLOOKUP($A244,A:AL,31,FALSE)-50),"-",(VLOOKUP($A244,'SegEnds_NonXtal_BW#'!$A:$Z,21,FALSE)+VLOOKUP($A244,A:AL,31,FALSE)-50))</f>
        <v>242</v>
      </c>
      <c r="AE244" s="3">
        <v>271</v>
      </c>
      <c r="AF244" s="3">
        <f>IF(ISERROR((VLOOKUP($A244,'SegEnds_NonXtal_BW#'!$A:$Z,22,FALSE)+VLOOKUP($A244,A:AL,31,FALSE)-50)),"-",(VLOOKUP($A244,'SegEnds_NonXtal_BW#'!$A:$Z,22,FALSE)+VLOOKUP($A244,A:AL,31,FALSE)-50))</f>
        <v>282</v>
      </c>
      <c r="AG244" s="3">
        <f>IF(ISERROR(VLOOKUP($A244,'SegEnds_NonXtal_BW#'!$A:$Z,23,FALSE)+VLOOKUP($A244,A:AL,34,FALSE)-50),"-",(VLOOKUP($A244,'SegEnds_NonXtal_BW#'!$A:$Z,23,FALSE)+VLOOKUP($A244,A:AL,34,FALSE)-50))</f>
        <v>287</v>
      </c>
      <c r="AH244" s="3">
        <v>306</v>
      </c>
      <c r="AI244" s="3">
        <f>IF(ISERROR((VLOOKUP($A244,'SegEnds_NonXtal_BW#'!$A:$Z,24,FALSE)+VLOOKUP($A244,A:AL,34,FALSE)-50)),"-",(VLOOKUP($A244,'SegEnds_NonXtal_BW#'!$A:$Z,24,FALSE)+VLOOKUP($A244,A:AL,34,FALSE)-50))</f>
        <v>312</v>
      </c>
      <c r="AJ244" s="3">
        <f>IF(ISERROR(VLOOKUP($A244,'SegEnds_NonXtal_BW#'!$A:$Z,25,FALSE)+VLOOKUP($A244,A:AL,37,FALSE)-50),"-",(VLOOKUP($A244,'SegEnds_NonXtal_BW#'!$A:$Z,25,FALSE)+VLOOKUP($A244,A:AL,37,FALSE)-50))</f>
        <v>313</v>
      </c>
      <c r="AK244" s="3">
        <v>316</v>
      </c>
      <c r="AL244" s="3">
        <f>IF(ISERROR((VLOOKUP($A244,'SegEnds_NonXtal_BW#'!$A:$Z,26,FALSE)+VLOOKUP($A244,A:AL,37,FALSE)-50)),"-",(VLOOKUP($A244,'SegEnds_NonXtal_BW#'!$A:$Z,26,FALSE)+VLOOKUP($A244,A:AL,37,FALSE)-50))</f>
        <v>325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21</v>
      </c>
      <c r="AW244" s="3">
        <f t="shared" si="125"/>
        <v>3</v>
      </c>
      <c r="AX244" s="3">
        <f t="shared" si="126"/>
        <v>9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18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62</v>
      </c>
      <c r="BF244" s="3">
        <f t="shared" si="145"/>
        <v>35</v>
      </c>
    </row>
    <row r="245" spans="1:58" s="3" customFormat="1" x14ac:dyDescent="0.2">
      <c r="A245" s="3" t="s">
        <v>390</v>
      </c>
      <c r="B245" s="3" t="str">
        <f>LOWER(VLOOKUP(A245,Xtal_Templ!A:B,2,FALSE))</f>
        <v>5ht1b_human</v>
      </c>
      <c r="C245" s="3">
        <f>VLOOKUP($A245,'SegEnds_NonXtal_BW#'!$A:$Z,3,FALSE)+D245-50</f>
        <v>30</v>
      </c>
      <c r="D245" s="3">
        <v>52</v>
      </c>
      <c r="E245" s="3">
        <f>IF(ISERROR(VLOOKUP($A245,'SegEnds_NonXtal_BW#'!$A:$Z,4,FALSE)+VLOOKUP($A245,A:AL,4,FALSE)-50),"-",(VLOOKUP($A245,'SegEnds_NonXtal_BW#'!$A:$Z,4,FALSE)+VLOOKUP($A245,A:AL,4,FALSE)-50))</f>
        <v>62</v>
      </c>
      <c r="F245" s="3">
        <f t="shared" si="167"/>
        <v>63</v>
      </c>
      <c r="G245" s="3">
        <v>65</v>
      </c>
      <c r="H245" s="3">
        <f t="shared" si="168"/>
        <v>66</v>
      </c>
      <c r="I245" s="3">
        <f t="shared" si="168"/>
        <v>67</v>
      </c>
      <c r="J245" s="3">
        <v>80</v>
      </c>
      <c r="K245" s="3">
        <f>VLOOKUP($A245,'SegEnds_NonXtal_BW#'!$A:$Z,8,FALSE)+VLOOKUP($A245,A:AL,10,FALSE)-50</f>
        <v>98</v>
      </c>
      <c r="L245" s="3">
        <f t="shared" si="142"/>
        <v>99</v>
      </c>
      <c r="M245" s="3">
        <v>100</v>
      </c>
      <c r="N245" s="3">
        <f t="shared" si="143"/>
        <v>102</v>
      </c>
      <c r="O245" s="3">
        <f t="shared" si="139"/>
        <v>103</v>
      </c>
      <c r="P245" s="3">
        <v>132</v>
      </c>
      <c r="Q245" s="3">
        <f>VLOOKUP($A245,'SegEnds_NonXtal_BW#'!$A:$Z,12,FALSE)+VLOOKUP($A245,A:AL,16,FALSE)-50</f>
        <v>138</v>
      </c>
      <c r="R245" s="3">
        <f>IF(ISERROR(VLOOKUP($A245,'SegEnds_NonXtal_BW#'!$A:$Z,13,FALSE)+VLOOKUP($A245,A:AL,19,FALSE)-50),"-",VLOOKUP($A245,'SegEnds_NonXtal_BW#'!$A:$Z,13,FALSE)+VLOOKUP($A245,A:AL,19,FALSE)-50)</f>
        <v>139</v>
      </c>
      <c r="S245" s="3">
        <v>139</v>
      </c>
      <c r="T245" s="100">
        <f>IF(ISERROR(VLOOKUP($A245,'SegEnds_NonXtal_BW#'!$A:$Z,14,FALSE)+VLOOKUP($A245,A:AL,19,FALSE)-50),"-",(VLOOKUP($A245,'SegEnds_NonXtal_BW#'!$A:$Z,14,FALSE)+VLOOKUP($A245,A:AL,19,FALSE)-50))</f>
        <v>146</v>
      </c>
      <c r="U245" s="9">
        <f>IF(ISERROR(VLOOKUP($A245,'SegEnds_NonXtal_BW#'!$A:$Z,15,FALSE)+VLOOKUP($A245,A:AL,22,FALSE)-50),"-",VLOOKUP($A245,'SegEnds_NonXtal_BW#'!$A:$Z,15,FALSE)+VLOOKUP($A245,A:AL,22,FALSE)-50)</f>
        <v>147</v>
      </c>
      <c r="V245" s="3">
        <v>159</v>
      </c>
      <c r="W245" s="3">
        <f>IF(ISERROR(VLOOKUP($A245,'SegEnds_NonXtal_BW#'!$A:$Z,16,FALSE)+VLOOKUP($A245,A:AL,22,FALSE)-50),"-",(VLOOKUP($A245,'SegEnds_NonXtal_BW#'!$A:$Z,16,FALSE)+VLOOKUP($A245,A:AL,22,FALSE)-50))</f>
        <v>172</v>
      </c>
      <c r="X245" s="3">
        <f>IF(ISERROR(VLOOKUP($A245,'SegEnds_NonXtal_BW#'!$A:$Z,17,FALSE)+VLOOKUP($A245,A:AL,25,FALSE)-50),"-",(VLOOKUP($A245,'SegEnds_NonXtal_BW#'!$A:$Z,17,FALSE)+VLOOKUP($A245,A:AL,25,FALSE)-50))</f>
        <v>192</v>
      </c>
      <c r="Y245" s="3">
        <v>192</v>
      </c>
      <c r="Z245" s="3">
        <f t="shared" si="144"/>
        <v>194</v>
      </c>
      <c r="AA245" s="3">
        <f>IF(ISERROR(VLOOKUP($A245,'SegEnds_NonXtal_BW#'!$A:$Z,19,FALSE)+VLOOKUP($A245,A:AL,28,FALSE)-50),"-",(VLOOKUP($A245,'SegEnds_NonXtal_BW#'!$A:$Z,19,FALSE)+VLOOKUP($A245,A:AL,28,FALSE)-50))</f>
        <v>196</v>
      </c>
      <c r="AB245" s="3">
        <v>211</v>
      </c>
      <c r="AC245" s="3">
        <f>IF(ISERROR((VLOOKUP($A245,'SegEnds_NonXtal_BW#'!$A:$Z,20,FALSE)+VLOOKUP($A245,A:AL,28,FALSE)-50)),"-",(VLOOKUP($A245,'SegEnds_NonXtal_BW#'!$A:$Z,20,FALSE)+VLOOKUP($A245,A:AL,28,FALSE)-50))</f>
        <v>234</v>
      </c>
      <c r="AD245" s="3">
        <f>IF(ISERROR(VLOOKUP($A245,'SegEnds_NonXtal_BW#'!$A:$Z,21,FALSE)+VLOOKUP($A245,A:AL,31,FALSE)-50),"-",(VLOOKUP($A245,'SegEnds_NonXtal_BW#'!$A:$Z,21,FALSE)+VLOOKUP($A245,A:AL,31,FALSE)-50))</f>
        <v>239</v>
      </c>
      <c r="AE245" s="3">
        <v>267</v>
      </c>
      <c r="AF245" s="3">
        <f>IF(ISERROR((VLOOKUP($A245,'SegEnds_NonXtal_BW#'!$A:$Z,22,FALSE)+VLOOKUP($A245,A:AL,31,FALSE)-50)),"-",(VLOOKUP($A245,'SegEnds_NonXtal_BW#'!$A:$Z,22,FALSE)+VLOOKUP($A245,A:AL,31,FALSE)-50))</f>
        <v>278</v>
      </c>
      <c r="AG245" s="3">
        <f>IF(ISERROR(VLOOKUP($A245,'SegEnds_NonXtal_BW#'!$A:$Z,23,FALSE)+VLOOKUP($A245,A:AL,34,FALSE)-50),"-",(VLOOKUP($A245,'SegEnds_NonXtal_BW#'!$A:$Z,23,FALSE)+VLOOKUP($A245,A:AL,34,FALSE)-50))</f>
        <v>283</v>
      </c>
      <c r="AH245" s="3">
        <v>302</v>
      </c>
      <c r="AI245" s="3">
        <f>IF(ISERROR((VLOOKUP($A245,'SegEnds_NonXtal_BW#'!$A:$Z,24,FALSE)+VLOOKUP($A245,A:AL,34,FALSE)-50)),"-",(VLOOKUP($A245,'SegEnds_NonXtal_BW#'!$A:$Z,24,FALSE)+VLOOKUP($A245,A:AL,34,FALSE)-50))</f>
        <v>308</v>
      </c>
      <c r="AJ245" s="3">
        <f>IF(ISERROR(VLOOKUP($A245,'SegEnds_NonXtal_BW#'!$A:$Z,25,FALSE)+VLOOKUP($A245,A:AL,37,FALSE)-50),"-",(VLOOKUP($A245,'SegEnds_NonXtal_BW#'!$A:$Z,25,FALSE)+VLOOKUP($A245,A:AL,37,FALSE)-50))</f>
        <v>309</v>
      </c>
      <c r="AK245" s="3">
        <v>312</v>
      </c>
      <c r="AL245" s="3">
        <f>IF(ISERROR((VLOOKUP($A245,'SegEnds_NonXtal_BW#'!$A:$Z,26,FALSE)+VLOOKUP($A245,A:AL,37,FALSE)-50)),"-",(VLOOKUP($A245,'SegEnds_NonXtal_BW#'!$A:$Z,26,FALSE)+VLOOKUP($A245,A:AL,37,FALSE)-50))</f>
        <v>320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5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17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56</v>
      </c>
      <c r="BF245" s="3">
        <f t="shared" si="145"/>
        <v>35</v>
      </c>
    </row>
    <row r="246" spans="1:58" s="3" customFormat="1" x14ac:dyDescent="0.2">
      <c r="A246" s="3" t="s">
        <v>391</v>
      </c>
      <c r="B246" s="3" t="str">
        <f>LOWER(VLOOKUP(A246,Xtal_Templ!A:B,2,FALSE))</f>
        <v>5ht1b_human</v>
      </c>
      <c r="C246" s="3">
        <f>VLOOKUP($A246,'SegEnds_NonXtal_BW#'!$A:$Z,3,FALSE)+D246-50</f>
        <v>28</v>
      </c>
      <c r="D246" s="3">
        <v>50</v>
      </c>
      <c r="E246" s="3">
        <f>IF(ISERROR(VLOOKUP($A246,'SegEnds_NonXtal_BW#'!$A:$Z,4,FALSE)+VLOOKUP($A246,A:AL,4,FALSE)-50),"-",(VLOOKUP($A246,'SegEnds_NonXtal_BW#'!$A:$Z,4,FALSE)+VLOOKUP($A246,A:AL,4,FALSE)-50))</f>
        <v>60</v>
      </c>
      <c r="F246" s="3">
        <f t="shared" si="167"/>
        <v>61</v>
      </c>
      <c r="G246" s="3">
        <v>63</v>
      </c>
      <c r="H246" s="3">
        <f t="shared" si="168"/>
        <v>64</v>
      </c>
      <c r="I246" s="3">
        <f t="shared" si="168"/>
        <v>65</v>
      </c>
      <c r="J246" s="3">
        <v>78</v>
      </c>
      <c r="K246" s="3">
        <f>VLOOKUP($A246,'SegEnds_NonXtal_BW#'!$A:$Z,8,FALSE)+VLOOKUP($A246,A:AL,10,FALSE)-50</f>
        <v>96</v>
      </c>
      <c r="L246" s="3">
        <f t="shared" si="142"/>
        <v>97</v>
      </c>
      <c r="M246" s="3">
        <v>98</v>
      </c>
      <c r="N246" s="3">
        <f t="shared" si="143"/>
        <v>100</v>
      </c>
      <c r="O246" s="3">
        <f t="shared" si="139"/>
        <v>101</v>
      </c>
      <c r="P246" s="3">
        <v>130</v>
      </c>
      <c r="Q246" s="3">
        <f>VLOOKUP($A246,'SegEnds_NonXtal_BW#'!$A:$Z,12,FALSE)+VLOOKUP($A246,A:AL,16,FALSE)-50</f>
        <v>136</v>
      </c>
      <c r="R246" s="3">
        <f>IF(ISERROR(VLOOKUP($A246,'SegEnds_NonXtal_BW#'!$A:$Z,13,FALSE)+VLOOKUP($A246,A:AL,19,FALSE)-50),"-",VLOOKUP($A246,'SegEnds_NonXtal_BW#'!$A:$Z,13,FALSE)+VLOOKUP($A246,A:AL,19,FALSE)-50)</f>
        <v>137</v>
      </c>
      <c r="S246" s="3">
        <v>137</v>
      </c>
      <c r="T246" s="100">
        <f>IF(ISERROR(VLOOKUP($A246,'SegEnds_NonXtal_BW#'!$A:$Z,14,FALSE)+VLOOKUP($A246,A:AL,19,FALSE)-50),"-",(VLOOKUP($A246,'SegEnds_NonXtal_BW#'!$A:$Z,14,FALSE)+VLOOKUP($A246,A:AL,19,FALSE)-50))</f>
        <v>144</v>
      </c>
      <c r="U246" s="9">
        <f>IF(ISERROR(VLOOKUP($A246,'SegEnds_NonXtal_BW#'!$A:$Z,15,FALSE)+VLOOKUP($A246,A:AL,22,FALSE)-50),"-",VLOOKUP($A246,'SegEnds_NonXtal_BW#'!$A:$Z,15,FALSE)+VLOOKUP($A246,A:AL,22,FALSE)-50)</f>
        <v>145</v>
      </c>
      <c r="V246" s="3">
        <v>157</v>
      </c>
      <c r="W246" s="3">
        <f>IF(ISERROR(VLOOKUP($A246,'SegEnds_NonXtal_BW#'!$A:$Z,16,FALSE)+VLOOKUP($A246,A:AL,22,FALSE)-50),"-",(VLOOKUP($A246,'SegEnds_NonXtal_BW#'!$A:$Z,16,FALSE)+VLOOKUP($A246,A:AL,22,FALSE)-50))</f>
        <v>170</v>
      </c>
      <c r="X246" s="3">
        <f>IF(ISERROR(VLOOKUP($A246,'SegEnds_NonXtal_BW#'!$A:$Z,17,FALSE)+VLOOKUP($A246,A:AL,25,FALSE)-50),"-",(VLOOKUP($A246,'SegEnds_NonXtal_BW#'!$A:$Z,17,FALSE)+VLOOKUP($A246,A:AL,25,FALSE)-50))</f>
        <v>190</v>
      </c>
      <c r="Y246" s="3">
        <v>190</v>
      </c>
      <c r="Z246" s="3">
        <f t="shared" si="144"/>
        <v>192</v>
      </c>
      <c r="AA246" s="3">
        <f>IF(ISERROR(VLOOKUP($A246,'SegEnds_NonXtal_BW#'!$A:$Z,19,FALSE)+VLOOKUP($A246,A:AL,28,FALSE)-50),"-",(VLOOKUP($A246,'SegEnds_NonXtal_BW#'!$A:$Z,19,FALSE)+VLOOKUP($A246,A:AL,28,FALSE)-50))</f>
        <v>194</v>
      </c>
      <c r="AB246" s="3">
        <v>209</v>
      </c>
      <c r="AC246" s="3">
        <f>IF(ISERROR((VLOOKUP($A246,'SegEnds_NonXtal_BW#'!$A:$Z,20,FALSE)+VLOOKUP($A246,A:AL,28,FALSE)-50)),"-",(VLOOKUP($A246,'SegEnds_NonXtal_BW#'!$A:$Z,20,FALSE)+VLOOKUP($A246,A:AL,28,FALSE)-50))</f>
        <v>233</v>
      </c>
      <c r="AD246" s="3">
        <f>IF(ISERROR(VLOOKUP($A246,'SegEnds_NonXtal_BW#'!$A:$Z,21,FALSE)+VLOOKUP($A246,A:AL,31,FALSE)-50),"-",(VLOOKUP($A246,'SegEnds_NonXtal_BW#'!$A:$Z,21,FALSE)+VLOOKUP($A246,A:AL,31,FALSE)-50))</f>
        <v>244</v>
      </c>
      <c r="AE246" s="3">
        <v>273</v>
      </c>
      <c r="AF246" s="3">
        <f>IF(ISERROR((VLOOKUP($A246,'SegEnds_NonXtal_BW#'!$A:$Z,22,FALSE)+VLOOKUP($A246,A:AL,31,FALSE)-50)),"-",(VLOOKUP($A246,'SegEnds_NonXtal_BW#'!$A:$Z,22,FALSE)+VLOOKUP($A246,A:AL,31,FALSE)-50))</f>
        <v>284</v>
      </c>
      <c r="AG246" s="3">
        <f>IF(ISERROR(VLOOKUP($A246,'SegEnds_NonXtal_BW#'!$A:$Z,23,FALSE)+VLOOKUP($A246,A:AL,34,FALSE)-50),"-",(VLOOKUP($A246,'SegEnds_NonXtal_BW#'!$A:$Z,23,FALSE)+VLOOKUP($A246,A:AL,34,FALSE)-50))</f>
        <v>289</v>
      </c>
      <c r="AH246" s="3">
        <v>308</v>
      </c>
      <c r="AI246" s="3">
        <f>IF(ISERROR((VLOOKUP($A246,'SegEnds_NonXtal_BW#'!$A:$Z,24,FALSE)+VLOOKUP($A246,A:AL,34,FALSE)-50)),"-",(VLOOKUP($A246,'SegEnds_NonXtal_BW#'!$A:$Z,24,FALSE)+VLOOKUP($A246,A:AL,34,FALSE)-50))</f>
        <v>314</v>
      </c>
      <c r="AJ246" s="3">
        <f>IF(ISERROR(VLOOKUP($A246,'SegEnds_NonXtal_BW#'!$A:$Z,25,FALSE)+VLOOKUP($A246,A:AL,37,FALSE)-50),"-",(VLOOKUP($A246,'SegEnds_NonXtal_BW#'!$A:$Z,25,FALSE)+VLOOKUP($A246,A:AL,37,FALSE)-50))</f>
        <v>315</v>
      </c>
      <c r="AK246" s="3">
        <v>318</v>
      </c>
      <c r="AL246" s="3">
        <f>IF(ISERROR((VLOOKUP($A246,'SegEnds_NonXtal_BW#'!$A:$Z,26,FALSE)+VLOOKUP($A246,A:AL,37,FALSE)-50)),"-",(VLOOKUP($A246,'SegEnds_NonXtal_BW#'!$A:$Z,26,FALSE)+VLOOKUP($A246,A:AL,37,FALSE)-50))</f>
        <v>326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19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392</v>
      </c>
      <c r="B247" s="3" t="str">
        <f>LOWER(VLOOKUP(A247,Xtal_Templ!A:B,2,FALSE))</f>
        <v>5ht1b_human</v>
      </c>
      <c r="C247" s="3">
        <f>VLOOKUP($A247,'SegEnds_NonXtal_BW#'!$A:$Z,3,FALSE)+D247-50</f>
        <v>27</v>
      </c>
      <c r="D247" s="3">
        <v>49</v>
      </c>
      <c r="E247" s="3">
        <f>IF(ISERROR(VLOOKUP($A247,'SegEnds_NonXtal_BW#'!$A:$Z,4,FALSE)+VLOOKUP($A247,A:AL,4,FALSE)-50),"-",(VLOOKUP($A247,'SegEnds_NonXtal_BW#'!$A:$Z,4,FALSE)+VLOOKUP($A247,A:AL,4,FALSE)-50))</f>
        <v>59</v>
      </c>
      <c r="F247" s="3">
        <f t="shared" si="167"/>
        <v>60</v>
      </c>
      <c r="G247" s="3">
        <v>62</v>
      </c>
      <c r="H247" s="3">
        <f t="shared" si="168"/>
        <v>63</v>
      </c>
      <c r="I247" s="3">
        <f t="shared" si="168"/>
        <v>64</v>
      </c>
      <c r="J247" s="3">
        <v>77</v>
      </c>
      <c r="K247" s="3">
        <f>VLOOKUP($A247,'SegEnds_NonXtal_BW#'!$A:$Z,8,FALSE)+VLOOKUP($A247,A:AL,10,FALSE)-50</f>
        <v>95</v>
      </c>
      <c r="L247" s="3">
        <f t="shared" si="142"/>
        <v>96</v>
      </c>
      <c r="M247" s="3">
        <v>97</v>
      </c>
      <c r="N247" s="3">
        <f t="shared" si="143"/>
        <v>99</v>
      </c>
      <c r="O247" s="3">
        <f t="shared" si="139"/>
        <v>100</v>
      </c>
      <c r="P247" s="3">
        <v>129</v>
      </c>
      <c r="Q247" s="3">
        <f>VLOOKUP($A247,'SegEnds_NonXtal_BW#'!$A:$Z,12,FALSE)+VLOOKUP($A247,A:AL,16,FALSE)-50</f>
        <v>135</v>
      </c>
      <c r="R247" s="3">
        <f>IF(ISERROR(VLOOKUP($A247,'SegEnds_NonXtal_BW#'!$A:$Z,13,FALSE)+VLOOKUP($A247,A:AL,19,FALSE)-50),"-",VLOOKUP($A247,'SegEnds_NonXtal_BW#'!$A:$Z,13,FALSE)+VLOOKUP($A247,A:AL,19,FALSE)-50)</f>
        <v>136</v>
      </c>
      <c r="S247" s="3">
        <v>136</v>
      </c>
      <c r="T247" s="100">
        <f>IF(ISERROR(VLOOKUP($A247,'SegEnds_NonXtal_BW#'!$A:$Z,14,FALSE)+VLOOKUP($A247,A:AL,19,FALSE)-50),"-",(VLOOKUP($A247,'SegEnds_NonXtal_BW#'!$A:$Z,14,FALSE)+VLOOKUP($A247,A:AL,19,FALSE)-50))</f>
        <v>143</v>
      </c>
      <c r="U247" s="9">
        <f>IF(ISERROR(VLOOKUP($A247,'SegEnds_NonXtal_BW#'!$A:$Z,15,FALSE)+VLOOKUP($A247,A:AL,22,FALSE)-50),"-",VLOOKUP($A247,'SegEnds_NonXtal_BW#'!$A:$Z,15,FALSE)+VLOOKUP($A247,A:AL,22,FALSE)-50)</f>
        <v>144</v>
      </c>
      <c r="V247" s="3">
        <v>156</v>
      </c>
      <c r="W247" s="3">
        <f>IF(ISERROR(VLOOKUP($A247,'SegEnds_NonXtal_BW#'!$A:$Z,16,FALSE)+VLOOKUP($A247,A:AL,22,FALSE)-50),"-",(VLOOKUP($A247,'SegEnds_NonXtal_BW#'!$A:$Z,16,FALSE)+VLOOKUP($A247,A:AL,22,FALSE)-50))</f>
        <v>169</v>
      </c>
      <c r="X247" s="3">
        <f>IF(ISERROR(VLOOKUP($A247,'SegEnds_NonXtal_BW#'!$A:$Z,17,FALSE)+VLOOKUP($A247,A:AL,25,FALSE)-50),"-",(VLOOKUP($A247,'SegEnds_NonXtal_BW#'!$A:$Z,17,FALSE)+VLOOKUP($A247,A:AL,25,FALSE)-50))</f>
        <v>189</v>
      </c>
      <c r="Y247" s="3">
        <v>189</v>
      </c>
      <c r="Z247" s="3">
        <f t="shared" si="144"/>
        <v>191</v>
      </c>
      <c r="AA247" s="3">
        <f>IF(ISERROR(VLOOKUP($A247,'SegEnds_NonXtal_BW#'!$A:$Z,19,FALSE)+VLOOKUP($A247,A:AL,28,FALSE)-50),"-",(VLOOKUP($A247,'SegEnds_NonXtal_BW#'!$A:$Z,19,FALSE)+VLOOKUP($A247,A:AL,28,FALSE)-50))</f>
        <v>193</v>
      </c>
      <c r="AB247" s="3">
        <v>208</v>
      </c>
      <c r="AC247" s="3">
        <f>IF(ISERROR((VLOOKUP($A247,'SegEnds_NonXtal_BW#'!$A:$Z,20,FALSE)+VLOOKUP($A247,A:AL,28,FALSE)-50)),"-",(VLOOKUP($A247,'SegEnds_NonXtal_BW#'!$A:$Z,20,FALSE)+VLOOKUP($A247,A:AL,28,FALSE)-50))</f>
        <v>232</v>
      </c>
      <c r="AD247" s="3">
        <f>IF(ISERROR(VLOOKUP($A247,'SegEnds_NonXtal_BW#'!$A:$Z,21,FALSE)+VLOOKUP($A247,A:AL,31,FALSE)-50),"-",(VLOOKUP($A247,'SegEnds_NonXtal_BW#'!$A:$Z,21,FALSE)+VLOOKUP($A247,A:AL,31,FALSE)-50))</f>
        <v>243</v>
      </c>
      <c r="AE247" s="3">
        <v>272</v>
      </c>
      <c r="AF247" s="3">
        <f>IF(ISERROR((VLOOKUP($A247,'SegEnds_NonXtal_BW#'!$A:$Z,22,FALSE)+VLOOKUP($A247,A:AL,31,FALSE)-50)),"-",(VLOOKUP($A247,'SegEnds_NonXtal_BW#'!$A:$Z,22,FALSE)+VLOOKUP($A247,A:AL,31,FALSE)-50))</f>
        <v>283</v>
      </c>
      <c r="AG247" s="3">
        <f>IF(ISERROR(VLOOKUP($A247,'SegEnds_NonXtal_BW#'!$A:$Z,23,FALSE)+VLOOKUP($A247,A:AL,34,FALSE)-50),"-",(VLOOKUP($A247,'SegEnds_NonXtal_BW#'!$A:$Z,23,FALSE)+VLOOKUP($A247,A:AL,34,FALSE)-50))</f>
        <v>288</v>
      </c>
      <c r="AH247" s="3">
        <v>307</v>
      </c>
      <c r="AI247" s="3">
        <f>IF(ISERROR((VLOOKUP($A247,'SegEnds_NonXtal_BW#'!$A:$Z,24,FALSE)+VLOOKUP($A247,A:AL,34,FALSE)-50)),"-",(VLOOKUP($A247,'SegEnds_NonXtal_BW#'!$A:$Z,24,FALSE)+VLOOKUP($A247,A:AL,34,FALSE)-50))</f>
        <v>313</v>
      </c>
      <c r="AJ247" s="3">
        <f>IF(ISERROR(VLOOKUP($A247,'SegEnds_NonXtal_BW#'!$A:$Z,25,FALSE)+VLOOKUP($A247,A:AL,37,FALSE)-50),"-",(VLOOKUP($A247,'SegEnds_NonXtal_BW#'!$A:$Z,25,FALSE)+VLOOKUP($A247,A:AL,37,FALSE)-50))</f>
        <v>314</v>
      </c>
      <c r="AK247" s="3">
        <v>317</v>
      </c>
      <c r="AL247" s="3">
        <f>IF(ISERROR((VLOOKUP($A247,'SegEnds_NonXtal_BW#'!$A:$Z,26,FALSE)+VLOOKUP($A247,A:AL,37,FALSE)-50)),"-",(VLOOKUP($A247,'SegEnds_NonXtal_BW#'!$A:$Z,26,FALSE)+VLOOKUP($A247,A:AL,37,FALSE)-50))</f>
        <v>325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17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393</v>
      </c>
      <c r="B248" s="3" t="str">
        <f>LOWER(VLOOKUP(A248,Xtal_Templ!A:B,2,FALSE))</f>
        <v>5ht1b_human</v>
      </c>
      <c r="C248" s="3">
        <f>VLOOKUP($A248,'SegEnds_NonXtal_BW#'!$A:$Z,3,FALSE)+D248-50</f>
        <v>28</v>
      </c>
      <c r="D248" s="3">
        <v>50</v>
      </c>
      <c r="E248" s="3">
        <f>IF(ISERROR(VLOOKUP($A248,'SegEnds_NonXtal_BW#'!$A:$Z,4,FALSE)+VLOOKUP($A248,A:AL,4,FALSE)-50),"-",(VLOOKUP($A248,'SegEnds_NonXtal_BW#'!$A:$Z,4,FALSE)+VLOOKUP($A248,A:AL,4,FALSE)-50))</f>
        <v>60</v>
      </c>
      <c r="F248" s="3">
        <f t="shared" si="167"/>
        <v>61</v>
      </c>
      <c r="G248" s="3">
        <v>63</v>
      </c>
      <c r="H248" s="3">
        <f t="shared" si="168"/>
        <v>64</v>
      </c>
      <c r="I248" s="3">
        <f t="shared" si="168"/>
        <v>65</v>
      </c>
      <c r="J248" s="3">
        <v>78</v>
      </c>
      <c r="K248" s="3">
        <f>VLOOKUP($A248,'SegEnds_NonXtal_BW#'!$A:$Z,8,FALSE)+VLOOKUP($A248,A:AL,10,FALSE)-50</f>
        <v>96</v>
      </c>
      <c r="L248" s="3">
        <f t="shared" si="142"/>
        <v>97</v>
      </c>
      <c r="M248" s="3">
        <v>98</v>
      </c>
      <c r="N248" s="3">
        <f t="shared" si="143"/>
        <v>100</v>
      </c>
      <c r="O248" s="3">
        <f t="shared" si="139"/>
        <v>101</v>
      </c>
      <c r="P248" s="3">
        <v>130</v>
      </c>
      <c r="Q248" s="3">
        <f>VLOOKUP($A248,'SegEnds_NonXtal_BW#'!$A:$Z,12,FALSE)+VLOOKUP($A248,A:AL,16,FALSE)-50</f>
        <v>136</v>
      </c>
      <c r="R248" s="3">
        <f>IF(ISERROR(VLOOKUP($A248,'SegEnds_NonXtal_BW#'!$A:$Z,13,FALSE)+VLOOKUP($A248,A:AL,19,FALSE)-50),"-",VLOOKUP($A248,'SegEnds_NonXtal_BW#'!$A:$Z,13,FALSE)+VLOOKUP($A248,A:AL,19,FALSE)-50)</f>
        <v>137</v>
      </c>
      <c r="S248" s="3">
        <v>137</v>
      </c>
      <c r="T248" s="100">
        <f>IF(ISERROR(VLOOKUP($A248,'SegEnds_NonXtal_BW#'!$A:$Z,14,FALSE)+VLOOKUP($A248,A:AL,19,FALSE)-50),"-",(VLOOKUP($A248,'SegEnds_NonXtal_BW#'!$A:$Z,14,FALSE)+VLOOKUP($A248,A:AL,19,FALSE)-50))</f>
        <v>144</v>
      </c>
      <c r="U248" s="9">
        <f>IF(ISERROR(VLOOKUP($A248,'SegEnds_NonXtal_BW#'!$A:$Z,15,FALSE)+VLOOKUP($A248,A:AL,22,FALSE)-50),"-",VLOOKUP($A248,'SegEnds_NonXtal_BW#'!$A:$Z,15,FALSE)+VLOOKUP($A248,A:AL,22,FALSE)-50)</f>
        <v>145</v>
      </c>
      <c r="V248" s="3">
        <v>157</v>
      </c>
      <c r="W248" s="3">
        <f>IF(ISERROR(VLOOKUP($A248,'SegEnds_NonXtal_BW#'!$A:$Z,16,FALSE)+VLOOKUP($A248,A:AL,22,FALSE)-50),"-",(VLOOKUP($A248,'SegEnds_NonXtal_BW#'!$A:$Z,16,FALSE)+VLOOKUP($A248,A:AL,22,FALSE)-50))</f>
        <v>170</v>
      </c>
      <c r="X248" s="3">
        <f>IF(ISERROR(VLOOKUP($A248,'SegEnds_NonXtal_BW#'!$A:$Z,17,FALSE)+VLOOKUP($A248,A:AL,25,FALSE)-50),"-",(VLOOKUP($A248,'SegEnds_NonXtal_BW#'!$A:$Z,17,FALSE)+VLOOKUP($A248,A:AL,25,FALSE)-50))</f>
        <v>190</v>
      </c>
      <c r="Y248" s="3">
        <v>190</v>
      </c>
      <c r="Z248" s="3">
        <f t="shared" si="144"/>
        <v>192</v>
      </c>
      <c r="AA248" s="3">
        <f>IF(ISERROR(VLOOKUP($A248,'SegEnds_NonXtal_BW#'!$A:$Z,19,FALSE)+VLOOKUP($A248,A:AL,28,FALSE)-50),"-",(VLOOKUP($A248,'SegEnds_NonXtal_BW#'!$A:$Z,19,FALSE)+VLOOKUP($A248,A:AL,28,FALSE)-50))</f>
        <v>194</v>
      </c>
      <c r="AB248" s="3">
        <v>209</v>
      </c>
      <c r="AC248" s="3">
        <f>IF(ISERROR((VLOOKUP($A248,'SegEnds_NonXtal_BW#'!$A:$Z,20,FALSE)+VLOOKUP($A248,A:AL,28,FALSE)-50)),"-",(VLOOKUP($A248,'SegEnds_NonXtal_BW#'!$A:$Z,20,FALSE)+VLOOKUP($A248,A:AL,28,FALSE)-50))</f>
        <v>233</v>
      </c>
      <c r="AD248" s="3">
        <f>IF(ISERROR(VLOOKUP($A248,'SegEnds_NonXtal_BW#'!$A:$Z,21,FALSE)+VLOOKUP($A248,A:AL,31,FALSE)-50),"-",(VLOOKUP($A248,'SegEnds_NonXtal_BW#'!$A:$Z,21,FALSE)+VLOOKUP($A248,A:AL,31,FALSE)-50))</f>
        <v>244</v>
      </c>
      <c r="AE248" s="3">
        <v>273</v>
      </c>
      <c r="AF248" s="3">
        <f>IF(ISERROR((VLOOKUP($A248,'SegEnds_NonXtal_BW#'!$A:$Z,22,FALSE)+VLOOKUP($A248,A:AL,31,FALSE)-50)),"-",(VLOOKUP($A248,'SegEnds_NonXtal_BW#'!$A:$Z,22,FALSE)+VLOOKUP($A248,A:AL,31,FALSE)-50))</f>
        <v>284</v>
      </c>
      <c r="AG248" s="3">
        <f>IF(ISERROR(VLOOKUP($A248,'SegEnds_NonXtal_BW#'!$A:$Z,23,FALSE)+VLOOKUP($A248,A:AL,34,FALSE)-50),"-",(VLOOKUP($A248,'SegEnds_NonXtal_BW#'!$A:$Z,23,FALSE)+VLOOKUP($A248,A:AL,34,FALSE)-50))</f>
        <v>289</v>
      </c>
      <c r="AH248" s="3">
        <v>308</v>
      </c>
      <c r="AI248" s="3">
        <f>IF(ISERROR((VLOOKUP($A248,'SegEnds_NonXtal_BW#'!$A:$Z,24,FALSE)+VLOOKUP($A248,A:AL,34,FALSE)-50)),"-",(VLOOKUP($A248,'SegEnds_NonXtal_BW#'!$A:$Z,24,FALSE)+VLOOKUP($A248,A:AL,34,FALSE)-50))</f>
        <v>314</v>
      </c>
      <c r="AJ248" s="3">
        <f>IF(ISERROR(VLOOKUP($A248,'SegEnds_NonXtal_BW#'!$A:$Z,25,FALSE)+VLOOKUP($A248,A:AL,37,FALSE)-50),"-",(VLOOKUP($A248,'SegEnds_NonXtal_BW#'!$A:$Z,25,FALSE)+VLOOKUP($A248,A:AL,37,FALSE)-50))</f>
        <v>315</v>
      </c>
      <c r="AK248" s="3">
        <v>318</v>
      </c>
      <c r="AL248" s="3">
        <f>IF(ISERROR((VLOOKUP($A248,'SegEnds_NonXtal_BW#'!$A:$Z,26,FALSE)+VLOOKUP($A248,A:AL,37,FALSE)-50)),"-",(VLOOKUP($A248,'SegEnds_NonXtal_BW#'!$A:$Z,26,FALSE)+VLOOKUP($A248,A:AL,37,FALSE)-50))</f>
        <v>326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1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20</v>
      </c>
      <c r="AW248" s="3">
        <f t="shared" si="125"/>
        <v>2</v>
      </c>
      <c r="AX248" s="3">
        <f t="shared" si="126"/>
        <v>11</v>
      </c>
      <c r="AY248" s="3">
        <f t="shared" si="127"/>
        <v>5</v>
      </c>
      <c r="AZ248" s="3">
        <f t="shared" si="128"/>
        <v>1</v>
      </c>
      <c r="BA248" s="3">
        <f>IF(ISERROR(LEN(VLOOKUP(A248,Seqs!A:E,2,FALSE))-AL248),"-",LEN(VLOOKUP(A248,Seqs!A:E,2,FALSE))-AL248)</f>
        <v>22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64</v>
      </c>
      <c r="BF248" s="3">
        <f t="shared" si="145"/>
        <v>35</v>
      </c>
    </row>
    <row r="249" spans="1:58" s="3" customFormat="1" x14ac:dyDescent="0.2">
      <c r="A249" s="3" t="s">
        <v>394</v>
      </c>
      <c r="B249" s="3" t="str">
        <f>LOWER(VLOOKUP(A249,Xtal_Templ!A:B,2,FALSE))</f>
        <v>oprx_human</v>
      </c>
      <c r="C249" s="3">
        <f>VLOOKUP($A249,'SegEnds_NonXtal_BW#'!$A:$Z,3,FALSE)+D249-50</f>
        <v>22</v>
      </c>
      <c r="D249" s="3">
        <v>43</v>
      </c>
      <c r="E249" s="3">
        <f>IF(ISERROR(VLOOKUP($A249,'SegEnds_NonXtal_BW#'!$A:$Z,4,FALSE)+VLOOKUP($A249,A:AL,4,FALSE)-50),"-",(VLOOKUP($A249,'SegEnds_NonXtal_BW#'!$A:$Z,4,FALSE)+VLOOKUP($A249,A:AL,4,FALSE)-50))</f>
        <v>53</v>
      </c>
      <c r="F249" s="3">
        <f t="shared" si="167"/>
        <v>54</v>
      </c>
      <c r="G249" s="3">
        <v>56</v>
      </c>
      <c r="H249" s="3">
        <f t="shared" si="168"/>
        <v>57</v>
      </c>
      <c r="I249" s="3">
        <f t="shared" si="168"/>
        <v>58</v>
      </c>
      <c r="J249" s="3">
        <v>71</v>
      </c>
      <c r="K249" s="3">
        <f>VLOOKUP($A249,'SegEnds_NonXtal_BW#'!$A:$Z,8,FALSE)+VLOOKUP($A249,A:AL,10,FALSE)-50</f>
        <v>87</v>
      </c>
      <c r="L249" s="3">
        <f t="shared" si="142"/>
        <v>90</v>
      </c>
      <c r="M249" s="3">
        <v>91</v>
      </c>
      <c r="N249" s="3">
        <f t="shared" si="143"/>
        <v>93</v>
      </c>
      <c r="O249" s="3">
        <f t="shared" si="139"/>
        <v>94</v>
      </c>
      <c r="P249" s="3">
        <v>123</v>
      </c>
      <c r="Q249" s="3">
        <f>VLOOKUP($A249,'SegEnds_NonXtal_BW#'!$A:$Z,12,FALSE)+VLOOKUP($A249,A:AL,16,FALSE)-50</f>
        <v>129</v>
      </c>
      <c r="R249" s="3">
        <f>IF(ISERROR(VLOOKUP($A249,'SegEnds_NonXtal_BW#'!$A:$Z,13,FALSE)+VLOOKUP($A249,A:AL,19,FALSE)-50),"-",VLOOKUP($A249,'SegEnds_NonXtal_BW#'!$A:$Z,13,FALSE)+VLOOKUP($A249,A:AL,19,FALSE)-50)</f>
        <v>130</v>
      </c>
      <c r="S249" s="3">
        <v>130</v>
      </c>
      <c r="T249" s="100">
        <f>IF(ISERROR(VLOOKUP($A249,'SegEnds_NonXtal_BW#'!$A:$Z,14,FALSE)+VLOOKUP($A249,A:AL,19,FALSE)-50),"-",(VLOOKUP($A249,'SegEnds_NonXtal_BW#'!$A:$Z,14,FALSE)+VLOOKUP($A249,A:AL,19,FALSE)-50))</f>
        <v>137</v>
      </c>
      <c r="U249" s="9">
        <f>IF(ISERROR(VLOOKUP($A249,'SegEnds_NonXtal_BW#'!$A:$Z,15,FALSE)+VLOOKUP($A249,A:AL,22,FALSE)-50),"-",VLOOKUP($A249,'SegEnds_NonXtal_BW#'!$A:$Z,15,FALSE)+VLOOKUP($A249,A:AL,22,FALSE)-50)</f>
        <v>138</v>
      </c>
      <c r="V249" s="3">
        <v>150</v>
      </c>
      <c r="W249" s="3">
        <f>IF(ISERROR(VLOOKUP($A249,'SegEnds_NonXtal_BW#'!$A:$Z,16,FALSE)+VLOOKUP($A249,A:AL,22,FALSE)-50),"-",(VLOOKUP($A249,'SegEnds_NonXtal_BW#'!$A:$Z,16,FALSE)+VLOOKUP($A249,A:AL,22,FALSE)-50))</f>
        <v>164</v>
      </c>
      <c r="X249" s="3">
        <f>IF(ISERROR(VLOOKUP($A249,'SegEnds_NonXtal_BW#'!$A:$Z,17,FALSE)+VLOOKUP($A249,A:AL,25,FALSE)-50),"-",(VLOOKUP($A249,'SegEnds_NonXtal_BW#'!$A:$Z,17,FALSE)+VLOOKUP($A249,A:AL,25,FALSE)-50))</f>
        <v>179</v>
      </c>
      <c r="Y249" s="3">
        <v>179</v>
      </c>
      <c r="Z249" s="3">
        <f t="shared" si="144"/>
        <v>181</v>
      </c>
      <c r="AA249" s="3">
        <f>IF(ISERROR(VLOOKUP($A249,'SegEnds_NonXtal_BW#'!$A:$Z,19,FALSE)+VLOOKUP($A249,A:AL,28,FALSE)-50),"-",(VLOOKUP($A249,'SegEnds_NonXtal_BW#'!$A:$Z,19,FALSE)+VLOOKUP($A249,A:AL,28,FALSE)-50))</f>
        <v>184</v>
      </c>
      <c r="AB249" s="3">
        <v>203</v>
      </c>
      <c r="AC249" s="3">
        <f>IF(ISERROR((VLOOKUP($A249,'SegEnds_NonXtal_BW#'!$A:$Z,20,FALSE)+VLOOKUP($A249,A:AL,28,FALSE)-50)),"-",(VLOOKUP($A249,'SegEnds_NonXtal_BW#'!$A:$Z,20,FALSE)+VLOOKUP($A249,A:AL,28,FALSE)-50))</f>
        <v>229</v>
      </c>
      <c r="AD249" s="3">
        <f>IF(ISERROR(VLOOKUP($A249,'SegEnds_NonXtal_BW#'!$A:$Z,21,FALSE)+VLOOKUP($A249,A:AL,31,FALSE)-50),"-",(VLOOKUP($A249,'SegEnds_NonXtal_BW#'!$A:$Z,21,FALSE)+VLOOKUP($A249,A:AL,31,FALSE)-50))</f>
        <v>255</v>
      </c>
      <c r="AE249" s="3">
        <v>281</v>
      </c>
      <c r="AF249" s="3">
        <f>IF(ISERROR((VLOOKUP($A249,'SegEnds_NonXtal_BW#'!$A:$Z,22,FALSE)+VLOOKUP($A249,A:AL,31,FALSE)-50)),"-",(VLOOKUP($A249,'SegEnds_NonXtal_BW#'!$A:$Z,22,FALSE)+VLOOKUP($A249,A:AL,31,FALSE)-50))</f>
        <v>292</v>
      </c>
      <c r="AG249" s="3">
        <f>IF(ISERROR(VLOOKUP($A249,'SegEnds_NonXtal_BW#'!$A:$Z,23,FALSE)+VLOOKUP($A249,A:AL,34,FALSE)-50),"-",(VLOOKUP($A249,'SegEnds_NonXtal_BW#'!$A:$Z,23,FALSE)+VLOOKUP($A249,A:AL,34,FALSE)-50))</f>
        <v>298</v>
      </c>
      <c r="AH249" s="3">
        <v>317</v>
      </c>
      <c r="AI249" s="3">
        <f>IF(ISERROR((VLOOKUP($A249,'SegEnds_NonXtal_BW#'!$A:$Z,24,FALSE)+VLOOKUP($A249,A:AL,34,FALSE)-50)),"-",(VLOOKUP($A249,'SegEnds_NonXtal_BW#'!$A:$Z,24,FALSE)+VLOOKUP($A249,A:AL,34,FALSE)-50))</f>
        <v>323</v>
      </c>
      <c r="AJ249" s="3">
        <f>IF(ISERROR(VLOOKUP($A249,'SegEnds_NonXtal_BW#'!$A:$Z,25,FALSE)+VLOOKUP($A249,A:AL,37,FALSE)-50),"-",(VLOOKUP($A249,'SegEnds_NonXtal_BW#'!$A:$Z,25,FALSE)+VLOOKUP($A249,A:AL,37,FALSE)-50))</f>
        <v>324</v>
      </c>
      <c r="AK249" s="3">
        <v>327</v>
      </c>
      <c r="AL249" s="3">
        <f>IF(ISERROR((VLOOKUP($A249,'SegEnds_NonXtal_BW#'!$A:$Z,26,FALSE)+VLOOKUP($A249,A:AL,37,FALSE)-50)),"-",(VLOOKUP($A249,'SegEnds_NonXtal_BW#'!$A:$Z,26,FALSE)+VLOOKUP($A249,A:AL,37,FALSE)-50))</f>
        <v>336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1</v>
      </c>
      <c r="AQ249" s="3">
        <f t="shared" si="119"/>
        <v>1</v>
      </c>
      <c r="AR249" s="3">
        <f t="shared" si="120"/>
        <v>3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15</v>
      </c>
      <c r="AW249" s="3">
        <f t="shared" si="125"/>
        <v>3</v>
      </c>
      <c r="AX249" s="3">
        <f t="shared" si="126"/>
        <v>26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62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78</v>
      </c>
    </row>
    <row r="250" spans="1:58" s="3" customFormat="1" x14ac:dyDescent="0.2">
      <c r="A250" s="3" t="s">
        <v>395</v>
      </c>
      <c r="B250" s="3" t="str">
        <f>LOWER(VLOOKUP(A250,Xtal_Templ!A:B,2,FALSE))</f>
        <v>aa2ar_human</v>
      </c>
      <c r="C250" s="3">
        <f>VLOOKUP($A250,'SegEnds_NonXtal_BW#'!$A:$Z,3,FALSE)+D250-50</f>
        <v>409</v>
      </c>
      <c r="D250" s="3">
        <v>432</v>
      </c>
      <c r="E250" s="3">
        <f>IF(ISERROR(VLOOKUP($A250,'SegEnds_NonXtal_BW#'!$A:$Z,4,FALSE)+VLOOKUP($A250,A:AL,4,FALSE)-50),"-",(VLOOKUP($A250,'SegEnds_NonXtal_BW#'!$A:$Z,4,FALSE)+VLOOKUP($A250,A:AL,4,FALSE)-50))</f>
        <v>442</v>
      </c>
      <c r="F250" s="3">
        <f t="shared" si="167"/>
        <v>444</v>
      </c>
      <c r="G250" s="3">
        <v>446</v>
      </c>
      <c r="H250" s="3">
        <f t="shared" si="168"/>
        <v>447</v>
      </c>
      <c r="I250" s="3">
        <f t="shared" si="168"/>
        <v>448</v>
      </c>
      <c r="J250" s="3">
        <v>460</v>
      </c>
      <c r="K250" s="3">
        <f>VLOOKUP($A250,'SegEnds_NonXtal_BW#'!$A:$Z,8,FALSE)+VLOOKUP($A250,A:AL,10,FALSE)-50</f>
        <v>477</v>
      </c>
      <c r="L250" s="3">
        <f t="shared" si="142"/>
        <v>487</v>
      </c>
      <c r="M250" s="3">
        <v>488</v>
      </c>
      <c r="N250" s="3">
        <f t="shared" si="143"/>
        <v>490</v>
      </c>
      <c r="O250" s="3">
        <f t="shared" si="139"/>
        <v>491</v>
      </c>
      <c r="P250" s="3">
        <v>519</v>
      </c>
      <c r="Q250" s="3">
        <f>VLOOKUP($A250,'SegEnds_NonXtal_BW#'!$A:$Z,12,FALSE)+VLOOKUP($A250,A:AL,16,FALSE)-50</f>
        <v>525</v>
      </c>
      <c r="R250" s="3">
        <f>IF(ISERROR(VLOOKUP($A250,'SegEnds_NonXtal_BW#'!$A:$Z,13,FALSE)+VLOOKUP($A250,A:AL,19,FALSE)-50),"-",VLOOKUP($A250,'SegEnds_NonXtal_BW#'!$A:$Z,13,FALSE)+VLOOKUP($A250,A:AL,19,FALSE)-50)</f>
        <v>526</v>
      </c>
      <c r="S250" s="3">
        <v>526</v>
      </c>
      <c r="T250" s="100">
        <f>IF(ISERROR(VLOOKUP($A250,'SegEnds_NonXtal_BW#'!$A:$Z,14,FALSE)+VLOOKUP($A250,A:AL,19,FALSE)-50),"-",(VLOOKUP($A250,'SegEnds_NonXtal_BW#'!$A:$Z,14,FALSE)+VLOOKUP($A250,A:AL,19,FALSE)-50))</f>
        <v>533</v>
      </c>
      <c r="U250" s="9">
        <f>IF(ISERROR(VLOOKUP($A250,'SegEnds_NonXtal_BW#'!$A:$Z,15,FALSE)+VLOOKUP($A250,A:AL,22,FALSE)-50),"-",VLOOKUP($A250,'SegEnds_NonXtal_BW#'!$A:$Z,15,FALSE)+VLOOKUP($A250,A:AL,22,FALSE)-50)</f>
        <v>534</v>
      </c>
      <c r="V250" s="3">
        <v>546</v>
      </c>
      <c r="W250" s="3">
        <f>IF(ISERROR(VLOOKUP($A250,'SegEnds_NonXtal_BW#'!$A:$Z,16,FALSE)+VLOOKUP($A250,A:AL,22,FALSE)-50),"-",(VLOOKUP($A250,'SegEnds_NonXtal_BW#'!$A:$Z,16,FALSE)+VLOOKUP($A250,A:AL,22,FALSE)-50))</f>
        <v>559</v>
      </c>
      <c r="X250" s="3">
        <f>IF(ISERROR(VLOOKUP($A250,'SegEnds_NonXtal_BW#'!$A:$Z,17,FALSE)+VLOOKUP($A250,A:AL,25,FALSE)-50),"-",(VLOOKUP($A250,'SegEnds_NonXtal_BW#'!$A:$Z,17,FALSE)+VLOOKUP($A250,A:AL,25,FALSE)-50))</f>
        <v>569</v>
      </c>
      <c r="Y250" s="3">
        <v>569</v>
      </c>
      <c r="Z250" s="3">
        <f t="shared" si="144"/>
        <v>571</v>
      </c>
      <c r="AA250" s="3">
        <f>IF(ISERROR(VLOOKUP($A250,'SegEnds_NonXtal_BW#'!$A:$Z,19,FALSE)+VLOOKUP($A250,A:AL,28,FALSE)-50),"-",(VLOOKUP($A250,'SegEnds_NonXtal_BW#'!$A:$Z,19,FALSE)+VLOOKUP($A250,A:AL,28,FALSE)-50))</f>
        <v>577</v>
      </c>
      <c r="AB250" s="3">
        <v>593</v>
      </c>
      <c r="AC250" s="3">
        <f>IF(ISERROR((VLOOKUP($A250,'SegEnds_NonXtal_BW#'!$A:$Z,20,FALSE)+VLOOKUP($A250,A:AL,28,FALSE)-50)),"-",(VLOOKUP($A250,'SegEnds_NonXtal_BW#'!$A:$Z,20,FALSE)+VLOOKUP($A250,A:AL,28,FALSE)-50))</f>
        <v>610</v>
      </c>
      <c r="AD250" s="3">
        <f>IF(ISERROR(VLOOKUP($A250,'SegEnds_NonXtal_BW#'!$A:$Z,21,FALSE)+VLOOKUP($A250,A:AL,31,FALSE)-50),"-",(VLOOKUP($A250,'SegEnds_NonXtal_BW#'!$A:$Z,21,FALSE)+VLOOKUP($A250,A:AL,31,FALSE)-50))</f>
        <v>615</v>
      </c>
      <c r="AE250" s="3">
        <v>639</v>
      </c>
      <c r="AF250" s="3">
        <f>IF(ISERROR((VLOOKUP($A250,'SegEnds_NonXtal_BW#'!$A:$Z,22,FALSE)+VLOOKUP($A250,A:AL,31,FALSE)-50)),"-",(VLOOKUP($A250,'SegEnds_NonXtal_BW#'!$A:$Z,22,FALSE)+VLOOKUP($A250,A:AL,31,FALSE)-50))</f>
        <v>650</v>
      </c>
      <c r="AG250" s="3">
        <f>IF(ISERROR(VLOOKUP($A250,'SegEnds_NonXtal_BW#'!$A:$Z,23,FALSE)+VLOOKUP($A250,A:AL,34,FALSE)-50),"-",(VLOOKUP($A250,'SegEnds_NonXtal_BW#'!$A:$Z,23,FALSE)+VLOOKUP($A250,A:AL,34,FALSE)-50))</f>
        <v>656</v>
      </c>
      <c r="AH250" s="3">
        <v>675</v>
      </c>
      <c r="AI250" s="3">
        <f>IF(ISERROR((VLOOKUP($A250,'SegEnds_NonXtal_BW#'!$A:$Z,24,FALSE)+VLOOKUP($A250,A:AL,34,FALSE)-50)),"-",(VLOOKUP($A250,'SegEnds_NonXtal_BW#'!$A:$Z,24,FALSE)+VLOOKUP($A250,A:AL,34,FALSE)-50))</f>
        <v>681</v>
      </c>
      <c r="AJ250" s="3">
        <f>IF(ISERROR(VLOOKUP($A250,'SegEnds_NonXtal_BW#'!$A:$Z,25,FALSE)+VLOOKUP($A250,A:AL,37,FALSE)-50),"-",(VLOOKUP($A250,'SegEnds_NonXtal_BW#'!$A:$Z,25,FALSE)+VLOOKUP($A250,A:AL,37,FALSE)-50))</f>
        <v>682</v>
      </c>
      <c r="AK250" s="3">
        <v>685</v>
      </c>
      <c r="AL250" s="3">
        <f>IF(ISERROR((VLOOKUP($A250,'SegEnds_NonXtal_BW#'!$A:$Z,26,FALSE)+VLOOKUP($A250,A:AL,37,FALSE)-50)),"-",(VLOOKUP($A250,'SegEnds_NonXtal_BW#'!$A:$Z,26,FALSE)+VLOOKUP($A250,A:AL,37,FALSE)-50))</f>
        <v>704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10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10</v>
      </c>
      <c r="AW250" s="3">
        <f t="shared" si="125"/>
        <v>6</v>
      </c>
      <c r="AX250" s="3">
        <f t="shared" si="126"/>
        <v>5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60</v>
      </c>
      <c r="BB250" s="16">
        <f t="shared" si="129"/>
        <v>28</v>
      </c>
      <c r="BC250" s="9">
        <f t="shared" si="130"/>
        <v>20</v>
      </c>
      <c r="BD250" s="3">
        <f t="shared" si="131"/>
        <v>28</v>
      </c>
      <c r="BE250" s="3">
        <f t="shared" si="132"/>
        <v>46</v>
      </c>
    </row>
    <row r="251" spans="1:58" s="3" customFormat="1" x14ac:dyDescent="0.2">
      <c r="A251" s="3" t="s">
        <v>399</v>
      </c>
      <c r="B251" s="3" t="str">
        <f>LOWER(VLOOKUP(A251,Xtal_Templ!A:B,2,FALSE))</f>
        <v>ntr1_rat</v>
      </c>
      <c r="C251" s="3">
        <f>VLOOKUP($A251,'SegEnds_NonXtal_BW#'!$A:$Z,3,FALSE)+D251-50</f>
        <v>34</v>
      </c>
      <c r="D251" s="3">
        <v>55</v>
      </c>
      <c r="E251" s="3">
        <f>IF(ISERROR(VLOOKUP($A251,'SegEnds_NonXtal_BW#'!$A:$Z,4,FALSE)+VLOOKUP($A251,A:AL,4,FALSE)-50),"-",(VLOOKUP($A251,'SegEnds_NonXtal_BW#'!$A:$Z,4,FALSE)+VLOOKUP($A251,A:AL,4,FALSE)-50))</f>
        <v>65</v>
      </c>
      <c r="F251" s="3">
        <f t="shared" si="167"/>
        <v>67</v>
      </c>
      <c r="G251" s="3">
        <v>69</v>
      </c>
      <c r="H251" s="3">
        <f t="shared" si="168"/>
        <v>70</v>
      </c>
      <c r="I251" s="3">
        <f t="shared" si="168"/>
        <v>71</v>
      </c>
      <c r="J251" s="3">
        <v>85</v>
      </c>
      <c r="K251" s="3">
        <f>VLOOKUP($A251,'SegEnds_NonXtal_BW#'!$A:$Z,8,FALSE)+VLOOKUP($A251,A:AL,10,FALSE)-50</f>
        <v>101</v>
      </c>
      <c r="L251" s="3">
        <f t="shared" si="142"/>
        <v>102</v>
      </c>
      <c r="M251" s="3">
        <v>103</v>
      </c>
      <c r="N251" s="3">
        <f t="shared" si="143"/>
        <v>105</v>
      </c>
      <c r="O251" s="3">
        <f t="shared" si="139"/>
        <v>106</v>
      </c>
      <c r="P251" s="3">
        <v>137</v>
      </c>
      <c r="Q251" s="3">
        <f>VLOOKUP($A251,'SegEnds_NonXtal_BW#'!$A:$Z,12,FALSE)+VLOOKUP($A251,A:AL,16,FALSE)-50</f>
        <v>143</v>
      </c>
      <c r="R251" s="3">
        <f>IF(ISERROR(VLOOKUP($A251,'SegEnds_NonXtal_BW#'!$A:$Z,13,FALSE)+VLOOKUP($A251,A:AL,19,FALSE)-50),"-",VLOOKUP($A251,'SegEnds_NonXtal_BW#'!$A:$Z,13,FALSE)+VLOOKUP($A251,A:AL,19,FALSE)-50)</f>
        <v>144</v>
      </c>
      <c r="S251" s="3">
        <v>144</v>
      </c>
      <c r="T251" s="100">
        <f>IF(ISERROR(VLOOKUP($A251,'SegEnds_NonXtal_BW#'!$A:$Z,14,FALSE)+VLOOKUP($A251,A:AL,19,FALSE)-50),"-",(VLOOKUP($A251,'SegEnds_NonXtal_BW#'!$A:$Z,14,FALSE)+VLOOKUP($A251,A:AL,19,FALSE)-50))</f>
        <v>151</v>
      </c>
      <c r="U251" s="9">
        <f>IF(ISERROR(VLOOKUP($A251,'SegEnds_NonXtal_BW#'!$A:$Z,15,FALSE)+VLOOKUP($A251,A:AL,22,FALSE)-50),"-",VLOOKUP($A251,'SegEnds_NonXtal_BW#'!$A:$Z,15,FALSE)+VLOOKUP($A251,A:AL,22,FALSE)-50)</f>
        <v>152</v>
      </c>
      <c r="V251" s="3">
        <v>164</v>
      </c>
      <c r="W251" s="3">
        <f>IF(ISERROR(VLOOKUP($A251,'SegEnds_NonXtal_BW#'!$A:$Z,16,FALSE)+VLOOKUP($A251,A:AL,22,FALSE)-50),"-",(VLOOKUP($A251,'SegEnds_NonXtal_BW#'!$A:$Z,16,FALSE)+VLOOKUP($A251,A:AL,22,FALSE)-50))</f>
        <v>178</v>
      </c>
      <c r="X251" s="3">
        <f>IF(ISERROR(VLOOKUP($A251,'SegEnds_NonXtal_BW#'!$A:$Z,17,FALSE)+VLOOKUP($A251,A:AL,25,FALSE)-50),"-",(VLOOKUP($A251,'SegEnds_NonXtal_BW#'!$A:$Z,17,FALSE)+VLOOKUP($A251,A:AL,25,FALSE)-50))</f>
        <v>192</v>
      </c>
      <c r="Y251" s="3">
        <v>192</v>
      </c>
      <c r="Z251" s="3">
        <f t="shared" si="144"/>
        <v>194</v>
      </c>
      <c r="AA251" s="3">
        <f>IF(ISERROR(VLOOKUP($A251,'SegEnds_NonXtal_BW#'!$A:$Z,19,FALSE)+VLOOKUP($A251,A:AL,28,FALSE)-50),"-",(VLOOKUP($A251,'SegEnds_NonXtal_BW#'!$A:$Z,19,FALSE)+VLOOKUP($A251,A:AL,28,FALSE)-50))</f>
        <v>199</v>
      </c>
      <c r="AB251" s="3">
        <v>217</v>
      </c>
      <c r="AC251" s="3">
        <f>IF(ISERROR((VLOOKUP($A251,'SegEnds_NonXtal_BW#'!$A:$Z,20,FALSE)+VLOOKUP($A251,A:AL,28,FALSE)-50)),"-",(VLOOKUP($A251,'SegEnds_NonXtal_BW#'!$A:$Z,20,FALSE)+VLOOKUP($A251,A:AL,28,FALSE)-50))</f>
        <v>243</v>
      </c>
      <c r="AD251" s="3">
        <f>IF(ISERROR(VLOOKUP($A251,'SegEnds_NonXtal_BW#'!$A:$Z,21,FALSE)+VLOOKUP($A251,A:AL,31,FALSE)-50),"-",(VLOOKUP($A251,'SegEnds_NonXtal_BW#'!$A:$Z,21,FALSE)+VLOOKUP($A251,A:AL,31,FALSE)-50))</f>
        <v>260</v>
      </c>
      <c r="AE251" s="3">
        <v>286</v>
      </c>
      <c r="AF251" s="3">
        <f>IF(ISERROR((VLOOKUP($A251,'SegEnds_NonXtal_BW#'!$A:$Z,22,FALSE)+VLOOKUP($A251,A:AL,31,FALSE)-50)),"-",(VLOOKUP($A251,'SegEnds_NonXtal_BW#'!$A:$Z,22,FALSE)+VLOOKUP($A251,A:AL,31,FALSE)-50))</f>
        <v>297</v>
      </c>
      <c r="AG251" s="3">
        <f>IF(ISERROR(VLOOKUP($A251,'SegEnds_NonXtal_BW#'!$A:$Z,23,FALSE)+VLOOKUP($A251,A:AL,34,FALSE)-50),"-",(VLOOKUP($A251,'SegEnds_NonXtal_BW#'!$A:$Z,23,FALSE)+VLOOKUP($A251,A:AL,34,FALSE)-50))</f>
        <v>303</v>
      </c>
      <c r="AH251" s="3">
        <v>322</v>
      </c>
      <c r="AI251" s="3">
        <f>IF(ISERROR((VLOOKUP($A251,'SegEnds_NonXtal_BW#'!$A:$Z,24,FALSE)+VLOOKUP($A251,A:AL,34,FALSE)-50)),"-",(VLOOKUP($A251,'SegEnds_NonXtal_BW#'!$A:$Z,24,FALSE)+VLOOKUP($A251,A:AL,34,FALSE)-50))</f>
        <v>328</v>
      </c>
      <c r="AJ251" s="3">
        <f>IF(ISERROR(VLOOKUP($A251,'SegEnds_NonXtal_BW#'!$A:$Z,25,FALSE)+VLOOKUP($A251,A:AL,37,FALSE)-50),"-",(VLOOKUP($A251,'SegEnds_NonXtal_BW#'!$A:$Z,25,FALSE)+VLOOKUP($A251,A:AL,37,FALSE)-50))</f>
        <v>329</v>
      </c>
      <c r="AK251" s="3">
        <v>332</v>
      </c>
      <c r="AL251" s="3">
        <f>IF(ISERROR((VLOOKUP($A251,'SegEnds_NonXtal_BW#'!$A:$Z,26,FALSE)+VLOOKUP($A251,A:AL,37,FALSE)-50)),"-",(VLOOKUP($A251,'SegEnds_NonXtal_BW#'!$A:$Z,26,FALSE)+VLOOKUP($A251,A:AL,37,FALSE)-50))</f>
        <v>344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2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14</v>
      </c>
      <c r="AW251" s="3">
        <f t="shared" si="125"/>
        <v>5</v>
      </c>
      <c r="AX251" s="3">
        <f t="shared" si="126"/>
        <v>17</v>
      </c>
      <c r="AY251" s="3">
        <f t="shared" si="127"/>
        <v>6</v>
      </c>
      <c r="AZ251" s="3">
        <f t="shared" si="128"/>
        <v>1</v>
      </c>
      <c r="BA251" s="3">
        <f>IF(ISERROR(LEN(VLOOKUP(A251,Seqs!A:E,2,FALSE))-AL251),"-",LEN(VLOOKUP(A251,Seqs!A:E,2,FALSE))-AL251)</f>
        <v>27</v>
      </c>
      <c r="BB251" s="16">
        <f t="shared" si="129"/>
        <v>30</v>
      </c>
      <c r="BC251" s="9">
        <f t="shared" si="130"/>
        <v>20</v>
      </c>
      <c r="BD251" s="3">
        <f t="shared" si="131"/>
        <v>30</v>
      </c>
      <c r="BE251" s="3">
        <f t="shared" si="132"/>
        <v>69</v>
      </c>
    </row>
    <row r="252" spans="1:58" s="3" customFormat="1" x14ac:dyDescent="0.2">
      <c r="A252" s="3" t="s">
        <v>400</v>
      </c>
      <c r="B252" s="3" t="str">
        <f>LOWER(VLOOKUP(A252,Xtal_Templ!A:B,2,FALSE))</f>
        <v>ccr5_human</v>
      </c>
      <c r="C252" s="3">
        <f>VLOOKUP($A252,'SegEnds_NonXtal_BW#'!$A:$Z,3,FALSE)+D252-50</f>
        <v>23</v>
      </c>
      <c r="D252" s="3">
        <v>49</v>
      </c>
      <c r="E252" s="3">
        <f>IF(ISERROR(VLOOKUP($A252,'SegEnds_NonXtal_BW#'!$A:$Z,4,FALSE)+VLOOKUP($A252,A:AL,4,FALSE)-50),"-",(VLOOKUP($A252,'SegEnds_NonXtal_BW#'!$A:$Z,4,FALSE)+VLOOKUP($A252,A:AL,4,FALSE)-50))</f>
        <v>59</v>
      </c>
      <c r="F252" s="3">
        <f t="shared" si="167"/>
        <v>60</v>
      </c>
      <c r="G252" s="3">
        <v>62</v>
      </c>
      <c r="H252" s="3">
        <f t="shared" si="168"/>
        <v>63</v>
      </c>
      <c r="I252" s="3">
        <f t="shared" si="168"/>
        <v>64</v>
      </c>
      <c r="J252" s="3">
        <v>77</v>
      </c>
      <c r="K252" s="3">
        <f>VLOOKUP($A252,'SegEnds_NonXtal_BW#'!$A:$Z,8,FALSE)+VLOOKUP($A252,A:AL,10,FALSE)-50</f>
        <v>93</v>
      </c>
      <c r="L252" s="3">
        <f t="shared" si="142"/>
        <v>94</v>
      </c>
      <c r="M252" s="3">
        <v>95</v>
      </c>
      <c r="N252" s="3">
        <f t="shared" si="143"/>
        <v>97</v>
      </c>
      <c r="O252" s="3">
        <f t="shared" si="139"/>
        <v>98</v>
      </c>
      <c r="P252" s="3">
        <v>127</v>
      </c>
      <c r="Q252" s="3">
        <f>VLOOKUP($A252,'SegEnds_NonXtal_BW#'!$A:$Z,12,FALSE)+VLOOKUP($A252,A:AL,16,FALSE)-50</f>
        <v>133</v>
      </c>
      <c r="R252" s="3">
        <f>IF(ISERROR(VLOOKUP($A252,'SegEnds_NonXtal_BW#'!$A:$Z,13,FALSE)+VLOOKUP($A252,A:AL,19,FALSE)-50),"-",VLOOKUP($A252,'SegEnds_NonXtal_BW#'!$A:$Z,13,FALSE)+VLOOKUP($A252,A:AL,19,FALSE)-50)</f>
        <v>134</v>
      </c>
      <c r="S252" s="3">
        <v>134</v>
      </c>
      <c r="T252" s="100">
        <f>IF(ISERROR(VLOOKUP($A252,'SegEnds_NonXtal_BW#'!$A:$Z,14,FALSE)+VLOOKUP($A252,A:AL,19,FALSE)-50),"-",(VLOOKUP($A252,'SegEnds_NonXtal_BW#'!$A:$Z,14,FALSE)+VLOOKUP($A252,A:AL,19,FALSE)-50))</f>
        <v>141</v>
      </c>
      <c r="U252" s="9">
        <f>IF(ISERROR(VLOOKUP($A252,'SegEnds_NonXtal_BW#'!$A:$Z,15,FALSE)+VLOOKUP($A252,A:AL,22,FALSE)-50),"-",VLOOKUP($A252,'SegEnds_NonXtal_BW#'!$A:$Z,15,FALSE)+VLOOKUP($A252,A:AL,22,FALSE)-50)</f>
        <v>142</v>
      </c>
      <c r="V252" s="3">
        <v>154</v>
      </c>
      <c r="W252" s="3">
        <f>IF(ISERROR(VLOOKUP($A252,'SegEnds_NonXtal_BW#'!$A:$Z,16,FALSE)+VLOOKUP($A252,A:AL,22,FALSE)-50),"-",(VLOOKUP($A252,'SegEnds_NonXtal_BW#'!$A:$Z,16,FALSE)+VLOOKUP($A252,A:AL,22,FALSE)-50))</f>
        <v>168</v>
      </c>
      <c r="X252" s="3">
        <f>IF(ISERROR(VLOOKUP($A252,'SegEnds_NonXtal_BW#'!$A:$Z,17,FALSE)+VLOOKUP($A252,A:AL,25,FALSE)-50),"-",(VLOOKUP($A252,'SegEnds_NonXtal_BW#'!$A:$Z,17,FALSE)+VLOOKUP($A252,A:AL,25,FALSE)-50))</f>
        <v>175</v>
      </c>
      <c r="Y252" s="3">
        <v>175</v>
      </c>
      <c r="Z252" s="3">
        <f t="shared" si="144"/>
        <v>177</v>
      </c>
      <c r="AA252" s="3">
        <f>IF(ISERROR(VLOOKUP($A252,'SegEnds_NonXtal_BW#'!$A:$Z,19,FALSE)+VLOOKUP($A252,A:AL,28,FALSE)-50),"-",(VLOOKUP($A252,'SegEnds_NonXtal_BW#'!$A:$Z,19,FALSE)+VLOOKUP($A252,A:AL,28,FALSE)-50))</f>
        <v>182</v>
      </c>
      <c r="AB252" s="3">
        <v>197</v>
      </c>
      <c r="AC252" s="3">
        <f>IF(ISERROR((VLOOKUP($A252,'SegEnds_NonXtal_BW#'!$A:$Z,20,FALSE)+VLOOKUP($A252,A:AL,28,FALSE)-50)),"-",(VLOOKUP($A252,'SegEnds_NonXtal_BW#'!$A:$Z,20,FALSE)+VLOOKUP($A252,A:AL,28,FALSE)-50))</f>
        <v>215</v>
      </c>
      <c r="AD252" s="3">
        <f>IF(ISERROR(VLOOKUP($A252,'SegEnds_NonXtal_BW#'!$A:$Z,21,FALSE)+VLOOKUP($A252,A:AL,31,FALSE)-50),"-",(VLOOKUP($A252,'SegEnds_NonXtal_BW#'!$A:$Z,21,FALSE)+VLOOKUP($A252,A:AL,31,FALSE)-50))</f>
        <v>220</v>
      </c>
      <c r="AE252" s="3">
        <v>240</v>
      </c>
      <c r="AF252" s="3">
        <f>IF(ISERROR((VLOOKUP($A252,'SegEnds_NonXtal_BW#'!$A:$Z,22,FALSE)+VLOOKUP($A252,A:AL,31,FALSE)-50)),"-",(VLOOKUP($A252,'SegEnds_NonXtal_BW#'!$A:$Z,22,FALSE)+VLOOKUP($A252,A:AL,31,FALSE)-50))</f>
        <v>254</v>
      </c>
      <c r="AG252" s="3">
        <f>IF(ISERROR(VLOOKUP($A252,'SegEnds_NonXtal_BW#'!$A:$Z,23,FALSE)+VLOOKUP($A252,A:AL,34,FALSE)-50),"-",(VLOOKUP($A252,'SegEnds_NonXtal_BW#'!$A:$Z,23,FALSE)+VLOOKUP($A252,A:AL,34,FALSE)-50))</f>
        <v>258</v>
      </c>
      <c r="AH252" s="3">
        <v>284</v>
      </c>
      <c r="AI252" s="3">
        <f>IF(ISERROR((VLOOKUP($A252,'SegEnds_NonXtal_BW#'!$A:$Z,24,FALSE)+VLOOKUP($A252,A:AL,34,FALSE)-50)),"-",(VLOOKUP($A252,'SegEnds_NonXtal_BW#'!$A:$Z,24,FALSE)+VLOOKUP($A252,A:AL,34,FALSE)-50))</f>
        <v>290</v>
      </c>
      <c r="AJ252" s="3">
        <f>IF(ISERROR(VLOOKUP($A252,'SegEnds_NonXtal_BW#'!$A:$Z,25,FALSE)+VLOOKUP($A252,A:AL,37,FALSE)-50),"-",(VLOOKUP($A252,'SegEnds_NonXtal_BW#'!$A:$Z,25,FALSE)+VLOOKUP($A252,A:AL,37,FALSE)-50))</f>
        <v>291</v>
      </c>
      <c r="AK252" s="3">
        <v>294</v>
      </c>
      <c r="AL252" s="3">
        <f>IF(ISERROR((VLOOKUP($A252,'SegEnds_NonXtal_BW#'!$A:$Z,26,FALSE)+VLOOKUP($A252,A:AL,37,FALSE)-50)),"-",(VLOOKUP($A252,'SegEnds_NonXtal_BW#'!$A:$Z,26,FALSE)+VLOOKUP($A252,A:AL,37,FALSE)-50))</f>
        <v>303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>
        <f t="shared" si="120"/>
        <v>1</v>
      </c>
      <c r="AS252" s="3">
        <f t="shared" si="121"/>
        <v>1</v>
      </c>
      <c r="AT252" s="3">
        <f t="shared" si="122"/>
        <v>1</v>
      </c>
      <c r="AU252" s="3">
        <f t="shared" si="123"/>
        <v>1</v>
      </c>
      <c r="AV252" s="3">
        <f t="shared" si="124"/>
        <v>7</v>
      </c>
      <c r="AW252" s="3">
        <f t="shared" si="125"/>
        <v>5</v>
      </c>
      <c r="AX252" s="3">
        <f t="shared" si="126"/>
        <v>5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30</v>
      </c>
      <c r="BB252" s="16">
        <f t="shared" si="129"/>
        <v>28</v>
      </c>
      <c r="BC252" s="9">
        <f t="shared" si="130"/>
        <v>20</v>
      </c>
      <c r="BD252" s="3">
        <f t="shared" si="131"/>
        <v>28</v>
      </c>
      <c r="BE252" s="3">
        <f t="shared" si="132"/>
        <v>43</v>
      </c>
    </row>
    <row r="253" spans="1:58" s="3" customFormat="1" x14ac:dyDescent="0.2">
      <c r="A253" s="3" t="s">
        <v>178</v>
      </c>
      <c r="B253" s="3" t="str">
        <f>LOWER(VLOOKUP(A253,Xtal_Templ!A:B,2,FALSE))</f>
        <v>ccr5_human</v>
      </c>
      <c r="C253" s="3">
        <f>VLOOKUP($A253,'SegEnds_NonXtal_BW#'!$A:$Z,3,FALSE)+D253-50</f>
        <v>30</v>
      </c>
      <c r="D253" s="3">
        <v>56</v>
      </c>
      <c r="E253" s="3">
        <f>IF(ISERROR(VLOOKUP($A253,'SegEnds_NonXtal_BW#'!$A:$Z,4,FALSE)+VLOOKUP($A253,A:AL,4,FALSE)-50),"-",(VLOOKUP($A253,'SegEnds_NonXtal_BW#'!$A:$Z,4,FALSE)+VLOOKUP($A253,A:AL,4,FALSE)-50))</f>
        <v>66</v>
      </c>
      <c r="F253" s="3">
        <f t="shared" si="167"/>
        <v>67</v>
      </c>
      <c r="G253" s="3">
        <v>69</v>
      </c>
      <c r="H253" s="3">
        <f t="shared" si="168"/>
        <v>70</v>
      </c>
      <c r="I253" s="3">
        <f t="shared" si="168"/>
        <v>71</v>
      </c>
      <c r="J253" s="3">
        <v>84</v>
      </c>
      <c r="K253" s="3">
        <f>VLOOKUP($A253,'SegEnds_NonXtal_BW#'!$A:$Z,8,FALSE)+VLOOKUP($A253,A:AL,10,FALSE)-50</f>
        <v>97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102</v>
      </c>
      <c r="P253" s="3">
        <v>128</v>
      </c>
      <c r="Q253" s="3">
        <f>VLOOKUP($A253,'SegEnds_NonXtal_BW#'!$A:$Z,12,FALSE)+VLOOKUP($A253,A:AL,16,FALSE)-50</f>
        <v>134</v>
      </c>
      <c r="R253" s="3">
        <f>IF(ISERROR(VLOOKUP($A253,'SegEnds_NonXtal_BW#'!$A:$Z,13,FALSE)+VLOOKUP($A253,A:AL,19,FALSE)-50),"-",VLOOKUP($A253,'SegEnds_NonXtal_BW#'!$A:$Z,13,FALSE)+VLOOKUP($A253,A:AL,19,FALSE)-50)</f>
        <v>135</v>
      </c>
      <c r="S253" s="3">
        <v>135</v>
      </c>
      <c r="T253" s="100">
        <f>IF(ISERROR(VLOOKUP($A253,'SegEnds_NonXtal_BW#'!$A:$Z,14,FALSE)+VLOOKUP($A253,A:AL,19,FALSE)-50),"-",(VLOOKUP($A253,'SegEnds_NonXtal_BW#'!$A:$Z,14,FALSE)+VLOOKUP($A253,A:AL,19,FALSE)-50))</f>
        <v>143</v>
      </c>
      <c r="U253" s="9">
        <f>IF(ISERROR(VLOOKUP($A253,'SegEnds_NonXtal_BW#'!$A:$Z,15,FALSE)+VLOOKUP($A253,A:AL,22,FALSE)-50),"-",VLOOKUP($A253,'SegEnds_NonXtal_BW#'!$A:$Z,15,FALSE)+VLOOKUP($A253,A:AL,22,FALSE)-50)</f>
        <v>144</v>
      </c>
      <c r="V253" s="3">
        <v>156</v>
      </c>
      <c r="W253" s="3">
        <f>IF(ISERROR(VLOOKUP($A253,'SegEnds_NonXtal_BW#'!$A:$Z,16,FALSE)+VLOOKUP($A253,A:AL,22,FALSE)-50),"-",(VLOOKUP($A253,'SegEnds_NonXtal_BW#'!$A:$Z,16,FALSE)+VLOOKUP($A253,A:AL,22,FALSE)-50))</f>
        <v>170</v>
      </c>
      <c r="X253" s="3">
        <f>IF(ISERROR(VLOOKUP($A253,'SegEnds_NonXtal_BW#'!$A:$Z,17,FALSE)+VLOOKUP($A253,A:AL,25,FALSE)-50),"-",(VLOOKUP($A253,'SegEnds_NonXtal_BW#'!$A:$Z,17,FALSE)+VLOOKUP($A253,A:AL,25,FALSE)-50))</f>
        <v>181</v>
      </c>
      <c r="Y253" s="3">
        <v>181</v>
      </c>
      <c r="Z253" s="3">
        <f t="shared" si="144"/>
        <v>183</v>
      </c>
      <c r="AA253" s="3">
        <f>IF(ISERROR(VLOOKUP($A253,'SegEnds_NonXtal_BW#'!$A:$Z,19,FALSE)+VLOOKUP($A253,A:AL,28,FALSE)-50),"-",(VLOOKUP($A253,'SegEnds_NonXtal_BW#'!$A:$Z,19,FALSE)+VLOOKUP($A253,A:AL,28,FALSE)-50))</f>
        <v>192</v>
      </c>
      <c r="AB253" s="3">
        <v>212</v>
      </c>
      <c r="AC253" s="3">
        <f>IF(ISERROR((VLOOKUP($A253,'SegEnds_NonXtal_BW#'!$A:$Z,20,FALSE)+VLOOKUP($A253,A:AL,28,FALSE)-50)),"-",(VLOOKUP($A253,'SegEnds_NonXtal_BW#'!$A:$Z,20,FALSE)+VLOOKUP($A253,A:AL,28,FALSE)-50))</f>
        <v>229</v>
      </c>
      <c r="AD253" s="3">
        <f>IF(ISERROR(VLOOKUP($A253,'SegEnds_NonXtal_BW#'!$A:$Z,21,FALSE)+VLOOKUP($A253,A:AL,31,FALSE)-50),"-",(VLOOKUP($A253,'SegEnds_NonXtal_BW#'!$A:$Z,21,FALSE)+VLOOKUP($A253,A:AL,31,FALSE)-50))</f>
        <v>233</v>
      </c>
      <c r="AE253" s="3">
        <v>253</v>
      </c>
      <c r="AF253" s="3">
        <f>IF(ISERROR((VLOOKUP($A253,'SegEnds_NonXtal_BW#'!$A:$Z,22,FALSE)+VLOOKUP($A253,A:AL,31,FALSE)-50)),"-",(VLOOKUP($A253,'SegEnds_NonXtal_BW#'!$A:$Z,22,FALSE)+VLOOKUP($A253,A:AL,31,FALSE)-50))</f>
        <v>267</v>
      </c>
      <c r="AG253" s="3">
        <f>IF(ISERROR(VLOOKUP($A253,'SegEnds_NonXtal_BW#'!$A:$Z,23,FALSE)+VLOOKUP($A253,A:AL,34,FALSE)-50),"-",(VLOOKUP($A253,'SegEnds_NonXtal_BW#'!$A:$Z,23,FALSE)+VLOOKUP($A253,A:AL,34,FALSE)-50))</f>
        <v>271</v>
      </c>
      <c r="AH253" s="3">
        <v>297</v>
      </c>
      <c r="AI253" s="3">
        <f>IF(ISERROR((VLOOKUP($A253,'SegEnds_NonXtal_BW#'!$A:$Z,24,FALSE)+VLOOKUP($A253,A:AL,34,FALSE)-50)),"-",(VLOOKUP($A253,'SegEnds_NonXtal_BW#'!$A:$Z,24,FALSE)+VLOOKUP($A253,A:AL,34,FALSE)-50))</f>
        <v>303</v>
      </c>
      <c r="AJ253" s="3">
        <f>IF(ISERROR(VLOOKUP($A253,'SegEnds_NonXtal_BW#'!$A:$Z,25,FALSE)+VLOOKUP($A253,A:AL,37,FALSE)-50),"-",(VLOOKUP($A253,'SegEnds_NonXtal_BW#'!$A:$Z,25,FALSE)+VLOOKUP($A253,A:AL,37,FALSE)-50))</f>
        <v>304</v>
      </c>
      <c r="AK253" s="3">
        <v>307</v>
      </c>
      <c r="AL253" s="3">
        <f>IF(ISERROR((VLOOKUP($A253,'SegEnds_NonXtal_BW#'!$A:$Z,26,FALSE)+VLOOKUP($A253,A:AL,37,FALSE)-50)),"-",(VLOOKUP($A253,'SegEnds_NonXtal_BW#'!$A:$Z,26,FALSE)+VLOOKUP($A253,A:AL,37,FALSE)-50))</f>
        <v>316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NoXtal</v>
      </c>
      <c r="AP253" s="3">
        <f t="shared" si="118"/>
        <v>1</v>
      </c>
      <c r="AQ253" s="3">
        <f t="shared" si="119"/>
        <v>1</v>
      </c>
      <c r="AR253" s="3" t="str">
        <f t="shared" si="120"/>
        <v>-</v>
      </c>
      <c r="AS253" s="3" t="str">
        <f t="shared" si="121"/>
        <v>-</v>
      </c>
      <c r="AT253" s="3">
        <f t="shared" si="122"/>
        <v>1</v>
      </c>
      <c r="AU253" s="3">
        <f t="shared" si="123"/>
        <v>1</v>
      </c>
      <c r="AV253" s="3">
        <f t="shared" si="124"/>
        <v>11</v>
      </c>
      <c r="AW253" s="3">
        <f t="shared" si="125"/>
        <v>9</v>
      </c>
      <c r="AX253" s="3">
        <f t="shared" si="126"/>
        <v>4</v>
      </c>
      <c r="AY253" s="3">
        <f t="shared" si="127"/>
        <v>4</v>
      </c>
      <c r="AZ253" s="3">
        <f t="shared" si="128"/>
        <v>1</v>
      </c>
      <c r="BA253" s="3">
        <f>IF(ISERROR(LEN(VLOOKUP(A253,Seqs!A:E,2,FALSE))-AL253),"-",LEN(VLOOKUP(A253,Seqs!A:E,2,FALSE))-AL253)</f>
        <v>28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41</v>
      </c>
      <c r="BF253" s="3">
        <f t="shared" ref="BF253:BF258" si="169">AH253-AE253</f>
        <v>44</v>
      </c>
    </row>
    <row r="254" spans="1:58" s="3" customFormat="1" x14ac:dyDescent="0.2">
      <c r="A254" s="3" t="s">
        <v>191</v>
      </c>
      <c r="B254" s="3" t="str">
        <f>LOWER(VLOOKUP(A254,Xtal_Templ!A:B,2,FALSE))</f>
        <v>drd2_human</v>
      </c>
      <c r="C254" s="3">
        <f>VLOOKUP($A254,'SegEnds_NonXtal_BW#'!$A:$Z,3,FALSE)+D254-50</f>
        <v>31</v>
      </c>
      <c r="D254" s="3">
        <v>52</v>
      </c>
      <c r="E254" s="3">
        <f>IF(ISERROR(VLOOKUP($A254,'SegEnds_NonXtal_BW#'!$A:$Z,4,FALSE)+VLOOKUP($A254,A:AL,4,FALSE)-50),"-",(VLOOKUP($A254,'SegEnds_NonXtal_BW#'!$A:$Z,4,FALSE)+VLOOKUP($A254,A:AL,4,FALSE)-50))</f>
        <v>62</v>
      </c>
      <c r="F254" s="3">
        <f t="shared" si="167"/>
        <v>63</v>
      </c>
      <c r="G254" s="3">
        <v>65</v>
      </c>
      <c r="H254" s="3">
        <f t="shared" si="168"/>
        <v>66</v>
      </c>
      <c r="I254" s="3">
        <f t="shared" si="168"/>
        <v>67</v>
      </c>
      <c r="J254" s="3">
        <v>80</v>
      </c>
      <c r="K254" s="3">
        <f>VLOOKUP($A254,'SegEnds_NonXtal_BW#'!$A:$Z,8,FALSE)+VLOOKUP($A254,A:AL,10,FALSE)-50</f>
        <v>98</v>
      </c>
      <c r="L254" s="3">
        <f>M254-1</f>
        <v>99</v>
      </c>
      <c r="M254" s="3">
        <v>100</v>
      </c>
      <c r="N254" s="3">
        <f>M254+2</f>
        <v>102</v>
      </c>
      <c r="O254" s="3">
        <f>N254+1</f>
        <v>103</v>
      </c>
      <c r="P254" s="3">
        <v>132</v>
      </c>
      <c r="Q254" s="3">
        <f>VLOOKUP($A254,'SegEnds_NonXtal_BW#'!$A:$Z,12,FALSE)+VLOOKUP($A254,A:AL,16,FALSE)-50</f>
        <v>138</v>
      </c>
      <c r="R254" s="3">
        <f>IF(ISERROR(VLOOKUP($A254,'SegEnds_NonXtal_BW#'!$A:$Z,13,FALSE)+VLOOKUP($A254,A:AL,19,FALSE)-50),"-",VLOOKUP($A254,'SegEnds_NonXtal_BW#'!$A:$Z,13,FALSE)+VLOOKUP($A254,A:AL,19,FALSE)-50)</f>
        <v>139</v>
      </c>
      <c r="S254" s="3">
        <v>139</v>
      </c>
      <c r="T254" s="100">
        <f>IF(ISERROR(VLOOKUP($A254,'SegEnds_NonXtal_BW#'!$A:$Z,14,FALSE)+VLOOKUP($A254,A:AL,19,FALSE)-50),"-",(VLOOKUP($A254,'SegEnds_NonXtal_BW#'!$A:$Z,14,FALSE)+VLOOKUP($A254,A:AL,19,FALSE)-50))</f>
        <v>147</v>
      </c>
      <c r="U254" s="9">
        <f>IF(ISERROR(VLOOKUP($A254,'SegEnds_NonXtal_BW#'!$A:$Z,15,FALSE)+VLOOKUP($A254,A:AL,22,FALSE)-50),"-",VLOOKUP($A254,'SegEnds_NonXtal_BW#'!$A:$Z,15,FALSE)+VLOOKUP($A254,A:AL,22,FALSE)-50)</f>
        <v>148</v>
      </c>
      <c r="V254" s="3">
        <v>160</v>
      </c>
      <c r="W254" s="3">
        <f>IF(ISERROR(VLOOKUP($A254,'SegEnds_NonXtal_BW#'!$A:$Z,16,FALSE)+VLOOKUP($A254,A:AL,22,FALSE)-50),"-",(VLOOKUP($A254,'SegEnds_NonXtal_BW#'!$A:$Z,16,FALSE)+VLOOKUP($A254,A:AL,22,FALSE)-50))</f>
        <v>172</v>
      </c>
      <c r="X254" s="3">
        <f>IF(ISERROR(VLOOKUP($A254,'SegEnds_NonXtal_BW#'!$A:$Z,17,FALSE)+VLOOKUP($A254,A:AL,25,FALSE)-50),"-",(VLOOKUP($A254,'SegEnds_NonXtal_BW#'!$A:$Z,17,FALSE)+VLOOKUP($A254,A:AL,25,FALSE)-50))</f>
        <v>182</v>
      </c>
      <c r="Y254" s="3">
        <v>182</v>
      </c>
      <c r="Z254" s="3">
        <f t="shared" si="144"/>
        <v>184</v>
      </c>
      <c r="AA254" s="3">
        <f>IF(ISERROR(VLOOKUP($A254,'SegEnds_NonXtal_BW#'!$A:$Z,19,FALSE)+VLOOKUP($A254,A:AL,28,FALSE)-50),"-",(VLOOKUP($A254,'SegEnds_NonXtal_BW#'!$A:$Z,19,FALSE)+VLOOKUP($A254,A:AL,28,FALSE)-50))</f>
        <v>186</v>
      </c>
      <c r="AB254" s="3">
        <v>201</v>
      </c>
      <c r="AC254" s="3">
        <f>IF(ISERROR((VLOOKUP($A254,'SegEnds_NonXtal_BW#'!$A:$Z,20,FALSE)+VLOOKUP($A254,A:AL,28,FALSE)-50)),"-",(VLOOKUP($A254,'SegEnds_NonXtal_BW#'!$A:$Z,20,FALSE)+VLOOKUP($A254,A:AL,28,FALSE)-50))</f>
        <v>226</v>
      </c>
      <c r="AD254" s="3">
        <f>IF(ISERROR(VLOOKUP($A254,'SegEnds_NonXtal_BW#'!$A:$Z,21,FALSE)+VLOOKUP($A254,A:AL,31,FALSE)-50),"-",(VLOOKUP($A254,'SegEnds_NonXtal_BW#'!$A:$Z,21,FALSE)+VLOOKUP($A254,A:AL,31,FALSE)-50))</f>
        <v>362</v>
      </c>
      <c r="AE254" s="3">
        <v>388</v>
      </c>
      <c r="AF254" s="3">
        <f>IF(ISERROR((VLOOKUP($A254,'SegEnds_NonXtal_BW#'!$A:$Z,22,FALSE)+VLOOKUP($A254,A:AL,31,FALSE)-50)),"-",(VLOOKUP($A254,'SegEnds_NonXtal_BW#'!$A:$Z,22,FALSE)+VLOOKUP($A254,A:AL,31,FALSE)-50))</f>
        <v>399</v>
      </c>
      <c r="AG254" s="3">
        <f>IF(ISERROR(VLOOKUP($A254,'SegEnds_NonXtal_BW#'!$A:$Z,23,FALSE)+VLOOKUP($A254,A:AL,34,FALSE)-50),"-",(VLOOKUP($A254,'SegEnds_NonXtal_BW#'!$A:$Z,23,FALSE)+VLOOKUP($A254,A:AL,34,FALSE)-50))</f>
        <v>404</v>
      </c>
      <c r="AH254" s="3">
        <v>423</v>
      </c>
      <c r="AI254" s="3">
        <f>IF(ISERROR((VLOOKUP($A254,'SegEnds_NonXtal_BW#'!$A:$Z,24,FALSE)+VLOOKUP($A254,A:AL,34,FALSE)-50)),"-",(VLOOKUP($A254,'SegEnds_NonXtal_BW#'!$A:$Z,24,FALSE)+VLOOKUP($A254,A:AL,34,FALSE)-50))</f>
        <v>429</v>
      </c>
      <c r="AJ254" s="3">
        <f>IF(ISERROR(VLOOKUP($A254,'SegEnds_NonXtal_BW#'!$A:$Z,25,FALSE)+VLOOKUP($A254,A:AL,37,FALSE)-50),"-",(VLOOKUP($A254,'SegEnds_NonXtal_BW#'!$A:$Z,25,FALSE)+VLOOKUP($A254,A:AL,37,FALSE)-50))</f>
        <v>430</v>
      </c>
      <c r="AK254" s="3">
        <v>433</v>
      </c>
      <c r="AL254" s="3">
        <f>IF(ISERROR((VLOOKUP($A254,'SegEnds_NonXtal_BW#'!$A:$Z,26,FALSE)+VLOOKUP($A254,A:AL,37,FALSE)-50)),"-",(VLOOKUP($A254,'SegEnds_NonXtal_BW#'!$A:$Z,26,FALSE)+VLOOKUP($A254,A:AL,37,FALSE)-50))</f>
        <v>442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Xtal</v>
      </c>
      <c r="AP254" s="3">
        <f t="shared" si="118"/>
        <v>1</v>
      </c>
      <c r="AQ254" s="3">
        <f t="shared" si="119"/>
        <v>1</v>
      </c>
      <c r="AR254" s="3">
        <f t="shared" si="120"/>
        <v>1</v>
      </c>
      <c r="AS254" s="3">
        <f t="shared" si="121"/>
        <v>1</v>
      </c>
      <c r="AT254" s="3">
        <f t="shared" si="122"/>
        <v>1</v>
      </c>
      <c r="AU254" s="3">
        <f t="shared" si="123"/>
        <v>1</v>
      </c>
      <c r="AV254" s="3">
        <f t="shared" si="124"/>
        <v>10</v>
      </c>
      <c r="AW254" s="3">
        <f t="shared" si="125"/>
        <v>2</v>
      </c>
      <c r="AX254" s="3">
        <f t="shared" si="126"/>
        <v>136</v>
      </c>
      <c r="AY254" s="3">
        <f t="shared" si="127"/>
        <v>5</v>
      </c>
      <c r="AZ254" s="3">
        <f t="shared" si="128"/>
        <v>1</v>
      </c>
      <c r="BA254" s="3">
        <f>IF(ISERROR(LEN(VLOOKUP(A254,Seqs!A:E,2,FALSE))-AL254),"-",LEN(VLOOKUP(A254,Seqs!A:E,2,FALSE))-AL254)</f>
        <v>1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187</v>
      </c>
      <c r="BF254" s="3">
        <f t="shared" si="169"/>
        <v>35</v>
      </c>
    </row>
    <row r="255" spans="1:58" s="3" customFormat="1" x14ac:dyDescent="0.2">
      <c r="A255" s="3" t="s">
        <v>248</v>
      </c>
      <c r="B255" s="3" t="str">
        <f>LOWER(VLOOKUP(A255,Xtal_Templ!A:B,2,FALSE))</f>
        <v>ox1r_human</v>
      </c>
      <c r="C255" s="3">
        <f>VLOOKUP($A255,'SegEnds_NonXtal_BW#'!$A:$Z,3,FALSE)+D255-50</f>
        <v>18</v>
      </c>
      <c r="D255" s="3">
        <v>36</v>
      </c>
      <c r="E255" s="3">
        <f>IF(ISERROR(VLOOKUP($A255,'SegEnds_NonXtal_BW#'!$A:$Z,4,FALSE)+VLOOKUP($A255,A:AL,4,FALSE)-50),"-",(VLOOKUP($A255,'SegEnds_NonXtal_BW#'!$A:$Z,4,FALSE)+VLOOKUP($A255,A:AL,4,FALSE)-50))</f>
        <v>46</v>
      </c>
      <c r="F255" s="3">
        <f t="shared" si="167"/>
        <v>47</v>
      </c>
      <c r="G255" s="3">
        <v>49</v>
      </c>
      <c r="H255" s="3">
        <f t="shared" si="168"/>
        <v>50</v>
      </c>
      <c r="I255" s="3">
        <f t="shared" si="168"/>
        <v>51</v>
      </c>
      <c r="J255" s="3">
        <v>64</v>
      </c>
      <c r="K255" s="3">
        <f>VLOOKUP($A255,'SegEnds_NonXtal_BW#'!$A:$Z,8,FALSE)+VLOOKUP($A255,A:AL,10,FALSE)-50</f>
        <v>82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88</v>
      </c>
      <c r="P255" s="3">
        <v>120</v>
      </c>
      <c r="Q255" s="3">
        <f>VLOOKUP($A255,'SegEnds_NonXtal_BW#'!$A:$Z,12,FALSE)+VLOOKUP($A255,A:AL,16,FALSE)-50</f>
        <v>126</v>
      </c>
      <c r="R255" s="3">
        <f>IF(ISERROR(VLOOKUP($A255,'SegEnds_NonXtal_BW#'!$A:$Z,13,FALSE)+VLOOKUP($A255,A:AL,19,FALSE)-50),"-",VLOOKUP($A255,'SegEnds_NonXtal_BW#'!$A:$Z,13,FALSE)+VLOOKUP($A255,A:AL,19,FALSE)-50)</f>
        <v>127</v>
      </c>
      <c r="S255" s="3">
        <v>127</v>
      </c>
      <c r="T255" s="100">
        <f>IF(ISERROR(VLOOKUP($A255,'SegEnds_NonXtal_BW#'!$A:$Z,14,FALSE)+VLOOKUP($A255,A:AL,19,FALSE)-50),"-",(VLOOKUP($A255,'SegEnds_NonXtal_BW#'!$A:$Z,14,FALSE)+VLOOKUP($A255,A:AL,19,FALSE)-50))</f>
        <v>135</v>
      </c>
      <c r="U255" s="9">
        <f>IF(ISERROR(VLOOKUP($A255,'SegEnds_NonXtal_BW#'!$A:$Z,15,FALSE)+VLOOKUP($A255,A:AL,22,FALSE)-50),"-",VLOOKUP($A255,'SegEnds_NonXtal_BW#'!$A:$Z,15,FALSE)+VLOOKUP($A255,A:AL,22,FALSE)-50)</f>
        <v>136</v>
      </c>
      <c r="V255" s="3">
        <v>148</v>
      </c>
      <c r="W255" s="3">
        <f>IF(ISERROR(VLOOKUP($A255,'SegEnds_NonXtal_BW#'!$A:$Z,16,FALSE)+VLOOKUP($A255,A:AL,22,FALSE)-50),"-",(VLOOKUP($A255,'SegEnds_NonXtal_BW#'!$A:$Z,16,FALSE)+VLOOKUP($A255,A:AL,22,FALSE)-50))</f>
        <v>162</v>
      </c>
      <c r="X255" s="3">
        <f>IF(ISERROR(VLOOKUP($A255,'SegEnds_NonXtal_BW#'!$A:$Z,17,FALSE)+VLOOKUP($A255,A:AL,25,FALSE)-50),"-",(VLOOKUP($A255,'SegEnds_NonXtal_BW#'!$A:$Z,17,FALSE)+VLOOKUP($A255,A:AL,25,FALSE)-50))</f>
        <v>171</v>
      </c>
      <c r="Y255" s="3">
        <v>171</v>
      </c>
      <c r="Z255" s="3">
        <f t="shared" si="144"/>
        <v>173</v>
      </c>
      <c r="AA255" s="3">
        <f>IF(ISERROR(VLOOKUP($A255,'SegEnds_NonXtal_BW#'!$A:$Z,19,FALSE)+VLOOKUP($A255,A:AL,28,FALSE)-50),"-",(VLOOKUP($A255,'SegEnds_NonXtal_BW#'!$A:$Z,19,FALSE)+VLOOKUP($A255,A:AL,28,FALSE)-50))</f>
        <v>174</v>
      </c>
      <c r="AB255" s="3">
        <v>189</v>
      </c>
      <c r="AC255" s="3">
        <f>IF(ISERROR((VLOOKUP($A255,'SegEnds_NonXtal_BW#'!$A:$Z,20,FALSE)+VLOOKUP($A255,A:AL,28,FALSE)-50)),"-",(VLOOKUP($A255,'SegEnds_NonXtal_BW#'!$A:$Z,20,FALSE)+VLOOKUP($A255,A:AL,28,FALSE)-50))</f>
        <v>215</v>
      </c>
      <c r="AD255" s="3">
        <f>IF(ISERROR(VLOOKUP($A255,'SegEnds_NonXtal_BW#'!$A:$Z,21,FALSE)+VLOOKUP($A255,A:AL,31,FALSE)-50),"-",(VLOOKUP($A255,'SegEnds_NonXtal_BW#'!$A:$Z,21,FALSE)+VLOOKUP($A255,A:AL,31,FALSE)-50))</f>
        <v>273</v>
      </c>
      <c r="AE255" s="3">
        <v>299</v>
      </c>
      <c r="AF255" s="3">
        <f>IF(ISERROR((VLOOKUP($A255,'SegEnds_NonXtal_BW#'!$A:$Z,22,FALSE)+VLOOKUP($A255,A:AL,31,FALSE)-50)),"-",(VLOOKUP($A255,'SegEnds_NonXtal_BW#'!$A:$Z,22,FALSE)+VLOOKUP($A255,A:AL,31,FALSE)-50))</f>
        <v>310</v>
      </c>
      <c r="AG255" s="3">
        <f>IF(ISERROR(VLOOKUP($A255,'SegEnds_NonXtal_BW#'!$A:$Z,23,FALSE)+VLOOKUP($A255,A:AL,34,FALSE)-50),"-",(VLOOKUP($A255,'SegEnds_NonXtal_BW#'!$A:$Z,23,FALSE)+VLOOKUP($A255,A:AL,34,FALSE)-50))</f>
        <v>316</v>
      </c>
      <c r="AH255" s="3">
        <v>335</v>
      </c>
      <c r="AI255" s="3">
        <f>IF(ISERROR((VLOOKUP($A255,'SegEnds_NonXtal_BW#'!$A:$Z,24,FALSE)+VLOOKUP($A255,A:AL,34,FALSE)-50)),"-",(VLOOKUP($A255,'SegEnds_NonXtal_BW#'!$A:$Z,24,FALSE)+VLOOKUP($A255,A:AL,34,FALSE)-50))</f>
        <v>341</v>
      </c>
      <c r="AJ255" s="3">
        <f>IF(ISERROR(VLOOKUP($A255,'SegEnds_NonXtal_BW#'!$A:$Z,25,FALSE)+VLOOKUP($A255,A:AL,37,FALSE)-50),"-",(VLOOKUP($A255,'SegEnds_NonXtal_BW#'!$A:$Z,25,FALSE)+VLOOKUP($A255,A:AL,37,FALSE)-50))</f>
        <v>342</v>
      </c>
      <c r="AK255" s="3">
        <v>345</v>
      </c>
      <c r="AL255" s="3">
        <f>IF(ISERROR((VLOOKUP($A255,'SegEnds_NonXtal_BW#'!$A:$Z,26,FALSE)+VLOOKUP($A255,A:AL,37,FALSE)-50)),"-",(VLOOKUP($A255,'SegEnds_NonXtal_BW#'!$A:$Z,26,FALSE)+VLOOKUP($A255,A:AL,37,FALSE)-50))</f>
        <v>358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 t="str">
        <f t="shared" si="120"/>
        <v>-</v>
      </c>
      <c r="AS255" s="3" t="str">
        <f t="shared" si="121"/>
        <v>-</v>
      </c>
      <c r="AT255" s="3">
        <f t="shared" si="122"/>
        <v>1</v>
      </c>
      <c r="AU255" s="3">
        <f t="shared" si="123"/>
        <v>1</v>
      </c>
      <c r="AV255" s="3">
        <f t="shared" si="124"/>
        <v>9</v>
      </c>
      <c r="AW255" s="3">
        <f t="shared" si="125"/>
        <v>1</v>
      </c>
      <c r="AX255" s="3">
        <f t="shared" si="126"/>
        <v>58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110</v>
      </c>
      <c r="BF255" s="3">
        <f t="shared" si="169"/>
        <v>36</v>
      </c>
    </row>
    <row r="256" spans="1:58" s="3" customFormat="1" x14ac:dyDescent="0.2">
      <c r="A256" s="3" t="s">
        <v>280</v>
      </c>
      <c r="B256" s="3" t="str">
        <f>LOWER(VLOOKUP(A256,Xtal_Templ!A:B,2,FALSE))</f>
        <v>acm5_human</v>
      </c>
      <c r="C256" s="3">
        <f>VLOOKUP($A256,'SegEnds_NonXtal_BW#'!$A:$Z,3,FALSE)+D256-50</f>
        <v>30</v>
      </c>
      <c r="D256" s="3">
        <v>52</v>
      </c>
      <c r="E256" s="3">
        <f>IF(ISERROR(VLOOKUP($A256,'SegEnds_NonXtal_BW#'!$A:$Z,4,FALSE)+VLOOKUP($A256,A:AL,4,FALSE)-50),"-",(VLOOKUP($A256,'SegEnds_NonXtal_BW#'!$A:$Z,4,FALSE)+VLOOKUP($A256,A:AL,4,FALSE)-50))</f>
        <v>62</v>
      </c>
      <c r="F256" s="3">
        <f t="shared" si="167"/>
        <v>63</v>
      </c>
      <c r="G256" s="3">
        <v>65</v>
      </c>
      <c r="H256" s="3">
        <f t="shared" si="168"/>
        <v>66</v>
      </c>
      <c r="I256" s="3">
        <f t="shared" si="168"/>
        <v>67</v>
      </c>
      <c r="J256" s="3">
        <v>80</v>
      </c>
      <c r="K256" s="3">
        <f>VLOOKUP($A256,'SegEnds_NonXtal_BW#'!$A:$Z,8,FALSE)+VLOOKUP($A256,A:AL,10,FALSE)-50</f>
        <v>98</v>
      </c>
      <c r="L256" s="3">
        <f t="shared" ref="L256:L263" si="170">M256-1</f>
        <v>99</v>
      </c>
      <c r="M256" s="3">
        <v>100</v>
      </c>
      <c r="N256" s="3">
        <f t="shared" ref="N256:N263" si="171">M256+2</f>
        <v>102</v>
      </c>
      <c r="O256" s="3">
        <f t="shared" ref="O256:O263" si="172">N256+1</f>
        <v>103</v>
      </c>
      <c r="P256" s="3">
        <v>132</v>
      </c>
      <c r="Q256" s="3">
        <f>VLOOKUP($A256,'SegEnds_NonXtal_BW#'!$A:$Z,12,FALSE)+VLOOKUP($A256,A:AL,16,FALSE)-50</f>
        <v>138</v>
      </c>
      <c r="R256" s="3">
        <f>IF(ISERROR(VLOOKUP($A256,'SegEnds_NonXtal_BW#'!$A:$Z,13,FALSE)+VLOOKUP($A256,A:AL,19,FALSE)-50),"-",VLOOKUP($A256,'SegEnds_NonXtal_BW#'!$A:$Z,13,FALSE)+VLOOKUP($A256,A:AL,19,FALSE)-50)</f>
        <v>139</v>
      </c>
      <c r="S256" s="3">
        <v>139</v>
      </c>
      <c r="T256" s="100">
        <f>IF(ISERROR(VLOOKUP($A256,'SegEnds_NonXtal_BW#'!$A:$Z,14,FALSE)+VLOOKUP($A256,A:AL,19,FALSE)-50),"-",(VLOOKUP($A256,'SegEnds_NonXtal_BW#'!$A:$Z,14,FALSE)+VLOOKUP($A256,A:AL,19,FALSE)-50))</f>
        <v>147</v>
      </c>
      <c r="U256" s="9">
        <f>IF(ISERROR(VLOOKUP($A256,'SegEnds_NonXtal_BW#'!$A:$Z,15,FALSE)+VLOOKUP($A256,A:AL,22,FALSE)-50),"-",VLOOKUP($A256,'SegEnds_NonXtal_BW#'!$A:$Z,15,FALSE)+VLOOKUP($A256,A:AL,22,FALSE)-50)</f>
        <v>148</v>
      </c>
      <c r="V256" s="3">
        <v>160</v>
      </c>
      <c r="W256" s="3">
        <f>IF(ISERROR(VLOOKUP($A256,'SegEnds_NonXtal_BW#'!$A:$Z,16,FALSE)+VLOOKUP($A256,A:AL,22,FALSE)-50),"-",(VLOOKUP($A256,'SegEnds_NonXtal_BW#'!$A:$Z,16,FALSE)+VLOOKUP($A256,A:AL,22,FALSE)-50))</f>
        <v>173</v>
      </c>
      <c r="X256" s="3">
        <f>IF(ISERROR(VLOOKUP($A256,'SegEnds_NonXtal_BW#'!$A:$Z,17,FALSE)+VLOOKUP($A256,A:AL,25,FALSE)-50),"-",(VLOOKUP($A256,'SegEnds_NonXtal_BW#'!$A:$Z,17,FALSE)+VLOOKUP($A256,A:AL,25,FALSE)-50))</f>
        <v>188</v>
      </c>
      <c r="Y256" s="3">
        <v>188</v>
      </c>
      <c r="Z256" s="3">
        <f t="shared" si="144"/>
        <v>190</v>
      </c>
      <c r="AA256" s="3">
        <f>IF(ISERROR(VLOOKUP($A256,'SegEnds_NonXtal_BW#'!$A:$Z,19,FALSE)+VLOOKUP($A256,A:AL,28,FALSE)-50),"-",(VLOOKUP($A256,'SegEnds_NonXtal_BW#'!$A:$Z,19,FALSE)+VLOOKUP($A256,A:AL,28,FALSE)-50))</f>
        <v>195</v>
      </c>
      <c r="AB256" s="3">
        <v>210</v>
      </c>
      <c r="AC256" s="3">
        <f>IF(ISERROR((VLOOKUP($A256,'SegEnds_NonXtal_BW#'!$A:$Z,20,FALSE)+VLOOKUP($A256,A:AL,28,FALSE)-50)),"-",(VLOOKUP($A256,'SegEnds_NonXtal_BW#'!$A:$Z,20,FALSE)+VLOOKUP($A256,A:AL,28,FALSE)-50))</f>
        <v>235</v>
      </c>
      <c r="AD256" s="3">
        <f>IF(ISERROR(VLOOKUP($A256,'SegEnds_NonXtal_BW#'!$A:$Z,21,FALSE)+VLOOKUP($A256,A:AL,31,FALSE)-50),"-",(VLOOKUP($A256,'SegEnds_NonXtal_BW#'!$A:$Z,21,FALSE)+VLOOKUP($A256,A:AL,31,FALSE)-50))</f>
        <v>347</v>
      </c>
      <c r="AE256" s="3">
        <v>373</v>
      </c>
      <c r="AF256" s="3">
        <f>IF(ISERROR((VLOOKUP($A256,'SegEnds_NonXtal_BW#'!$A:$Z,22,FALSE)+VLOOKUP($A256,A:AL,31,FALSE)-50)),"-",(VLOOKUP($A256,'SegEnds_NonXtal_BW#'!$A:$Z,22,FALSE)+VLOOKUP($A256,A:AL,31,FALSE)-50))</f>
        <v>384</v>
      </c>
      <c r="AG256" s="3">
        <f>IF(ISERROR(VLOOKUP($A256,'SegEnds_NonXtal_BW#'!$A:$Z,23,FALSE)+VLOOKUP($A256,A:AL,34,FALSE)-50),"-",(VLOOKUP($A256,'SegEnds_NonXtal_BW#'!$A:$Z,23,FALSE)+VLOOKUP($A256,A:AL,34,FALSE)-50))</f>
        <v>390</v>
      </c>
      <c r="AH256" s="3">
        <v>409</v>
      </c>
      <c r="AI256" s="3">
        <f>IF(ISERROR((VLOOKUP($A256,'SegEnds_NonXtal_BW#'!$A:$Z,24,FALSE)+VLOOKUP($A256,A:AL,34,FALSE)-50)),"-",(VLOOKUP($A256,'SegEnds_NonXtal_BW#'!$A:$Z,24,FALSE)+VLOOKUP($A256,A:AL,34,FALSE)-50))</f>
        <v>415</v>
      </c>
      <c r="AJ256" s="3">
        <f>IF(ISERROR(VLOOKUP($A256,'SegEnds_NonXtal_BW#'!$A:$Z,25,FALSE)+VLOOKUP($A256,A:AL,37,FALSE)-50),"-",(VLOOKUP($A256,'SegEnds_NonXtal_BW#'!$A:$Z,25,FALSE)+VLOOKUP($A256,A:AL,37,FALSE)-50))</f>
        <v>416</v>
      </c>
      <c r="AK256" s="3">
        <v>419</v>
      </c>
      <c r="AL256" s="3">
        <f>IF(ISERROR((VLOOKUP($A256,'SegEnds_NonXtal_BW#'!$A:$Z,26,FALSE)+VLOOKUP($A256,A:AL,37,FALSE)-50)),"-",(VLOOKUP($A256,'SegEnds_NonXtal_BW#'!$A:$Z,26,FALSE)+VLOOKUP($A256,A:AL,37,FALSE)-50))</f>
        <v>428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1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15</v>
      </c>
      <c r="AW256" s="3">
        <f t="shared" si="125"/>
        <v>5</v>
      </c>
      <c r="AX256" s="3">
        <f t="shared" si="126"/>
        <v>112</v>
      </c>
      <c r="AY256" s="3">
        <f t="shared" si="127"/>
        <v>6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163</v>
      </c>
      <c r="BF256" s="3">
        <f t="shared" si="169"/>
        <v>36</v>
      </c>
    </row>
    <row r="257" spans="1:58" s="3" customFormat="1" x14ac:dyDescent="0.2">
      <c r="A257" s="3" t="s">
        <v>281</v>
      </c>
      <c r="B257" s="3" t="str">
        <f>LOWER(VLOOKUP(A257,Xtal_Templ!A:B,2,FALSE))</f>
        <v>acm3_rat</v>
      </c>
      <c r="C257" s="3">
        <f>VLOOKUP($A257,'SegEnds_NonXtal_BW#'!$A:$Z,3,FALSE)+D257-50</f>
        <v>11</v>
      </c>
      <c r="D257" s="3">
        <v>33</v>
      </c>
      <c r="E257" s="3">
        <f>IF(ISERROR(VLOOKUP($A257,'SegEnds_NonXtal_BW#'!$A:$Z,4,FALSE)+VLOOKUP($A257,A:AL,4,FALSE)-50),"-",(VLOOKUP($A257,'SegEnds_NonXtal_BW#'!$A:$Z,4,FALSE)+VLOOKUP($A257,A:AL,4,FALSE)-50))</f>
        <v>43</v>
      </c>
      <c r="F257" s="3">
        <f t="shared" si="167"/>
        <v>44</v>
      </c>
      <c r="G257" s="3">
        <v>46</v>
      </c>
      <c r="H257" s="3">
        <f t="shared" si="168"/>
        <v>47</v>
      </c>
      <c r="I257" s="3">
        <f t="shared" si="168"/>
        <v>48</v>
      </c>
      <c r="J257" s="3">
        <v>61</v>
      </c>
      <c r="K257" s="3">
        <f>VLOOKUP($A257,'SegEnds_NonXtal_BW#'!$A:$Z,8,FALSE)+VLOOKUP($A257,A:AL,10,FALSE)-50</f>
        <v>77</v>
      </c>
      <c r="L257" s="3">
        <f t="shared" si="170"/>
        <v>79</v>
      </c>
      <c r="M257" s="3">
        <v>80</v>
      </c>
      <c r="N257" s="3">
        <f t="shared" si="171"/>
        <v>82</v>
      </c>
      <c r="O257" s="3">
        <f t="shared" si="172"/>
        <v>83</v>
      </c>
      <c r="P257" s="3">
        <v>112</v>
      </c>
      <c r="Q257" s="3">
        <f>VLOOKUP($A257,'SegEnds_NonXtal_BW#'!$A:$Z,12,FALSE)+VLOOKUP($A257,A:AL,16,FALSE)-50</f>
        <v>118</v>
      </c>
      <c r="R257" s="3">
        <f>IF(ISERROR(VLOOKUP($A257,'SegEnds_NonXtal_BW#'!$A:$Z,13,FALSE)+VLOOKUP($A257,A:AL,19,FALSE)-50),"-",VLOOKUP($A257,'SegEnds_NonXtal_BW#'!$A:$Z,13,FALSE)+VLOOKUP($A257,A:AL,19,FALSE)-50)</f>
        <v>119</v>
      </c>
      <c r="S257" s="3">
        <v>119</v>
      </c>
      <c r="T257" s="100">
        <f>IF(ISERROR(VLOOKUP($A257,'SegEnds_NonXtal_BW#'!$A:$Z,14,FALSE)+VLOOKUP($A257,A:AL,19,FALSE)-50),"-",(VLOOKUP($A257,'SegEnds_NonXtal_BW#'!$A:$Z,14,FALSE)+VLOOKUP($A257,A:AL,19,FALSE)-50))</f>
        <v>127</v>
      </c>
      <c r="U257" s="9">
        <f>IF(ISERROR(VLOOKUP($A257,'SegEnds_NonXtal_BW#'!$A:$Z,15,FALSE)+VLOOKUP($A257,A:AL,22,FALSE)-50),"-",VLOOKUP($A257,'SegEnds_NonXtal_BW#'!$A:$Z,15,FALSE)+VLOOKUP($A257,A:AL,22,FALSE)-50)</f>
        <v>128</v>
      </c>
      <c r="V257" s="3">
        <v>140</v>
      </c>
      <c r="W257" s="3">
        <f>IF(ISERROR(VLOOKUP($A257,'SegEnds_NonXtal_BW#'!$A:$Z,16,FALSE)+VLOOKUP($A257,A:AL,22,FALSE)-50),"-",(VLOOKUP($A257,'SegEnds_NonXtal_BW#'!$A:$Z,16,FALSE)+VLOOKUP($A257,A:AL,22,FALSE)-50))</f>
        <v>153</v>
      </c>
      <c r="X257" s="3">
        <f>IF(ISERROR(VLOOKUP($A257,'SegEnds_NonXtal_BW#'!$A:$Z,17,FALSE)+VLOOKUP($A257,A:AL,25,FALSE)-50),"-",(VLOOKUP($A257,'SegEnds_NonXtal_BW#'!$A:$Z,17,FALSE)+VLOOKUP($A257,A:AL,25,FALSE)-50))</f>
        <v>164</v>
      </c>
      <c r="Y257" s="3">
        <v>164</v>
      </c>
      <c r="Z257" s="3">
        <f t="shared" si="144"/>
        <v>166</v>
      </c>
      <c r="AA257" s="3">
        <f>IF(ISERROR(VLOOKUP($A257,'SegEnds_NonXtal_BW#'!$A:$Z,19,FALSE)+VLOOKUP($A257,A:AL,28,FALSE)-50),"-",(VLOOKUP($A257,'SegEnds_NonXtal_BW#'!$A:$Z,19,FALSE)+VLOOKUP($A257,A:AL,28,FALSE)-50))</f>
        <v>171</v>
      </c>
      <c r="AB257" s="3">
        <v>186</v>
      </c>
      <c r="AC257" s="3">
        <f>IF(ISERROR((VLOOKUP($A257,'SegEnds_NonXtal_BW#'!$A:$Z,20,FALSE)+VLOOKUP($A257,A:AL,28,FALSE)-50)),"-",(VLOOKUP($A257,'SegEnds_NonXtal_BW#'!$A:$Z,20,FALSE)+VLOOKUP($A257,A:AL,28,FALSE)-50))</f>
        <v>212</v>
      </c>
      <c r="AD257" s="3">
        <f>IF(ISERROR(VLOOKUP($A257,'SegEnds_NonXtal_BW#'!$A:$Z,21,FALSE)+VLOOKUP($A257,A:AL,31,FALSE)-50),"-",(VLOOKUP($A257,'SegEnds_NonXtal_BW#'!$A:$Z,21,FALSE)+VLOOKUP($A257,A:AL,31,FALSE)-50))</f>
        <v>292</v>
      </c>
      <c r="AE257" s="3">
        <v>318</v>
      </c>
      <c r="AF257" s="3">
        <f>IF(ISERROR((VLOOKUP($A257,'SegEnds_NonXtal_BW#'!$A:$Z,22,FALSE)+VLOOKUP($A257,A:AL,31,FALSE)-50)),"-",(VLOOKUP($A257,'SegEnds_NonXtal_BW#'!$A:$Z,22,FALSE)+VLOOKUP($A257,A:AL,31,FALSE)-50))</f>
        <v>329</v>
      </c>
      <c r="AG257" s="3">
        <f>IF(ISERROR(VLOOKUP($A257,'SegEnds_NonXtal_BW#'!$A:$Z,23,FALSE)+VLOOKUP($A257,A:AL,34,FALSE)-50),"-",(VLOOKUP($A257,'SegEnds_NonXtal_BW#'!$A:$Z,23,FALSE)+VLOOKUP($A257,A:AL,34,FALSE)-50))</f>
        <v>336</v>
      </c>
      <c r="AH257" s="3">
        <v>355</v>
      </c>
      <c r="AI257" s="3">
        <f>IF(ISERROR((VLOOKUP($A257,'SegEnds_NonXtal_BW#'!$A:$Z,24,FALSE)+VLOOKUP($A257,A:AL,34,FALSE)-50)),"-",(VLOOKUP($A257,'SegEnds_NonXtal_BW#'!$A:$Z,24,FALSE)+VLOOKUP($A257,A:AL,34,FALSE)-50))</f>
        <v>361</v>
      </c>
      <c r="AJ257" s="3">
        <f>IF(ISERROR(VLOOKUP($A257,'SegEnds_NonXtal_BW#'!$A:$Z,25,FALSE)+VLOOKUP($A257,A:AL,37,FALSE)-50),"-",(VLOOKUP($A257,'SegEnds_NonXtal_BW#'!$A:$Z,25,FALSE)+VLOOKUP($A257,A:AL,37,FALSE)-50))</f>
        <v>362</v>
      </c>
      <c r="AK257" s="3">
        <v>365</v>
      </c>
      <c r="AL257" s="3">
        <f>IF(ISERROR((VLOOKUP($A257,'SegEnds_NonXtal_BW#'!$A:$Z,26,FALSE)+VLOOKUP($A257,A:AL,37,FALSE)-50)),"-",(VLOOKUP($A257,'SegEnds_NonXtal_BW#'!$A:$Z,26,FALSE)+VLOOKUP($A257,A:AL,37,FALSE)-50))</f>
        <v>375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2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5</v>
      </c>
      <c r="AX257" s="3">
        <f t="shared" si="126"/>
        <v>80</v>
      </c>
      <c r="AY257" s="3">
        <f t="shared" si="127"/>
        <v>7</v>
      </c>
      <c r="AZ257" s="3">
        <f t="shared" si="128"/>
        <v>1</v>
      </c>
      <c r="BA257" s="3">
        <f>IF(ISERROR(LEN(VLOOKUP(A257,Seqs!A:E,2,FALSE))-AL257),"-",LEN(VLOOKUP(A257,Seqs!A:E,2,FALSE))-AL257)</f>
        <v>15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132</v>
      </c>
      <c r="BF257" s="3">
        <f t="shared" si="169"/>
        <v>37</v>
      </c>
    </row>
    <row r="258" spans="1:58" s="3" customFormat="1" x14ac:dyDescent="0.2">
      <c r="A258" s="3" t="s">
        <v>348</v>
      </c>
      <c r="B258" s="3" t="str">
        <f>LOWER(VLOOKUP(A258,Xtal_Templ!A:B,2,FALSE))</f>
        <v>p2ry1_human</v>
      </c>
      <c r="C258" s="3">
        <f>VLOOKUP($A258,'SegEnds_NonXtal_BW#'!$A:$Z,3,FALSE)+D258-50</f>
        <v>24</v>
      </c>
      <c r="D258" s="3">
        <v>44</v>
      </c>
      <c r="E258" s="3">
        <f>IF(ISERROR(VLOOKUP($A258,'SegEnds_NonXtal_BW#'!$A:$Z,4,FALSE)+VLOOKUP($A258,A:AL,4,FALSE)-50),"-",(VLOOKUP($A258,'SegEnds_NonXtal_BW#'!$A:$Z,4,FALSE)+VLOOKUP($A258,A:AL,4,FALSE)-50))</f>
        <v>54</v>
      </c>
      <c r="F258" s="3">
        <f t="shared" si="167"/>
        <v>55</v>
      </c>
      <c r="G258" s="3">
        <v>57</v>
      </c>
      <c r="H258" s="3">
        <f t="shared" si="168"/>
        <v>58</v>
      </c>
      <c r="I258" s="3">
        <f t="shared" si="168"/>
        <v>59</v>
      </c>
      <c r="J258" s="3">
        <v>72</v>
      </c>
      <c r="K258" s="3">
        <f>VLOOKUP($A258,'SegEnds_NonXtal_BW#'!$A:$Z,8,FALSE)+VLOOKUP($A258,A:AL,10,FALSE)-50</f>
        <v>88</v>
      </c>
      <c r="L258" s="3">
        <f t="shared" si="170"/>
        <v>91</v>
      </c>
      <c r="M258" s="3">
        <v>92</v>
      </c>
      <c r="N258" s="3">
        <f t="shared" si="171"/>
        <v>94</v>
      </c>
      <c r="O258" s="3">
        <f t="shared" si="172"/>
        <v>95</v>
      </c>
      <c r="P258" s="3">
        <v>124</v>
      </c>
      <c r="Q258" s="3">
        <f>VLOOKUP($A258,'SegEnds_NonXtal_BW#'!$A:$Z,12,FALSE)+VLOOKUP($A258,A:AL,16,FALSE)-50</f>
        <v>130</v>
      </c>
      <c r="R258" s="3">
        <f>IF(ISERROR(VLOOKUP($A258,'SegEnds_NonXtal_BW#'!$A:$Z,13,FALSE)+VLOOKUP($A258,A:AL,19,FALSE)-50),"-",VLOOKUP($A258,'SegEnds_NonXtal_BW#'!$A:$Z,13,FALSE)+VLOOKUP($A258,A:AL,19,FALSE)-50)</f>
        <v>131</v>
      </c>
      <c r="S258" s="3">
        <v>131</v>
      </c>
      <c r="T258" s="100">
        <f>IF(ISERROR(VLOOKUP($A258,'SegEnds_NonXtal_BW#'!$A:$Z,14,FALSE)+VLOOKUP($A258,A:AL,19,FALSE)-50),"-",(VLOOKUP($A258,'SegEnds_NonXtal_BW#'!$A:$Z,14,FALSE)+VLOOKUP($A258,A:AL,19,FALSE)-50))</f>
        <v>139</v>
      </c>
      <c r="U258" s="9">
        <f>IF(ISERROR(VLOOKUP($A258,'SegEnds_NonXtal_BW#'!$A:$Z,15,FALSE)+VLOOKUP($A258,A:AL,22,FALSE)-50),"-",VLOOKUP($A258,'SegEnds_NonXtal_BW#'!$A:$Z,15,FALSE)+VLOOKUP($A258,A:AL,22,FALSE)-50)</f>
        <v>140</v>
      </c>
      <c r="V258" s="3">
        <v>152</v>
      </c>
      <c r="W258" s="3">
        <f>IF(ISERROR(VLOOKUP($A258,'SegEnds_NonXtal_BW#'!$A:$Z,16,FALSE)+VLOOKUP($A258,A:AL,22,FALSE)-50),"-",(VLOOKUP($A258,'SegEnds_NonXtal_BW#'!$A:$Z,16,FALSE)+VLOOKUP($A258,A:AL,22,FALSE)-50))</f>
        <v>166</v>
      </c>
      <c r="X258" s="3">
        <f>IF(ISERROR(VLOOKUP($A258,'SegEnds_NonXtal_BW#'!$A:$Z,17,FALSE)+VLOOKUP($A258,A:AL,25,FALSE)-50),"-",(VLOOKUP($A258,'SegEnds_NonXtal_BW#'!$A:$Z,17,FALSE)+VLOOKUP($A258,A:AL,25,FALSE)-50))</f>
        <v>177</v>
      </c>
      <c r="Y258" s="3">
        <v>177</v>
      </c>
      <c r="Z258" s="3">
        <f t="shared" si="144"/>
        <v>179</v>
      </c>
      <c r="AA258" s="3">
        <f>IF(ISERROR(VLOOKUP($A258,'SegEnds_NonXtal_BW#'!$A:$Z,19,FALSE)+VLOOKUP($A258,A:AL,28,FALSE)-50),"-",(VLOOKUP($A258,'SegEnds_NonXtal_BW#'!$A:$Z,19,FALSE)+VLOOKUP($A258,A:AL,28,FALSE)-50))</f>
        <v>186</v>
      </c>
      <c r="AB258" s="3">
        <v>204</v>
      </c>
      <c r="AC258" s="3">
        <f>IF(ISERROR((VLOOKUP($A258,'SegEnds_NonXtal_BW#'!$A:$Z,20,FALSE)+VLOOKUP($A258,A:AL,28,FALSE)-50)),"-",(VLOOKUP($A258,'SegEnds_NonXtal_BW#'!$A:$Z,20,FALSE)+VLOOKUP($A258,A:AL,28,FALSE)-50))</f>
        <v>226</v>
      </c>
      <c r="AD258" s="3">
        <f>IF(ISERROR(VLOOKUP($A258,'SegEnds_NonXtal_BW#'!$A:$Z,21,FALSE)+VLOOKUP($A258,A:AL,31,FALSE)-50),"-",(VLOOKUP($A258,'SegEnds_NonXtal_BW#'!$A:$Z,21,FALSE)+VLOOKUP($A258,A:AL,31,FALSE)-50))</f>
        <v>233</v>
      </c>
      <c r="AE258" s="3">
        <v>254</v>
      </c>
      <c r="AF258" s="3">
        <f>IF(ISERROR((VLOOKUP($A258,'SegEnds_NonXtal_BW#'!$A:$Z,22,FALSE)+VLOOKUP($A258,A:AL,31,FALSE)-50)),"-",(VLOOKUP($A258,'SegEnds_NonXtal_BW#'!$A:$Z,22,FALSE)+VLOOKUP($A258,A:AL,31,FALSE)-50))</f>
        <v>268</v>
      </c>
      <c r="AG258" s="3">
        <f>IF(ISERROR(VLOOKUP($A258,'SegEnds_NonXtal_BW#'!$A:$Z,23,FALSE)+VLOOKUP($A258,A:AL,34,FALSE)-50),"-",(VLOOKUP($A258,'SegEnds_NonXtal_BW#'!$A:$Z,23,FALSE)+VLOOKUP($A258,A:AL,34,FALSE)-50))</f>
        <v>272</v>
      </c>
      <c r="AH258" s="3">
        <v>298</v>
      </c>
      <c r="AI258" s="3">
        <f>IF(ISERROR((VLOOKUP($A258,'SegEnds_NonXtal_BW#'!$A:$Z,24,FALSE)+VLOOKUP($A258,A:AL,34,FALSE)-50)),"-",(VLOOKUP($A258,'SegEnds_NonXtal_BW#'!$A:$Z,24,FALSE)+VLOOKUP($A258,A:AL,34,FALSE)-50))</f>
        <v>304</v>
      </c>
      <c r="AJ258" s="3">
        <f>IF(ISERROR(VLOOKUP($A258,'SegEnds_NonXtal_BW#'!$A:$Z,25,FALSE)+VLOOKUP($A258,A:AL,37,FALSE)-50),"-",(VLOOKUP($A258,'SegEnds_NonXtal_BW#'!$A:$Z,25,FALSE)+VLOOKUP($A258,A:AL,37,FALSE)-50))</f>
        <v>305</v>
      </c>
      <c r="AK258" s="3">
        <v>308</v>
      </c>
      <c r="AL258" s="3">
        <f>IF(ISERROR((VLOOKUP($A258,'SegEnds_NonXtal_BW#'!$A:$Z,26,FALSE)+VLOOKUP($A258,A:AL,37,FALSE)-50)),"-",(VLOOKUP($A258,'SegEnds_NonXtal_BW#'!$A:$Z,26,FALSE)+VLOOKUP($A258,A:AL,37,FALSE)-50))</f>
        <v>317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3</v>
      </c>
      <c r="AS258" s="3">
        <f t="shared" si="121"/>
        <v>1</v>
      </c>
      <c r="AT258" s="3">
        <f t="shared" si="122"/>
        <v>1</v>
      </c>
      <c r="AU258" s="3">
        <f t="shared" si="123"/>
        <v>1</v>
      </c>
      <c r="AV258" s="3">
        <f t="shared" si="124"/>
        <v>11</v>
      </c>
      <c r="AW258" s="3">
        <f t="shared" si="125"/>
        <v>7</v>
      </c>
      <c r="AX258" s="3">
        <f t="shared" si="126"/>
        <v>7</v>
      </c>
      <c r="AY258" s="3">
        <f t="shared" si="127"/>
        <v>4</v>
      </c>
      <c r="AZ258" s="3">
        <f t="shared" si="128"/>
        <v>1</v>
      </c>
      <c r="BA258" s="3">
        <f>IF(ISERROR(LEN(VLOOKUP(A258,Seqs!A:E,2,FALSE))-AL258),"-",LEN(VLOOKUP(A258,Seqs!A:E,2,FALSE))-AL258)</f>
        <v>11</v>
      </c>
      <c r="BB258" s="16">
        <f t="shared" si="129"/>
        <v>28</v>
      </c>
      <c r="BC258" s="9">
        <f t="shared" si="130"/>
        <v>21</v>
      </c>
      <c r="BD258" s="3">
        <f t="shared" si="131"/>
        <v>28</v>
      </c>
      <c r="BE258" s="3">
        <f t="shared" si="132"/>
        <v>50</v>
      </c>
      <c r="BF258" s="3">
        <f t="shared" si="169"/>
        <v>44</v>
      </c>
    </row>
    <row r="259" spans="1:58" s="3" customFormat="1" x14ac:dyDescent="0.2">
      <c r="A259" s="3" t="s">
        <v>174</v>
      </c>
      <c r="B259" s="3" t="str">
        <f>LOWER(VLOOKUP(A259,Xtal_Templ!A:B,2,FALSE))</f>
        <v>ccr7_human</v>
      </c>
      <c r="C259" s="3">
        <f>VLOOKUP($A259,'SegEnds_NonXtal_BW#'!$A:$Z,3,FALSE)+D259-50</f>
        <v>43</v>
      </c>
      <c r="D259" s="3">
        <v>64</v>
      </c>
      <c r="E259" s="3">
        <f>IF(ISERROR(VLOOKUP($A259,'SegEnds_NonXtal_BW#'!$A:$Z,4,FALSE)+VLOOKUP($A259,A:AL,4,FALSE)-50),"-",(VLOOKUP($A259,'SegEnds_NonXtal_BW#'!$A:$Z,4,FALSE)+VLOOKUP($A259,A:AL,4,FALSE)-50))</f>
        <v>74</v>
      </c>
      <c r="F259" s="3">
        <f t="shared" si="167"/>
        <v>75</v>
      </c>
      <c r="G259" s="3">
        <v>77</v>
      </c>
      <c r="H259" s="3">
        <f t="shared" si="168"/>
        <v>78</v>
      </c>
      <c r="I259" s="3">
        <f t="shared" si="168"/>
        <v>79</v>
      </c>
      <c r="J259" s="3">
        <v>92</v>
      </c>
      <c r="K259" s="3">
        <f>VLOOKUP($A259,'SegEnds_NonXtal_BW#'!$A:$Z,8,FALSE)+VLOOKUP($A259,A:AL,10,FALSE)-50</f>
        <v>108</v>
      </c>
      <c r="L259" s="3">
        <f t="shared" si="170"/>
        <v>110</v>
      </c>
      <c r="M259" s="3">
        <v>111</v>
      </c>
      <c r="N259" s="3">
        <f t="shared" si="171"/>
        <v>113</v>
      </c>
      <c r="O259" s="3">
        <f t="shared" si="172"/>
        <v>114</v>
      </c>
      <c r="P259" s="3">
        <v>143</v>
      </c>
      <c r="Q259" s="3">
        <f>VLOOKUP($A259,'SegEnds_NonXtal_BW#'!$A:$Z,12,FALSE)+VLOOKUP($A259,A:AL,16,FALSE)-50</f>
        <v>149</v>
      </c>
      <c r="R259" s="3">
        <f>IF(ISERROR(VLOOKUP($A259,'SegEnds_NonXtal_BW#'!$A:$Z,13,FALSE)+VLOOKUP($A259,A:AL,19,FALSE)-50),"-",VLOOKUP($A259,'SegEnds_NonXtal_BW#'!$A:$Z,13,FALSE)+VLOOKUP($A259,A:AL,19,FALSE)-50)</f>
        <v>150</v>
      </c>
      <c r="S259" s="3">
        <v>150</v>
      </c>
      <c r="T259" s="100">
        <f>IF(ISERROR(VLOOKUP($A259,'SegEnds_NonXtal_BW#'!$A:$Z,14,FALSE)+VLOOKUP($A259,A:AL,19,FALSE)-50),"-",(VLOOKUP($A259,'SegEnds_NonXtal_BW#'!$A:$Z,14,FALSE)+VLOOKUP($A259,A:AL,19,FALSE)-50))</f>
        <v>158</v>
      </c>
      <c r="U259" s="9">
        <f>IF(ISERROR(VLOOKUP($A259,'SegEnds_NonXtal_BW#'!$A:$Z,15,FALSE)+VLOOKUP($A259,A:AL,22,FALSE)-50),"-",VLOOKUP($A259,'SegEnds_NonXtal_BW#'!$A:$Z,15,FALSE)+VLOOKUP($A259,A:AL,22,FALSE)-50)</f>
        <v>160</v>
      </c>
      <c r="V259" s="3">
        <v>172</v>
      </c>
      <c r="W259" s="3">
        <f>IF(ISERROR(VLOOKUP($A259,'SegEnds_NonXtal_BW#'!$A:$Z,16,FALSE)+VLOOKUP($A259,A:AL,22,FALSE)-50),"-",(VLOOKUP($A259,'SegEnds_NonXtal_BW#'!$A:$Z,16,FALSE)+VLOOKUP($A259,A:AL,22,FALSE)-50))</f>
        <v>186</v>
      </c>
      <c r="X259" s="3">
        <f>IF(ISERROR(VLOOKUP($A259,'SegEnds_NonXtal_BW#'!$A:$Z,17,FALSE)+VLOOKUP($A259,A:AL,25,FALSE)-50),"-",(VLOOKUP($A259,'SegEnds_NonXtal_BW#'!$A:$Z,17,FALSE)+VLOOKUP($A259,A:AL,25,FALSE)-50))</f>
        <v>197</v>
      </c>
      <c r="Y259" s="3">
        <v>197</v>
      </c>
      <c r="Z259" s="3">
        <f t="shared" si="144"/>
        <v>199</v>
      </c>
      <c r="AA259" s="3">
        <f>IF(ISERROR(VLOOKUP($A259,'SegEnds_NonXtal_BW#'!$A:$Z,19,FALSE)+VLOOKUP($A259,A:AL,28,FALSE)-50),"-",(VLOOKUP($A259,'SegEnds_NonXtal_BW#'!$A:$Z,19,FALSE)+VLOOKUP($A259,A:AL,28,FALSE)-50))</f>
        <v>209</v>
      </c>
      <c r="AB259" s="3">
        <v>226</v>
      </c>
      <c r="AC259" s="3">
        <f>IF(ISERROR((VLOOKUP($A259,'SegEnds_NonXtal_BW#'!$A:$Z,20,FALSE)+VLOOKUP($A259,A:AL,28,FALSE)-50)),"-",(VLOOKUP($A259,'SegEnds_NonXtal_BW#'!$A:$Z,20,FALSE)+VLOOKUP($A259,A:AL,28,FALSE)-50))</f>
        <v>244</v>
      </c>
      <c r="AD259" s="3">
        <f>IF(ISERROR(VLOOKUP($A259,'SegEnds_NonXtal_BW#'!$A:$Z,21,FALSE)+VLOOKUP($A259,A:AL,31,FALSE)-50),"-",(VLOOKUP($A259,'SegEnds_NonXtal_BW#'!$A:$Z,21,FALSE)+VLOOKUP($A259,A:AL,31,FALSE)-50))</f>
        <v>249</v>
      </c>
      <c r="AE259" s="3">
        <v>269</v>
      </c>
      <c r="AF259" s="3">
        <f>IF(ISERROR((VLOOKUP($A259,'SegEnds_NonXtal_BW#'!$A:$Z,22,FALSE)+VLOOKUP($A259,A:AL,31,FALSE)-50)),"-",(VLOOKUP($A259,'SegEnds_NonXtal_BW#'!$A:$Z,22,FALSE)+VLOOKUP($A259,A:AL,31,FALSE)-50))</f>
        <v>284</v>
      </c>
      <c r="AG259" s="3">
        <f>IF(ISERROR(VLOOKUP($A259,'SegEnds_NonXtal_BW#'!$A:$Z,23,FALSE)+VLOOKUP($A259,A:AL,34,FALSE)-50),"-",(VLOOKUP($A259,'SegEnds_NonXtal_BW#'!$A:$Z,23,FALSE)+VLOOKUP($A259,A:AL,34,FALSE)-50))</f>
        <v>287</v>
      </c>
      <c r="AH259" s="3">
        <v>313</v>
      </c>
      <c r="AI259" s="3">
        <f>IF(ISERROR((VLOOKUP($A259,'SegEnds_NonXtal_BW#'!$A:$Z,24,FALSE)+VLOOKUP($A259,A:AL,34,FALSE)-50)),"-",(VLOOKUP($A259,'SegEnds_NonXtal_BW#'!$A:$Z,24,FALSE)+VLOOKUP($A259,A:AL,34,FALSE)-50))</f>
        <v>319</v>
      </c>
      <c r="AJ259" s="3">
        <f>IF(ISERROR(VLOOKUP($A259,'SegEnds_NonXtal_BW#'!$A:$Z,25,FALSE)+VLOOKUP($A259,A:AL,37,FALSE)-50),"-",(VLOOKUP($A259,'SegEnds_NonXtal_BW#'!$A:$Z,25,FALSE)+VLOOKUP($A259,A:AL,37,FALSE)-50))</f>
        <v>320</v>
      </c>
      <c r="AK259" s="3">
        <v>323</v>
      </c>
      <c r="AL259" s="3">
        <f>IF(ISERROR((VLOOKUP($A259,'SegEnds_NonXtal_BW#'!$A:$Z,26,FALSE)+VLOOKUP($A259,A:AL,37,FALSE)-50)),"-",(VLOOKUP($A259,'SegEnds_NonXtal_BW#'!$A:$Z,26,FALSE)+VLOOKUP($A259,A:AL,37,FALSE)-50))</f>
        <v>332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2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11</v>
      </c>
      <c r="AW259" s="3">
        <f t="shared" si="125"/>
        <v>10</v>
      </c>
      <c r="AX259" s="3">
        <f t="shared" si="126"/>
        <v>5</v>
      </c>
      <c r="AY259" s="3">
        <f t="shared" si="127"/>
        <v>3</v>
      </c>
      <c r="AZ259" s="3">
        <f t="shared" si="128"/>
        <v>1</v>
      </c>
      <c r="BA259" s="3">
        <f>IF(ISERROR(LEN(VLOOKUP(A259,Seqs!A:E,2,FALSE))-AL259),"-",LEN(VLOOKUP(A259,Seqs!A:E,2,FALSE))-AL259)</f>
        <v>42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175</v>
      </c>
      <c r="B260" s="3" t="str">
        <f>LOWER(VLOOKUP(A260,Xtal_Templ!A:B,2,FALSE))</f>
        <v>ccr7_human</v>
      </c>
      <c r="C260" s="3">
        <f>VLOOKUP($A260,'SegEnds_NonXtal_BW#'!$A:$Z,3,FALSE)+D260-50</f>
        <v>55</v>
      </c>
      <c r="D260" s="3">
        <v>76</v>
      </c>
      <c r="E260" s="3">
        <f>IF(ISERROR(VLOOKUP($A260,'SegEnds_NonXtal_BW#'!$A:$Z,4,FALSE)+VLOOKUP($A260,A:AL,4,FALSE)-50),"-",(VLOOKUP($A260,'SegEnds_NonXtal_BW#'!$A:$Z,4,FALSE)+VLOOKUP($A260,A:AL,4,FALSE)-50))</f>
        <v>86</v>
      </c>
      <c r="F260" s="3">
        <f t="shared" si="167"/>
        <v>87</v>
      </c>
      <c r="G260" s="3">
        <v>89</v>
      </c>
      <c r="H260" s="3">
        <f t="shared" si="168"/>
        <v>90</v>
      </c>
      <c r="I260" s="3">
        <f t="shared" si="168"/>
        <v>91</v>
      </c>
      <c r="J260" s="3">
        <v>104</v>
      </c>
      <c r="K260" s="3">
        <f>VLOOKUP($A260,'SegEnds_NonXtal_BW#'!$A:$Z,8,FALSE)+VLOOKUP($A260,A:AL,10,FALSE)-50</f>
        <v>120</v>
      </c>
      <c r="L260" s="3">
        <f t="shared" si="170"/>
        <v>121</v>
      </c>
      <c r="M260" s="3">
        <v>122</v>
      </c>
      <c r="N260" s="3">
        <f t="shared" si="171"/>
        <v>124</v>
      </c>
      <c r="O260" s="3">
        <f t="shared" si="172"/>
        <v>125</v>
      </c>
      <c r="P260" s="3">
        <v>154</v>
      </c>
      <c r="Q260" s="3">
        <f>VLOOKUP($A260,'SegEnds_NonXtal_BW#'!$A:$Z,12,FALSE)+VLOOKUP($A260,A:AL,16,FALSE)-50</f>
        <v>160</v>
      </c>
      <c r="R260" s="3">
        <f>IF(ISERROR(VLOOKUP($A260,'SegEnds_NonXtal_BW#'!$A:$Z,13,FALSE)+VLOOKUP($A260,A:AL,19,FALSE)-50),"-",VLOOKUP($A260,'SegEnds_NonXtal_BW#'!$A:$Z,13,FALSE)+VLOOKUP($A260,A:AL,19,FALSE)-50)</f>
        <v>161</v>
      </c>
      <c r="S260" s="3">
        <v>161</v>
      </c>
      <c r="T260" s="100">
        <f>IF(ISERROR(VLOOKUP($A260,'SegEnds_NonXtal_BW#'!$A:$Z,14,FALSE)+VLOOKUP($A260,A:AL,19,FALSE)-50),"-",(VLOOKUP($A260,'SegEnds_NonXtal_BW#'!$A:$Z,14,FALSE)+VLOOKUP($A260,A:AL,19,FALSE)-50))</f>
        <v>169</v>
      </c>
      <c r="U260" s="9">
        <f>IF(ISERROR(VLOOKUP($A260,'SegEnds_NonXtal_BW#'!$A:$Z,15,FALSE)+VLOOKUP($A260,A:AL,22,FALSE)-50),"-",VLOOKUP($A260,'SegEnds_NonXtal_BW#'!$A:$Z,15,FALSE)+VLOOKUP($A260,A:AL,22,FALSE)-50)</f>
        <v>171</v>
      </c>
      <c r="V260" s="3">
        <v>183</v>
      </c>
      <c r="W260" s="3">
        <f>IF(ISERROR(VLOOKUP($A260,'SegEnds_NonXtal_BW#'!$A:$Z,16,FALSE)+VLOOKUP($A260,A:AL,22,FALSE)-50),"-",(VLOOKUP($A260,'SegEnds_NonXtal_BW#'!$A:$Z,16,FALSE)+VLOOKUP($A260,A:AL,22,FALSE)-50))</f>
        <v>197</v>
      </c>
      <c r="X260" s="3">
        <f>IF(ISERROR(VLOOKUP($A260,'SegEnds_NonXtal_BW#'!$A:$Z,17,FALSE)+VLOOKUP($A260,A:AL,25,FALSE)-50),"-",(VLOOKUP($A260,'SegEnds_NonXtal_BW#'!$A:$Z,17,FALSE)+VLOOKUP($A260,A:AL,25,FALSE)-50))</f>
        <v>210</v>
      </c>
      <c r="Y260" s="3">
        <v>210</v>
      </c>
      <c r="Z260" s="3">
        <f t="shared" si="144"/>
        <v>212</v>
      </c>
      <c r="AA260" s="3">
        <f>IF(ISERROR(VLOOKUP($A260,'SegEnds_NonXtal_BW#'!$A:$Z,19,FALSE)+VLOOKUP($A260,A:AL,28,FALSE)-50),"-",(VLOOKUP($A260,'SegEnds_NonXtal_BW#'!$A:$Z,19,FALSE)+VLOOKUP($A260,A:AL,28,FALSE)-50))</f>
        <v>218</v>
      </c>
      <c r="AB260" s="3">
        <v>235</v>
      </c>
      <c r="AC260" s="3">
        <f>IF(ISERROR((VLOOKUP($A260,'SegEnds_NonXtal_BW#'!$A:$Z,20,FALSE)+VLOOKUP($A260,A:AL,28,FALSE)-50)),"-",(VLOOKUP($A260,'SegEnds_NonXtal_BW#'!$A:$Z,20,FALSE)+VLOOKUP($A260,A:AL,28,FALSE)-50))</f>
        <v>253</v>
      </c>
      <c r="AD260" s="3">
        <f>IF(ISERROR(VLOOKUP($A260,'SegEnds_NonXtal_BW#'!$A:$Z,21,FALSE)+VLOOKUP($A260,A:AL,31,FALSE)-50),"-",(VLOOKUP($A260,'SegEnds_NonXtal_BW#'!$A:$Z,21,FALSE)+VLOOKUP($A260,A:AL,31,FALSE)-50))</f>
        <v>258</v>
      </c>
      <c r="AE260" s="3">
        <v>278</v>
      </c>
      <c r="AF260" s="3">
        <f>IF(ISERROR((VLOOKUP($A260,'SegEnds_NonXtal_BW#'!$A:$Z,22,FALSE)+VLOOKUP($A260,A:AL,31,FALSE)-50)),"-",(VLOOKUP($A260,'SegEnds_NonXtal_BW#'!$A:$Z,22,FALSE)+VLOOKUP($A260,A:AL,31,FALSE)-50))</f>
        <v>293</v>
      </c>
      <c r="AG260" s="3">
        <f>IF(ISERROR(VLOOKUP($A260,'SegEnds_NonXtal_BW#'!$A:$Z,23,FALSE)+VLOOKUP($A260,A:AL,34,FALSE)-50),"-",(VLOOKUP($A260,'SegEnds_NonXtal_BW#'!$A:$Z,23,FALSE)+VLOOKUP($A260,A:AL,34,FALSE)-50))</f>
        <v>297</v>
      </c>
      <c r="AH260" s="3">
        <v>323</v>
      </c>
      <c r="AI260" s="3">
        <f>IF(ISERROR((VLOOKUP($A260,'SegEnds_NonXtal_BW#'!$A:$Z,24,FALSE)+VLOOKUP($A260,A:AL,34,FALSE)-50)),"-",(VLOOKUP($A260,'SegEnds_NonXtal_BW#'!$A:$Z,24,FALSE)+VLOOKUP($A260,A:AL,34,FALSE)-50))</f>
        <v>329</v>
      </c>
      <c r="AJ260" s="3">
        <f>IF(ISERROR(VLOOKUP($A260,'SegEnds_NonXtal_BW#'!$A:$Z,25,FALSE)+VLOOKUP($A260,A:AL,37,FALSE)-50),"-",(VLOOKUP($A260,'SegEnds_NonXtal_BW#'!$A:$Z,25,FALSE)+VLOOKUP($A260,A:AL,37,FALSE)-50))</f>
        <v>330</v>
      </c>
      <c r="AK260" s="3">
        <v>333</v>
      </c>
      <c r="AL260" s="3">
        <f>IF(ISERROR((VLOOKUP($A260,'SegEnds_NonXtal_BW#'!$A:$Z,26,FALSE)+VLOOKUP($A260,A:AL,37,FALSE)-50)),"-",(VLOOKUP($A260,'SegEnds_NonXtal_BW#'!$A:$Z,26,FALSE)+VLOOKUP($A260,A:AL,37,FALSE)-50))</f>
        <v>342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si="118"/>
        <v>1</v>
      </c>
      <c r="AQ260" s="3">
        <f t="shared" si="119"/>
        <v>1</v>
      </c>
      <c r="AR260" s="3">
        <f t="shared" si="120"/>
        <v>1</v>
      </c>
      <c r="AS260" s="3">
        <f t="shared" si="121"/>
        <v>1</v>
      </c>
      <c r="AT260" s="3">
        <f t="shared" si="122"/>
        <v>1</v>
      </c>
      <c r="AU260" s="3">
        <f t="shared" si="123"/>
        <v>2</v>
      </c>
      <c r="AV260" s="3">
        <f t="shared" si="124"/>
        <v>13</v>
      </c>
      <c r="AW260" s="3">
        <f t="shared" si="125"/>
        <v>6</v>
      </c>
      <c r="AX260" s="3">
        <f t="shared" si="126"/>
        <v>5</v>
      </c>
      <c r="AY260" s="3">
        <f t="shared" si="127"/>
        <v>4</v>
      </c>
      <c r="AZ260" s="3">
        <f t="shared" si="128"/>
        <v>1</v>
      </c>
      <c r="BA260" s="3">
        <f>IF(ISERROR(LEN(VLOOKUP(A260,Seqs!A:E,2,FALSE))-AL260),"-",LEN(VLOOKUP(A260,Seqs!A:E,2,FALSE))-AL260)</f>
        <v>36</v>
      </c>
      <c r="BB260" s="16">
        <f t="shared" si="129"/>
        <v>28</v>
      </c>
      <c r="BC260" s="9">
        <f t="shared" si="130"/>
        <v>22</v>
      </c>
      <c r="BD260" s="3">
        <f t="shared" si="131"/>
        <v>28</v>
      </c>
      <c r="BE260" s="3">
        <f t="shared" si="132"/>
        <v>43</v>
      </c>
    </row>
    <row r="261" spans="1:58" s="3" customFormat="1" x14ac:dyDescent="0.2">
      <c r="A261" s="3" t="s">
        <v>177</v>
      </c>
      <c r="B261" s="3" t="str">
        <f>LOWER(VLOOKUP(A261,Xtal_Templ!A:B,2,FALSE))</f>
        <v>ccr9_human</v>
      </c>
      <c r="C261" s="3">
        <f>VLOOKUP($A261,'SegEnds_NonXtal_BW#'!$A:$Z,3,FALSE)+D261-50</f>
        <v>43</v>
      </c>
      <c r="D261" s="3">
        <v>66</v>
      </c>
      <c r="E261" s="3">
        <f>IF(ISERROR(VLOOKUP($A261,'SegEnds_NonXtal_BW#'!$A:$Z,4,FALSE)+VLOOKUP($A261,A:AL,4,FALSE)-50),"-",(VLOOKUP($A261,'SegEnds_NonXtal_BW#'!$A:$Z,4,FALSE)+VLOOKUP($A261,A:AL,4,FALSE)-50))</f>
        <v>76</v>
      </c>
      <c r="F261" s="3">
        <f t="shared" si="167"/>
        <v>77</v>
      </c>
      <c r="G261" s="3">
        <v>79</v>
      </c>
      <c r="H261" s="3">
        <f t="shared" si="168"/>
        <v>80</v>
      </c>
      <c r="I261" s="3">
        <f t="shared" si="168"/>
        <v>81</v>
      </c>
      <c r="J261" s="3">
        <v>94</v>
      </c>
      <c r="K261" s="3">
        <f>VLOOKUP($A261,'SegEnds_NonXtal_BW#'!$A:$Z,8,FALSE)+VLOOKUP($A261,A:AL,10,FALSE)-50</f>
        <v>110</v>
      </c>
      <c r="L261" s="3">
        <f t="shared" si="170"/>
        <v>111</v>
      </c>
      <c r="M261" s="3">
        <v>112</v>
      </c>
      <c r="N261" s="3">
        <f t="shared" si="171"/>
        <v>114</v>
      </c>
      <c r="O261" s="3">
        <f t="shared" si="172"/>
        <v>115</v>
      </c>
      <c r="P261" s="3">
        <v>144</v>
      </c>
      <c r="Q261" s="3">
        <f>VLOOKUP($A261,'SegEnds_NonXtal_BW#'!$A:$Z,12,FALSE)+VLOOKUP($A261,A:AL,16,FALSE)-50</f>
        <v>150</v>
      </c>
      <c r="R261" s="3">
        <f>IF(ISERROR(VLOOKUP($A261,'SegEnds_NonXtal_BW#'!$A:$Z,13,FALSE)+VLOOKUP($A261,A:AL,19,FALSE)-50),"-",VLOOKUP($A261,'SegEnds_NonXtal_BW#'!$A:$Z,13,FALSE)+VLOOKUP($A261,A:AL,19,FALSE)-50)</f>
        <v>151</v>
      </c>
      <c r="S261" s="3">
        <v>151</v>
      </c>
      <c r="T261" s="100">
        <f>IF(ISERROR(VLOOKUP($A261,'SegEnds_NonXtal_BW#'!$A:$Z,14,FALSE)+VLOOKUP($A261,A:AL,19,FALSE)-50),"-",(VLOOKUP($A261,'SegEnds_NonXtal_BW#'!$A:$Z,14,FALSE)+VLOOKUP($A261,A:AL,19,FALSE)-50))</f>
        <v>157</v>
      </c>
      <c r="U261" s="9">
        <f>IF(ISERROR(VLOOKUP($A261,'SegEnds_NonXtal_BW#'!$A:$Z,15,FALSE)+VLOOKUP($A261,A:AL,22,FALSE)-50),"-",VLOOKUP($A261,'SegEnds_NonXtal_BW#'!$A:$Z,15,FALSE)+VLOOKUP($A261,A:AL,22,FALSE)-50)</f>
        <v>158</v>
      </c>
      <c r="V261" s="3">
        <v>173</v>
      </c>
      <c r="W261" s="3">
        <f>IF(ISERROR(VLOOKUP($A261,'SegEnds_NonXtal_BW#'!$A:$Z,16,FALSE)+VLOOKUP($A261,A:AL,22,FALSE)-50),"-",(VLOOKUP($A261,'SegEnds_NonXtal_BW#'!$A:$Z,16,FALSE)+VLOOKUP($A261,A:AL,22,FALSE)-50))</f>
        <v>187</v>
      </c>
      <c r="X261" s="3">
        <f>IF(ISERROR(VLOOKUP($A261,'SegEnds_NonXtal_BW#'!$A:$Z,17,FALSE)+VLOOKUP($A261,A:AL,25,FALSE)-50),"-",(VLOOKUP($A261,'SegEnds_NonXtal_BW#'!$A:$Z,17,FALSE)+VLOOKUP($A261,A:AL,25,FALSE)-50))</f>
        <v>198</v>
      </c>
      <c r="Y261" s="3">
        <v>198</v>
      </c>
      <c r="Z261" s="3">
        <f t="shared" si="144"/>
        <v>200</v>
      </c>
      <c r="AA261" s="3">
        <f>IF(ISERROR(VLOOKUP($A261,'SegEnds_NonXtal_BW#'!$A:$Z,19,FALSE)+VLOOKUP($A261,A:AL,28,FALSE)-50),"-",(VLOOKUP($A261,'SegEnds_NonXtal_BW#'!$A:$Z,19,FALSE)+VLOOKUP($A261,A:AL,28,FALSE)-50))</f>
        <v>209</v>
      </c>
      <c r="AB261" s="3">
        <v>226</v>
      </c>
      <c r="AC261" s="3">
        <f>IF(ISERROR((VLOOKUP($A261,'SegEnds_NonXtal_BW#'!$A:$Z,20,FALSE)+VLOOKUP($A261,A:AL,28,FALSE)-50)),"-",(VLOOKUP($A261,'SegEnds_NonXtal_BW#'!$A:$Z,20,FALSE)+VLOOKUP($A261,A:AL,28,FALSE)-50))</f>
        <v>244</v>
      </c>
      <c r="AD261" s="3">
        <f>IF(ISERROR(VLOOKUP($A261,'SegEnds_NonXtal_BW#'!$A:$Z,21,FALSE)+VLOOKUP($A261,A:AL,31,FALSE)-50),"-",(VLOOKUP($A261,'SegEnds_NonXtal_BW#'!$A:$Z,21,FALSE)+VLOOKUP($A261,A:AL,31,FALSE)-50))</f>
        <v>249</v>
      </c>
      <c r="AE261" s="3">
        <v>269</v>
      </c>
      <c r="AF261" s="3">
        <f>IF(ISERROR((VLOOKUP($A261,'SegEnds_NonXtal_BW#'!$A:$Z,22,FALSE)+VLOOKUP($A261,A:AL,31,FALSE)-50)),"-",(VLOOKUP($A261,'SegEnds_NonXtal_BW#'!$A:$Z,22,FALSE)+VLOOKUP($A261,A:AL,31,FALSE)-50))</f>
        <v>284</v>
      </c>
      <c r="AG261" s="3">
        <f>IF(ISERROR(VLOOKUP($A261,'SegEnds_NonXtal_BW#'!$A:$Z,23,FALSE)+VLOOKUP($A261,A:AL,34,FALSE)-50),"-",(VLOOKUP($A261,'SegEnds_NonXtal_BW#'!$A:$Z,23,FALSE)+VLOOKUP($A261,A:AL,34,FALSE)-50))</f>
        <v>288</v>
      </c>
      <c r="AH261" s="3">
        <v>314</v>
      </c>
      <c r="AI261" s="3">
        <f>IF(ISERROR((VLOOKUP($A261,'SegEnds_NonXtal_BW#'!$A:$Z,24,FALSE)+VLOOKUP($A261,A:AL,34,FALSE)-50)),"-",(VLOOKUP($A261,'SegEnds_NonXtal_BW#'!$A:$Z,24,FALSE)+VLOOKUP($A261,A:AL,34,FALSE)-50))</f>
        <v>320</v>
      </c>
      <c r="AJ261" s="3">
        <f>IF(ISERROR(VLOOKUP($A261,'SegEnds_NonXtal_BW#'!$A:$Z,25,FALSE)+VLOOKUP($A261,A:AL,37,FALSE)-50),"-",(VLOOKUP($A261,'SegEnds_NonXtal_BW#'!$A:$Z,25,FALSE)+VLOOKUP($A261,A:AL,37,FALSE)-50))</f>
        <v>321</v>
      </c>
      <c r="AK261" s="3">
        <v>324</v>
      </c>
      <c r="AL261" s="3">
        <f>IF(ISERROR((VLOOKUP($A261,'SegEnds_NonXtal_BW#'!$A:$Z,26,FALSE)+VLOOKUP($A261,A:AL,37,FALSE)-50)),"-",(VLOOKUP($A261,'SegEnds_NonXtal_BW#'!$A:$Z,26,FALSE)+VLOOKUP($A261,A:AL,37,FALSE)-50))</f>
        <v>341</v>
      </c>
      <c r="AM261" s="28" t="str">
        <f>VLOOKUP(A261,Classification!A:B,2,FALSE)</f>
        <v>A</v>
      </c>
      <c r="AN261" s="28" t="b">
        <f t="shared" si="133"/>
        <v>1</v>
      </c>
      <c r="AO261" s="3" t="str">
        <f>IF(ISERROR(MATCH(A261,'SegEnds_Xtal_Prot#'!B:B, 0)), "NoXtal", "Xtal")</f>
        <v>Xtal</v>
      </c>
      <c r="AP261" s="3">
        <f t="shared" ref="AP261:AP325" si="173">IF(ISERROR(F261-E261),"-",F261-E261)</f>
        <v>1</v>
      </c>
      <c r="AQ261" s="3">
        <f t="shared" ref="AQ261:AQ325" si="174">IF(ISERROR(I261-H261),"-",I261-H261)</f>
        <v>1</v>
      </c>
      <c r="AR261" s="3">
        <f t="shared" ref="AR261:AR325" si="175">IF(ISERROR(L261-K261),"-",L261-K261)</f>
        <v>1</v>
      </c>
      <c r="AS261" s="3">
        <f t="shared" ref="AS261:AS325" si="176">IF(ISERROR(O261-N261),"-",O261-N261)</f>
        <v>1</v>
      </c>
      <c r="AT261" s="3">
        <f t="shared" ref="AT261:AT325" si="177">IF(ISERROR(R261-Q261),"-",R261-Q261)</f>
        <v>1</v>
      </c>
      <c r="AU261" s="3">
        <f t="shared" ref="AU261:AU325" si="178">IF(ISERROR(U261-T261),"-",U261-T261)</f>
        <v>1</v>
      </c>
      <c r="AV261" s="3">
        <f t="shared" ref="AV261:AV325" si="179">IF(ISERROR(X261-W261),"-",X261-W261)</f>
        <v>11</v>
      </c>
      <c r="AW261" s="3">
        <f t="shared" ref="AW261:AW325" si="180">IF(ISERROR(AA261-Z261),"-",AA261-Z261)</f>
        <v>9</v>
      </c>
      <c r="AX261" s="3">
        <f t="shared" ref="AX261:AX325" si="181">IF(ISERROR(AD261-AC261),"-",AD261-AC261)</f>
        <v>5</v>
      </c>
      <c r="AY261" s="3">
        <f t="shared" ref="AY261:AY325" si="182">IF(ISERROR(AG261-AF261),"-",AG261-AF261)</f>
        <v>4</v>
      </c>
      <c r="AZ261" s="3">
        <f t="shared" ref="AZ261:AZ325" si="183">IF(ISERROR(AJ261-AI261),"-",AJ261-AI261)</f>
        <v>1</v>
      </c>
      <c r="BA261" s="3">
        <f>IF(ISERROR(LEN(VLOOKUP(A261,Seqs!A:E,2,FALSE))-AL261),"-",LEN(VLOOKUP(A261,Seqs!A:E,2,FALSE))-AL261)</f>
        <v>28</v>
      </c>
      <c r="BB261" s="16">
        <f t="shared" ref="BB261:BB325" si="184">J261-D261</f>
        <v>28</v>
      </c>
      <c r="BC261" s="9">
        <f t="shared" ref="BC261:BC325" si="185">IF(ISERROR(V261-S261),"-",V261-S261)</f>
        <v>22</v>
      </c>
      <c r="BD261" s="3">
        <f t="shared" ref="BD261:BD325" si="186">J261-D261</f>
        <v>28</v>
      </c>
      <c r="BE261" s="3">
        <f t="shared" ref="BE261:BE325" si="187">AE261-AB261</f>
        <v>43</v>
      </c>
    </row>
    <row r="262" spans="1:58" s="3" customFormat="1" x14ac:dyDescent="0.2">
      <c r="A262" s="3" t="s">
        <v>189</v>
      </c>
      <c r="B262" s="3" t="str">
        <f>LOWER(VLOOKUP(A262,Xtal_Templ!A:B,2,FALSE))</f>
        <v>ccr9_human</v>
      </c>
      <c r="C262" s="3">
        <f>VLOOKUP($A262,'SegEnds_NonXtal_BW#'!$A:$Z,3,FALSE)+D262-50</f>
        <v>26</v>
      </c>
      <c r="D262" s="3">
        <v>49</v>
      </c>
      <c r="E262" s="3">
        <f>IF(ISERROR(VLOOKUP($A262,'SegEnds_NonXtal_BW#'!$A:$Z,4,FALSE)+VLOOKUP($A262,A:AL,4,FALSE)-50),"-",(VLOOKUP($A262,'SegEnds_NonXtal_BW#'!$A:$Z,4,FALSE)+VLOOKUP($A262,A:AL,4,FALSE)-50))</f>
        <v>59</v>
      </c>
      <c r="F262" s="3">
        <f t="shared" si="167"/>
        <v>60</v>
      </c>
      <c r="G262" s="3">
        <v>62</v>
      </c>
      <c r="H262" s="3">
        <f t="shared" si="168"/>
        <v>63</v>
      </c>
      <c r="I262" s="3">
        <f t="shared" si="168"/>
        <v>64</v>
      </c>
      <c r="J262" s="3">
        <v>77</v>
      </c>
      <c r="K262" s="3">
        <f>VLOOKUP($A262,'SegEnds_NonXtal_BW#'!$A:$Z,8,FALSE)+VLOOKUP($A262,A:AL,10,FALSE)-50</f>
        <v>93</v>
      </c>
      <c r="L262" s="3">
        <f t="shared" si="170"/>
        <v>94</v>
      </c>
      <c r="M262" s="3">
        <v>95</v>
      </c>
      <c r="N262" s="3">
        <f t="shared" si="171"/>
        <v>97</v>
      </c>
      <c r="O262" s="3">
        <f t="shared" si="172"/>
        <v>98</v>
      </c>
      <c r="P262" s="3">
        <v>127</v>
      </c>
      <c r="Q262" s="3">
        <f>VLOOKUP($A262,'SegEnds_NonXtal_BW#'!$A:$Z,12,FALSE)+VLOOKUP($A262,A:AL,16,FALSE)-50</f>
        <v>133</v>
      </c>
      <c r="R262" s="3">
        <f>IF(ISERROR(VLOOKUP($A262,'SegEnds_NonXtal_BW#'!$A:$Z,13,FALSE)+VLOOKUP($A262,A:AL,19,FALSE)-50),"-",VLOOKUP($A262,'SegEnds_NonXtal_BW#'!$A:$Z,13,FALSE)+VLOOKUP($A262,A:AL,19,FALSE)-50)</f>
        <v>134</v>
      </c>
      <c r="S262" s="3">
        <v>134</v>
      </c>
      <c r="T262" s="100">
        <f>IF(ISERROR(VLOOKUP($A262,'SegEnds_NonXtal_BW#'!$A:$Z,14,FALSE)+VLOOKUP($A262,A:AL,19,FALSE)-50),"-",(VLOOKUP($A262,'SegEnds_NonXtal_BW#'!$A:$Z,14,FALSE)+VLOOKUP($A262,A:AL,19,FALSE)-50))</f>
        <v>142</v>
      </c>
      <c r="U262" s="9">
        <f>IF(ISERROR(VLOOKUP($A262,'SegEnds_NonXtal_BW#'!$A:$Z,15,FALSE)+VLOOKUP($A262,A:AL,22,FALSE)-50),"-",VLOOKUP($A262,'SegEnds_NonXtal_BW#'!$A:$Z,15,FALSE)+VLOOKUP($A262,A:AL,22,FALSE)-50)</f>
        <v>144</v>
      </c>
      <c r="V262" s="3">
        <v>156</v>
      </c>
      <c r="W262" s="3">
        <f>IF(ISERROR(VLOOKUP($A262,'SegEnds_NonXtal_BW#'!$A:$Z,16,FALSE)+VLOOKUP($A262,A:AL,22,FALSE)-50),"-",(VLOOKUP($A262,'SegEnds_NonXtal_BW#'!$A:$Z,16,FALSE)+VLOOKUP($A262,A:AL,22,FALSE)-50))</f>
        <v>170</v>
      </c>
      <c r="X262" s="3">
        <f>IF(ISERROR(VLOOKUP($A262,'SegEnds_NonXtal_BW#'!$A:$Z,17,FALSE)+VLOOKUP($A262,A:AL,25,FALSE)-50),"-",(VLOOKUP($A262,'SegEnds_NonXtal_BW#'!$A:$Z,17,FALSE)+VLOOKUP($A262,A:AL,25,FALSE)-50))</f>
        <v>180</v>
      </c>
      <c r="Y262" s="3">
        <v>180</v>
      </c>
      <c r="Z262" s="3">
        <f t="shared" si="144"/>
        <v>182</v>
      </c>
      <c r="AA262" s="3">
        <f>IF(ISERROR(VLOOKUP($A262,'SegEnds_NonXtal_BW#'!$A:$Z,19,FALSE)+VLOOKUP($A262,A:AL,28,FALSE)-50),"-",(VLOOKUP($A262,'SegEnds_NonXtal_BW#'!$A:$Z,19,FALSE)+VLOOKUP($A262,A:AL,28,FALSE)-50))</f>
        <v>186</v>
      </c>
      <c r="AB262" s="3">
        <v>203</v>
      </c>
      <c r="AC262" s="3">
        <f>IF(ISERROR((VLOOKUP($A262,'SegEnds_NonXtal_BW#'!$A:$Z,20,FALSE)+VLOOKUP($A262,A:AL,28,FALSE)-50)),"-",(VLOOKUP($A262,'SegEnds_NonXtal_BW#'!$A:$Z,20,FALSE)+VLOOKUP($A262,A:AL,28,FALSE)-50))</f>
        <v>221</v>
      </c>
      <c r="AD262" s="3">
        <f>IF(ISERROR(VLOOKUP($A262,'SegEnds_NonXtal_BW#'!$A:$Z,21,FALSE)+VLOOKUP($A262,A:AL,31,FALSE)-50),"-",(VLOOKUP($A262,'SegEnds_NonXtal_BW#'!$A:$Z,21,FALSE)+VLOOKUP($A262,A:AL,31,FALSE)-50))</f>
        <v>226</v>
      </c>
      <c r="AE262" s="3">
        <v>246</v>
      </c>
      <c r="AF262" s="3">
        <f>IF(ISERROR((VLOOKUP($A262,'SegEnds_NonXtal_BW#'!$A:$Z,22,FALSE)+VLOOKUP($A262,A:AL,31,FALSE)-50)),"-",(VLOOKUP($A262,'SegEnds_NonXtal_BW#'!$A:$Z,22,FALSE)+VLOOKUP($A262,A:AL,31,FALSE)-50))</f>
        <v>257</v>
      </c>
      <c r="AG262" s="3">
        <f>IF(ISERROR(VLOOKUP($A262,'SegEnds_NonXtal_BW#'!$A:$Z,23,FALSE)+VLOOKUP($A262,A:AL,34,FALSE)-50),"-",(VLOOKUP($A262,'SegEnds_NonXtal_BW#'!$A:$Z,23,FALSE)+VLOOKUP($A262,A:AL,34,FALSE)-50))</f>
        <v>259</v>
      </c>
      <c r="AH262" s="3">
        <v>285</v>
      </c>
      <c r="AI262" s="3">
        <f>IF(ISERROR((VLOOKUP($A262,'SegEnds_NonXtal_BW#'!$A:$Z,24,FALSE)+VLOOKUP($A262,A:AL,34,FALSE)-50)),"-",(VLOOKUP($A262,'SegEnds_NonXtal_BW#'!$A:$Z,24,FALSE)+VLOOKUP($A262,A:AL,34,FALSE)-50))</f>
        <v>291</v>
      </c>
      <c r="AJ262" s="3">
        <f>IF(ISERROR(VLOOKUP($A262,'SegEnds_NonXtal_BW#'!$A:$Z,25,FALSE)+VLOOKUP($A262,A:AL,37,FALSE)-50),"-",(VLOOKUP($A262,'SegEnds_NonXtal_BW#'!$A:$Z,25,FALSE)+VLOOKUP($A262,A:AL,37,FALSE)-50))</f>
        <v>292</v>
      </c>
      <c r="AK262" s="3">
        <v>295</v>
      </c>
      <c r="AL262" s="3">
        <f>IF(ISERROR((VLOOKUP($A262,'SegEnds_NonXtal_BW#'!$A:$Z,26,FALSE)+VLOOKUP($A262,A:AL,37,FALSE)-50)),"-",(VLOOKUP($A262,'SegEnds_NonXtal_BW#'!$A:$Z,26,FALSE)+VLOOKUP($A262,A:AL,37,FALSE)-50))</f>
        <v>312</v>
      </c>
      <c r="AM262" s="28" t="str">
        <f>VLOOKUP(A262,Classification!A:B,2,FALSE)</f>
        <v>A</v>
      </c>
      <c r="AN262" s="28" t="b">
        <f t="shared" ref="AN262:AN326" si="188">AND(IF(Y262="-",IF(AA262-W262&gt;3,TRUE,FALSE),TRUE),IF(M262="-",IF(O262-K262&gt;3,TRUE,FALSE),TRUE),IF(AG262-AF262&gt;1,TRUE,FALS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73"/>
        <v>1</v>
      </c>
      <c r="AQ262" s="3">
        <f t="shared" si="174"/>
        <v>1</v>
      </c>
      <c r="AR262" s="3">
        <f t="shared" si="175"/>
        <v>1</v>
      </c>
      <c r="AS262" s="3">
        <f t="shared" si="176"/>
        <v>1</v>
      </c>
      <c r="AT262" s="3">
        <f t="shared" si="177"/>
        <v>1</v>
      </c>
      <c r="AU262" s="3">
        <f t="shared" si="178"/>
        <v>2</v>
      </c>
      <c r="AV262" s="3">
        <f t="shared" si="179"/>
        <v>10</v>
      </c>
      <c r="AW262" s="3">
        <f t="shared" si="180"/>
        <v>4</v>
      </c>
      <c r="AX262" s="3">
        <f t="shared" si="181"/>
        <v>5</v>
      </c>
      <c r="AY262" s="3">
        <f t="shared" si="182"/>
        <v>2</v>
      </c>
      <c r="AZ262" s="3">
        <f t="shared" si="183"/>
        <v>1</v>
      </c>
      <c r="BA262" s="3">
        <f>IF(ISERROR(LEN(VLOOKUP(A262,Seqs!A:E,2,FALSE))-AL262),"-",LEN(VLOOKUP(A262,Seqs!A:E,2,FALSE))-AL262)</f>
        <v>30</v>
      </c>
      <c r="BB262" s="16">
        <f t="shared" si="184"/>
        <v>28</v>
      </c>
      <c r="BC262" s="9">
        <f t="shared" si="185"/>
        <v>22</v>
      </c>
      <c r="BD262" s="3">
        <f t="shared" si="186"/>
        <v>28</v>
      </c>
      <c r="BE262" s="3">
        <f t="shared" si="187"/>
        <v>43</v>
      </c>
    </row>
    <row r="263" spans="1:58" s="3" customFormat="1" x14ac:dyDescent="0.2">
      <c r="A263" s="3" t="s">
        <v>192</v>
      </c>
      <c r="B263" s="3" t="str">
        <f>LOWER(VLOOKUP(A263,Xtal_Templ!A:B,2,FALSE))</f>
        <v>drd3_human</v>
      </c>
      <c r="C263" s="3">
        <f>VLOOKUP($A263,'SegEnds_NonXtal_BW#'!$A:$Z,3,FALSE)+D263-50</f>
        <v>26</v>
      </c>
      <c r="D263" s="3">
        <v>47</v>
      </c>
      <c r="E263" s="3">
        <f>IF(ISERROR(VLOOKUP($A263,'SegEnds_NonXtal_BW#'!$A:$Z,4,FALSE)+VLOOKUP($A263,A:AL,4,FALSE)-50),"-",(VLOOKUP($A263,'SegEnds_NonXtal_BW#'!$A:$Z,4,FALSE)+VLOOKUP($A263,A:AL,4,FALSE)-50))</f>
        <v>57</v>
      </c>
      <c r="F263" s="3">
        <f t="shared" si="167"/>
        <v>58</v>
      </c>
      <c r="G263" s="3">
        <v>60</v>
      </c>
      <c r="H263" s="3">
        <f t="shared" si="168"/>
        <v>61</v>
      </c>
      <c r="I263" s="3">
        <f t="shared" si="168"/>
        <v>62</v>
      </c>
      <c r="J263" s="3">
        <v>75</v>
      </c>
      <c r="K263" s="3">
        <f>VLOOKUP($A263,'SegEnds_NonXtal_BW#'!$A:$Z,8,FALSE)+VLOOKUP($A263,A:AL,10,FALSE)-50</f>
        <v>92</v>
      </c>
      <c r="L263" s="3">
        <f t="shared" si="170"/>
        <v>95</v>
      </c>
      <c r="M263" s="3">
        <v>96</v>
      </c>
      <c r="N263" s="3">
        <f t="shared" si="171"/>
        <v>98</v>
      </c>
      <c r="O263" s="3">
        <f t="shared" si="172"/>
        <v>99</v>
      </c>
      <c r="P263" s="3">
        <v>128</v>
      </c>
      <c r="Q263" s="3">
        <f>VLOOKUP($A263,'SegEnds_NonXtal_BW#'!$A:$Z,12,FALSE)+VLOOKUP($A263,A:AL,16,FALSE)-50</f>
        <v>134</v>
      </c>
      <c r="R263" s="3">
        <f>IF(ISERROR(VLOOKUP($A263,'SegEnds_NonXtal_BW#'!$A:$Z,13,FALSE)+VLOOKUP($A263,A:AL,19,FALSE)-50),"-",VLOOKUP($A263,'SegEnds_NonXtal_BW#'!$A:$Z,13,FALSE)+VLOOKUP($A263,A:AL,19,FALSE)-50)</f>
        <v>135</v>
      </c>
      <c r="S263" s="3">
        <v>135</v>
      </c>
      <c r="T263" s="100">
        <f>IF(ISERROR(VLOOKUP($A263,'SegEnds_NonXtal_BW#'!$A:$Z,14,FALSE)+VLOOKUP($A263,A:AL,19,FALSE)-50),"-",(VLOOKUP($A263,'SegEnds_NonXtal_BW#'!$A:$Z,14,FALSE)+VLOOKUP($A263,A:AL,19,FALSE)-50))</f>
        <v>143</v>
      </c>
      <c r="U263" s="9">
        <f>IF(ISERROR(VLOOKUP($A263,'SegEnds_NonXtal_BW#'!$A:$Z,15,FALSE)+VLOOKUP($A263,A:AL,22,FALSE)-50),"-",VLOOKUP($A263,'SegEnds_NonXtal_BW#'!$A:$Z,15,FALSE)+VLOOKUP($A263,A:AL,22,FALSE)-50)</f>
        <v>146</v>
      </c>
      <c r="V263" s="3">
        <v>158</v>
      </c>
      <c r="W263" s="3">
        <f>IF(ISERROR(VLOOKUP($A263,'SegEnds_NonXtal_BW#'!$A:$Z,16,FALSE)+VLOOKUP($A263,A:AL,22,FALSE)-50),"-",(VLOOKUP($A263,'SegEnds_NonXtal_BW#'!$A:$Z,16,FALSE)+VLOOKUP($A263,A:AL,22,FALSE)-50))</f>
        <v>171</v>
      </c>
      <c r="X263" s="3">
        <f>IF(ISERROR(VLOOKUP($A263,'SegEnds_NonXtal_BW#'!$A:$Z,17,FALSE)+VLOOKUP($A263,A:AL,25,FALSE)-50),"-",(VLOOKUP($A263,'SegEnds_NonXtal_BW#'!$A:$Z,17,FALSE)+VLOOKUP($A263,A:AL,25,FALSE)-50))</f>
        <v>181</v>
      </c>
      <c r="Y263" s="3">
        <v>181</v>
      </c>
      <c r="Z263" s="3">
        <f t="shared" si="144"/>
        <v>183</v>
      </c>
      <c r="AA263" s="3">
        <f>IF(ISERROR(VLOOKUP($A263,'SegEnds_NonXtal_BW#'!$A:$Z,19,FALSE)+VLOOKUP($A263,A:AL,28,FALSE)-50),"-",(VLOOKUP($A263,'SegEnds_NonXtal_BW#'!$A:$Z,19,FALSE)+VLOOKUP($A263,A:AL,28,FALSE)-50))</f>
        <v>185</v>
      </c>
      <c r="AB263" s="3">
        <v>200</v>
      </c>
      <c r="AC263" s="3">
        <f>IF(ISERROR((VLOOKUP($A263,'SegEnds_NonXtal_BW#'!$A:$Z,20,FALSE)+VLOOKUP($A263,A:AL,28,FALSE)-50)),"-",(VLOOKUP($A263,'SegEnds_NonXtal_BW#'!$A:$Z,20,FALSE)+VLOOKUP($A263,A:AL,28,FALSE)-50))</f>
        <v>226</v>
      </c>
      <c r="AD263" s="3">
        <f>IF(ISERROR(VLOOKUP($A263,'SegEnds_NonXtal_BW#'!$A:$Z,21,FALSE)+VLOOKUP($A263,A:AL,31,FALSE)-50),"-",(VLOOKUP($A263,'SegEnds_NonXtal_BW#'!$A:$Z,21,FALSE)+VLOOKUP($A263,A:AL,31,FALSE)-50))</f>
        <v>318</v>
      </c>
      <c r="AE263" s="3">
        <v>344</v>
      </c>
      <c r="AF263" s="3">
        <f>IF(ISERROR((VLOOKUP($A263,'SegEnds_NonXtal_BW#'!$A:$Z,22,FALSE)+VLOOKUP($A263,A:AL,31,FALSE)-50)),"-",(VLOOKUP($A263,'SegEnds_NonXtal_BW#'!$A:$Z,22,FALSE)+VLOOKUP($A263,A:AL,31,FALSE)-50))</f>
        <v>354</v>
      </c>
      <c r="AG263" s="3">
        <f>IF(ISERROR(VLOOKUP($A263,'SegEnds_NonXtal_BW#'!$A:$Z,23,FALSE)+VLOOKUP($A263,A:AL,34,FALSE)-50),"-",(VLOOKUP($A263,'SegEnds_NonXtal_BW#'!$A:$Z,23,FALSE)+VLOOKUP($A263,A:AL,34,FALSE)-50))</f>
        <v>361</v>
      </c>
      <c r="AH263" s="3">
        <v>380</v>
      </c>
      <c r="AI263" s="3">
        <f>IF(ISERROR((VLOOKUP($A263,'SegEnds_NonXtal_BW#'!$A:$Z,24,FALSE)+VLOOKUP($A263,A:AL,34,FALSE)-50)),"-",(VLOOKUP($A263,'SegEnds_NonXtal_BW#'!$A:$Z,24,FALSE)+VLOOKUP($A263,A:AL,34,FALSE)-50))</f>
        <v>386</v>
      </c>
      <c r="AJ263" s="3">
        <f>IF(ISERROR(VLOOKUP($A263,'SegEnds_NonXtal_BW#'!$A:$Z,25,FALSE)+VLOOKUP($A263,A:AL,37,FALSE)-50),"-",(VLOOKUP($A263,'SegEnds_NonXtal_BW#'!$A:$Z,25,FALSE)+VLOOKUP($A263,A:AL,37,FALSE)-50))</f>
        <v>387</v>
      </c>
      <c r="AK263" s="3">
        <v>390</v>
      </c>
      <c r="AL263" s="3">
        <f>IF(ISERROR((VLOOKUP($A263,'SegEnds_NonXtal_BW#'!$A:$Z,26,FALSE)+VLOOKUP($A263,A:AL,37,FALSE)-50)),"-",(VLOOKUP($A263,'SegEnds_NonXtal_BW#'!$A:$Z,26,FALSE)+VLOOKUP($A263,A:AL,37,FALSE)-50))</f>
        <v>399</v>
      </c>
      <c r="AM263" s="28" t="str">
        <f>VLOOKUP(A263,Classification!A:B,2,FALSE)</f>
        <v>A</v>
      </c>
      <c r="AN263" s="28" t="b">
        <f t="shared" si="188"/>
        <v>1</v>
      </c>
      <c r="AO263" s="3" t="str">
        <f>IF(ISERROR(MATCH(A263,'SegEnds_Xtal_Prot#'!B:B, 0)), "NoXtal", "Xtal")</f>
        <v>Xtal</v>
      </c>
      <c r="AP263" s="3">
        <f t="shared" si="173"/>
        <v>1</v>
      </c>
      <c r="AQ263" s="3">
        <f t="shared" si="174"/>
        <v>1</v>
      </c>
      <c r="AR263" s="3">
        <f t="shared" si="175"/>
        <v>3</v>
      </c>
      <c r="AS263" s="3">
        <f t="shared" si="176"/>
        <v>1</v>
      </c>
      <c r="AT263" s="3">
        <f t="shared" si="177"/>
        <v>1</v>
      </c>
      <c r="AU263" s="3">
        <f t="shared" si="178"/>
        <v>3</v>
      </c>
      <c r="AV263" s="3">
        <f t="shared" si="179"/>
        <v>10</v>
      </c>
      <c r="AW263" s="3">
        <f t="shared" si="180"/>
        <v>2</v>
      </c>
      <c r="AX263" s="3">
        <f t="shared" si="181"/>
        <v>92</v>
      </c>
      <c r="AY263" s="3">
        <f t="shared" si="182"/>
        <v>7</v>
      </c>
      <c r="AZ263" s="3">
        <f t="shared" si="183"/>
        <v>1</v>
      </c>
      <c r="BA263" s="3">
        <f>IF(ISERROR(LEN(VLOOKUP(A263,Seqs!A:E,2,FALSE))-AL263),"-",LEN(VLOOKUP(A263,Seqs!A:E,2,FALSE))-AL263)</f>
        <v>1</v>
      </c>
      <c r="BB263" s="16">
        <f t="shared" si="184"/>
        <v>28</v>
      </c>
      <c r="BC263" s="9">
        <f t="shared" si="185"/>
        <v>23</v>
      </c>
      <c r="BD263" s="3">
        <f t="shared" si="186"/>
        <v>28</v>
      </c>
      <c r="BE263" s="3">
        <f t="shared" si="187"/>
        <v>144</v>
      </c>
      <c r="BF263" s="3">
        <f>AH263-AE263</f>
        <v>36</v>
      </c>
    </row>
    <row r="264" spans="1:58" s="3" customFormat="1" x14ac:dyDescent="0.2">
      <c r="A264" s="3" t="s">
        <v>142</v>
      </c>
      <c r="B264" s="3" t="str">
        <f>LOWER(VLOOKUP(A264,Xtal_Templ!A:B,2,FALSE))</f>
        <v>c5ar1_human</v>
      </c>
      <c r="C264" s="3">
        <f>VLOOKUP($A264,'SegEnds_NonXtal_BW#'!$A:$Z,3,FALSE)+D264-50</f>
        <v>55</v>
      </c>
      <c r="D264" s="3">
        <v>76</v>
      </c>
      <c r="E264" s="3">
        <f>IF(ISERROR(VLOOKUP($A264,'SegEnds_NonXtal_BW#'!$A:$Z,4,FALSE)+VLOOKUP($A264,A:AL,4,FALSE)-50),"-",(VLOOKUP($A264,'SegEnds_NonXtal_BW#'!$A:$Z,4,FALSE)+VLOOKUP($A264,A:AL,4,FALSE)-50))</f>
        <v>86</v>
      </c>
      <c r="F264" s="3" t="str">
        <f>IF(ISERROR(VLOOKUP($A264,'SegEnds_NonXtal_BW#'!$A:$Z,5,FALSE)+VLOOKUP($A264,A:AL,7,FALSE)-50),"-",(VLOOKUP($A264,'SegEnds_NonXtal_BW#'!$A:$Z,5,FALSE)+VLOOKUP($A264,A:AL,7,FALSE)-50))</f>
        <v>-</v>
      </c>
      <c r="G264" s="3" t="s">
        <v>23</v>
      </c>
      <c r="H264" s="3" t="str">
        <f>IF(ISERROR(VLOOKUP($A264,'SegEnds_NonXtal_BW#'!$A:$Z,6,FALSE)+VLOOKUP($A264,A:AL,7,FALSE)-50),"-",(VLOOKUP($A264,'SegEnds_NonXtal_BW#'!$A:$Z,6,FALSE)+VLOOKUP($A264,A:AL,7,FALSE)-50))</f>
        <v>-</v>
      </c>
      <c r="I264" s="3">
        <f>VLOOKUP($A264,'SegEnds_NonXtal_BW#'!$A:$Z,7,FALSE)+J264-50</f>
        <v>93</v>
      </c>
      <c r="J264" s="3">
        <v>106</v>
      </c>
      <c r="K264" s="3">
        <f>VLOOKUP($A264,'SegEnds_NonXtal_BW#'!$A:$Z,8,FALSE)+VLOOKUP($A264,A:AL,10,FALSE)-50</f>
        <v>122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128</v>
      </c>
      <c r="P264" s="3">
        <v>154</v>
      </c>
      <c r="Q264" s="3">
        <f>VLOOKUP($A264,'SegEnds_NonXtal_BW#'!$A:$Z,12,FALSE)+VLOOKUP($A264,A:AL,16,FALSE)-50</f>
        <v>160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162</v>
      </c>
      <c r="V264" s="3">
        <v>174</v>
      </c>
      <c r="W264" s="3">
        <f>IF(ISERROR(VLOOKUP($A264,'SegEnds_NonXtal_BW#'!$A:$Z,16,FALSE)+VLOOKUP($A264,A:AL,22,FALSE)-50),"-",(VLOOKUP($A264,'SegEnds_NonXtal_BW#'!$A:$Z,16,FALSE)+VLOOKUP($A264,A:AL,22,FALSE)-50))</f>
        <v>188</v>
      </c>
      <c r="X264" s="3">
        <f>IF(ISERROR(VLOOKUP($A264,'SegEnds_NonXtal_BW#'!$A:$Z,17,FALSE)+VLOOKUP($A264,A:AL,25,FALSE)-50),"-",(VLOOKUP($A264,'SegEnds_NonXtal_BW#'!$A:$Z,17,FALSE)+VLOOKUP($A264,A:AL,25,FALSE)-50))</f>
        <v>195</v>
      </c>
      <c r="Y264" s="3">
        <v>195</v>
      </c>
      <c r="Z264" s="3">
        <f t="shared" si="144"/>
        <v>197</v>
      </c>
      <c r="AA264" s="3">
        <f>IF(ISERROR(VLOOKUP($A264,'SegEnds_NonXtal_BW#'!$A:$Z,19,FALSE)+VLOOKUP($A264,A:AL,28,FALSE)-50),"-",(VLOOKUP($A264,'SegEnds_NonXtal_BW#'!$A:$Z,19,FALSE)+VLOOKUP($A264,A:AL,28,FALSE)-50))</f>
        <v>199</v>
      </c>
      <c r="AB264" s="3">
        <v>218</v>
      </c>
      <c r="AC264" s="3">
        <f>IF(ISERROR((VLOOKUP($A264,'SegEnds_NonXtal_BW#'!$A:$Z,20,FALSE)+VLOOKUP($A264,A:AL,28,FALSE)-50)),"-",(VLOOKUP($A264,'SegEnds_NonXtal_BW#'!$A:$Z,20,FALSE)+VLOOKUP($A264,A:AL,28,FALSE)-50))</f>
        <v>232</v>
      </c>
      <c r="AD264" s="3">
        <f>IF(ISERROR(VLOOKUP($A264,'SegEnds_NonXtal_BW#'!$A:$Z,21,FALSE)+VLOOKUP($A264,A:AL,31,FALSE)-50),"-",(VLOOKUP($A264,'SegEnds_NonXtal_BW#'!$A:$Z,21,FALSE)+VLOOKUP($A264,A:AL,31,FALSE)-50))</f>
        <v>239</v>
      </c>
      <c r="AE264" s="3">
        <v>255</v>
      </c>
      <c r="AF264" s="3">
        <f>IF(ISERROR((VLOOKUP($A264,'SegEnds_NonXtal_BW#'!$A:$Z,22,FALSE)+VLOOKUP($A264,A:AL,31,FALSE)-50)),"-",(VLOOKUP($A264,'SegEnds_NonXtal_BW#'!$A:$Z,22,FALSE)+VLOOKUP($A264,A:AL,31,FALSE)-50))</f>
        <v>269</v>
      </c>
      <c r="AG264" s="3">
        <f>IF(ISERROR(VLOOKUP($A264,'SegEnds_NonXtal_BW#'!$A:$Z,23,FALSE)+VLOOKUP($A264,A:AL,34,FALSE)-50),"-",(VLOOKUP($A264,'SegEnds_NonXtal_BW#'!$A:$Z,23,FALSE)+VLOOKUP($A264,A:AL,34,FALSE)-50))</f>
        <v>275</v>
      </c>
      <c r="AH264" s="3">
        <v>301</v>
      </c>
      <c r="AI264" s="3">
        <f>IF(ISERROR((VLOOKUP($A264,'SegEnds_NonXtal_BW#'!$A:$Z,24,FALSE)+VLOOKUP($A264,A:AL,34,FALSE)-50)),"-",(VLOOKUP($A264,'SegEnds_NonXtal_BW#'!$A:$Z,24,FALSE)+VLOOKUP($A264,A:AL,34,FALSE)-50))</f>
        <v>307</v>
      </c>
      <c r="AJ264" s="3">
        <f>IF(ISERROR(VLOOKUP($A264,'SegEnds_NonXtal_BW#'!$A:$Z,25,FALSE)+VLOOKUP($A264,A:AL,37,FALSE)-50),"-",(VLOOKUP($A264,'SegEnds_NonXtal_BW#'!$A:$Z,25,FALSE)+VLOOKUP($A264,A:AL,37,FALSE)-50))</f>
        <v>308</v>
      </c>
      <c r="AK264" s="3">
        <v>311</v>
      </c>
      <c r="AL264" s="3">
        <f>IF(ISERROR((VLOOKUP($A264,'SegEnds_NonXtal_BW#'!$A:$Z,26,FALSE)+VLOOKUP($A264,A:AL,37,FALSE)-50)),"-",(VLOOKUP($A264,'SegEnds_NonXtal_BW#'!$A:$Z,26,FALSE)+VLOOKUP($A264,A:AL,37,FALSE)-50))</f>
        <v>317</v>
      </c>
      <c r="AM264" s="28" t="str">
        <f>VLOOKUP(A264,Classification!A:B,2,FALSE)</f>
        <v>A</v>
      </c>
      <c r="AN264" s="28" t="b">
        <f t="shared" si="188"/>
        <v>1</v>
      </c>
      <c r="AO264" s="3" t="str">
        <f>IF(ISERROR(MATCH(A264,'SegEnds_Xtal_Prot#'!B:B, 0)), "NoXtal", "Xtal")</f>
        <v>NoXtal</v>
      </c>
      <c r="AP264" s="3" t="str">
        <f t="shared" si="173"/>
        <v>-</v>
      </c>
      <c r="AQ264" s="3" t="str">
        <f t="shared" si="174"/>
        <v>-</v>
      </c>
      <c r="AR264" s="3" t="str">
        <f t="shared" si="175"/>
        <v>-</v>
      </c>
      <c r="AS264" s="3" t="str">
        <f t="shared" si="176"/>
        <v>-</v>
      </c>
      <c r="AT264" s="3" t="str">
        <f t="shared" si="177"/>
        <v>-</v>
      </c>
      <c r="AU264" s="3" t="str">
        <f t="shared" si="178"/>
        <v>-</v>
      </c>
      <c r="AV264" s="3">
        <f t="shared" si="179"/>
        <v>7</v>
      </c>
      <c r="AW264" s="3">
        <f t="shared" si="180"/>
        <v>2</v>
      </c>
      <c r="AX264" s="3">
        <f t="shared" si="181"/>
        <v>7</v>
      </c>
      <c r="AY264" s="3">
        <f t="shared" si="182"/>
        <v>6</v>
      </c>
      <c r="AZ264" s="3">
        <f t="shared" si="183"/>
        <v>1</v>
      </c>
      <c r="BA264" s="3">
        <f>IF(ISERROR(LEN(VLOOKUP(A264,Seqs!A:E,2,FALSE))-AL264),"-",LEN(VLOOKUP(A264,Seqs!A:E,2,FALSE))-AL264)</f>
        <v>19</v>
      </c>
      <c r="BB264" s="16">
        <f t="shared" si="184"/>
        <v>30</v>
      </c>
      <c r="BC264" s="9" t="str">
        <f t="shared" si="185"/>
        <v>-</v>
      </c>
      <c r="BD264" s="3">
        <f t="shared" si="186"/>
        <v>30</v>
      </c>
      <c r="BE264" s="3">
        <f t="shared" si="187"/>
        <v>37</v>
      </c>
      <c r="BF264" s="3">
        <f>AH264-AE264</f>
        <v>46</v>
      </c>
    </row>
    <row r="265" spans="1:58" s="3" customFormat="1" x14ac:dyDescent="0.2">
      <c r="A265" s="3" t="s">
        <v>144</v>
      </c>
      <c r="B265" s="3" t="str">
        <f>LOWER(VLOOKUP(A265,Xtal_Templ!A:B,2,FALSE))</f>
        <v>ccr7_human</v>
      </c>
      <c r="C265" s="3">
        <f>VLOOKUP($A265,'SegEnds_NonXtal_BW#'!$A:$Z,3,FALSE)+D265-50</f>
        <v>41</v>
      </c>
      <c r="D265" s="3">
        <v>62</v>
      </c>
      <c r="E265" s="3">
        <f>IF(ISERROR(VLOOKUP($A265,'SegEnds_NonXtal_BW#'!$A:$Z,4,FALSE)+VLOOKUP($A265,A:AL,4,FALSE)-50),"-",(VLOOKUP($A265,'SegEnds_NonXtal_BW#'!$A:$Z,4,FALSE)+VLOOKUP($A265,A:AL,4,FALSE)-50))</f>
        <v>72</v>
      </c>
      <c r="F265" s="3">
        <f>G265-2</f>
        <v>73</v>
      </c>
      <c r="G265" s="3">
        <v>75</v>
      </c>
      <c r="H265" s="3">
        <f t="shared" ref="H265:I267" si="189">G265+1</f>
        <v>76</v>
      </c>
      <c r="I265" s="3">
        <f t="shared" si="189"/>
        <v>77</v>
      </c>
      <c r="J265" s="3">
        <v>90</v>
      </c>
      <c r="K265" s="3">
        <f>VLOOKUP($A265,'SegEnds_NonXtal_BW#'!$A:$Z,8,FALSE)+VLOOKUP($A265,A:AL,10,FALSE)-50</f>
        <v>106</v>
      </c>
      <c r="L265" s="3">
        <f>IF(ISERROR(VLOOKUP($A265,'SegEnds_NonXtal_BW#'!$A:$Z,9,FALSE)+VLOOKUP($A265,A:AL,13,FALSE)-50),"-",(VLOOKUP($A265,'SegEnds_NonXtal_BW#'!$A:$Z,9,FALSE)+VLOOKUP($A265,A:AL,13,FALSE)-50))</f>
        <v>109</v>
      </c>
      <c r="M265" s="3">
        <v>110</v>
      </c>
      <c r="N265" s="3">
        <f>IF(ISERROR(VLOOKUP($A265,'SegEnds_NonXtal_BW#'!$A:$Z,10,FALSE)+VLOOKUP($A265,A:AL,13,FALSE)-50),"-",(VLOOKUP($A265,'SegEnds_NonXtal_BW#'!$A:$Z,10,FALSE)+VLOOKUP($A265,A:AL,13,FALSE)-50))</f>
        <v>112</v>
      </c>
      <c r="O265" s="3">
        <f>VLOOKUP($A265,'SegEnds_NonXtal_BW#'!$A:$Z,11,FALSE)+VLOOKUP($A265,A:AL,16,FALSE)-50</f>
        <v>113</v>
      </c>
      <c r="P265" s="3">
        <v>142</v>
      </c>
      <c r="Q265" s="3">
        <f>VLOOKUP($A265,'SegEnds_NonXtal_BW#'!$A:$Z,12,FALSE)+VLOOKUP($A265,A:AL,16,FALSE)-50</f>
        <v>148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157</v>
      </c>
      <c r="V265" s="3">
        <v>169</v>
      </c>
      <c r="W265" s="3">
        <f>IF(ISERROR(VLOOKUP($A265,'SegEnds_NonXtal_BW#'!$A:$Z,16,FALSE)+VLOOKUP($A265,A:AL,22,FALSE)-50),"-",(VLOOKUP($A265,'SegEnds_NonXtal_BW#'!$A:$Z,16,FALSE)+VLOOKUP($A265,A:AL,22,FALSE)-50))</f>
        <v>183</v>
      </c>
      <c r="X265" s="3">
        <f>IF(ISERROR(VLOOKUP($A265,'SegEnds_NonXtal_BW#'!$A:$Z,17,FALSE)+VLOOKUP($A265,A:AL,25,FALSE)-50),"-",(VLOOKUP($A265,'SegEnds_NonXtal_BW#'!$A:$Z,17,FALSE)+VLOOKUP($A265,A:AL,25,FALSE)-50))</f>
        <v>196</v>
      </c>
      <c r="Y265" s="3">
        <v>196</v>
      </c>
      <c r="Z265" s="3">
        <f t="shared" si="144"/>
        <v>198</v>
      </c>
      <c r="AA265" s="3">
        <f>IF(ISERROR(VLOOKUP($A265,'SegEnds_NonXtal_BW#'!$A:$Z,19,FALSE)+VLOOKUP($A265,A:AL,28,FALSE)-50),"-",(VLOOKUP($A265,'SegEnds_NonXtal_BW#'!$A:$Z,19,FALSE)+VLOOKUP($A265,A:AL,28,FALSE)-50))</f>
        <v>207</v>
      </c>
      <c r="AB265" s="3">
        <v>224</v>
      </c>
      <c r="AC265" s="3">
        <f>IF(ISERROR((VLOOKUP($A265,'SegEnds_NonXtal_BW#'!$A:$Z,20,FALSE)+VLOOKUP($A265,A:AL,28,FALSE)-50)),"-",(VLOOKUP($A265,'SegEnds_NonXtal_BW#'!$A:$Z,20,FALSE)+VLOOKUP($A265,A:AL,28,FALSE)-50))</f>
        <v>242</v>
      </c>
      <c r="AD265" s="3">
        <f>IF(ISERROR(VLOOKUP($A265,'SegEnds_NonXtal_BW#'!$A:$Z,21,FALSE)+VLOOKUP($A265,A:AL,31,FALSE)-50),"-",(VLOOKUP($A265,'SegEnds_NonXtal_BW#'!$A:$Z,21,FALSE)+VLOOKUP($A265,A:AL,31,FALSE)-50))</f>
        <v>247</v>
      </c>
      <c r="AE265" s="3">
        <v>267</v>
      </c>
      <c r="AF265" s="3">
        <f>IF(ISERROR((VLOOKUP($A265,'SegEnds_NonXtal_BW#'!$A:$Z,22,FALSE)+VLOOKUP($A265,A:AL,31,FALSE)-50)),"-",(VLOOKUP($A265,'SegEnds_NonXtal_BW#'!$A:$Z,22,FALSE)+VLOOKUP($A265,A:AL,31,FALSE)-50))</f>
        <v>281</v>
      </c>
      <c r="AG265" s="3">
        <f>IF(ISERROR(VLOOKUP($A265,'SegEnds_NonXtal_BW#'!$A:$Z,23,FALSE)+VLOOKUP($A265,A:AL,34,FALSE)-50),"-",(VLOOKUP($A265,'SegEnds_NonXtal_BW#'!$A:$Z,23,FALSE)+VLOOKUP($A265,A:AL,34,FALSE)-50))</f>
        <v>286</v>
      </c>
      <c r="AH265" s="3">
        <v>312</v>
      </c>
      <c r="AI265" s="3">
        <f>IF(ISERROR((VLOOKUP($A265,'SegEnds_NonXtal_BW#'!$A:$Z,24,FALSE)+VLOOKUP($A265,A:AL,34,FALSE)-50)),"-",(VLOOKUP($A265,'SegEnds_NonXtal_BW#'!$A:$Z,24,FALSE)+VLOOKUP($A265,A:AL,34,FALSE)-50))</f>
        <v>318</v>
      </c>
      <c r="AJ265" s="3">
        <f>IF(ISERROR(VLOOKUP($A265,'SegEnds_NonXtal_BW#'!$A:$Z,25,FALSE)+VLOOKUP($A265,A:AL,37,FALSE)-50),"-",(VLOOKUP($A265,'SegEnds_NonXtal_BW#'!$A:$Z,25,FALSE)+VLOOKUP($A265,A:AL,37,FALSE)-50))</f>
        <v>319</v>
      </c>
      <c r="AK265" s="3">
        <v>322</v>
      </c>
      <c r="AL265" s="3">
        <f>IF(ISERROR((VLOOKUP($A265,'SegEnds_NonXtal_BW#'!$A:$Z,26,FALSE)+VLOOKUP($A265,A:AL,37,FALSE)-50)),"-",(VLOOKUP($A265,'SegEnds_NonXtal_BW#'!$A:$Z,26,FALSE)+VLOOKUP($A265,A:AL,37,FALSE)-50))</f>
        <v>331</v>
      </c>
      <c r="AM265" s="28" t="str">
        <f>VLOOKUP(A265,Classification!A:B,2,FALSE)</f>
        <v>A</v>
      </c>
      <c r="AN265" s="28" t="b">
        <f t="shared" si="188"/>
        <v>1</v>
      </c>
      <c r="AO265" s="3" t="str">
        <f>IF(ISERROR(MATCH(A265,'SegEnds_Xtal_Prot#'!B:B, 0)), "NoXtal", "Xtal")</f>
        <v>NoXtal</v>
      </c>
      <c r="AP265" s="3">
        <f t="shared" si="173"/>
        <v>1</v>
      </c>
      <c r="AQ265" s="3">
        <f t="shared" si="174"/>
        <v>1</v>
      </c>
      <c r="AR265" s="3">
        <f t="shared" si="175"/>
        <v>3</v>
      </c>
      <c r="AS265" s="3">
        <f t="shared" si="176"/>
        <v>1</v>
      </c>
      <c r="AT265" s="3" t="str">
        <f t="shared" si="177"/>
        <v>-</v>
      </c>
      <c r="AU265" s="3" t="str">
        <f t="shared" si="178"/>
        <v>-</v>
      </c>
      <c r="AV265" s="3">
        <f t="shared" si="179"/>
        <v>13</v>
      </c>
      <c r="AW265" s="3">
        <f t="shared" si="180"/>
        <v>9</v>
      </c>
      <c r="AX265" s="3">
        <f t="shared" si="181"/>
        <v>5</v>
      </c>
      <c r="AY265" s="3">
        <f t="shared" si="182"/>
        <v>5</v>
      </c>
      <c r="AZ265" s="3">
        <f t="shared" si="183"/>
        <v>1</v>
      </c>
      <c r="BA265" s="3">
        <f>IF(ISERROR(LEN(VLOOKUP(A265,Seqs!A:E,2,FALSE))-AL265),"-",LEN(VLOOKUP(A265,Seqs!A:E,2,FALSE))-AL265)</f>
        <v>31</v>
      </c>
      <c r="BB265" s="16">
        <f t="shared" si="184"/>
        <v>28</v>
      </c>
      <c r="BC265" s="9" t="str">
        <f t="shared" si="185"/>
        <v>-</v>
      </c>
      <c r="BD265" s="3">
        <f t="shared" si="186"/>
        <v>28</v>
      </c>
      <c r="BE265" s="3">
        <f t="shared" si="187"/>
        <v>43</v>
      </c>
      <c r="BF265" s="3">
        <f>AH265-AE265</f>
        <v>45</v>
      </c>
    </row>
    <row r="266" spans="1:58" s="3" customFormat="1" x14ac:dyDescent="0.2">
      <c r="A266" s="3" t="s">
        <v>145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89"/>
        <v>73</v>
      </c>
      <c r="I266" s="3">
        <f t="shared" si="189"/>
        <v>74</v>
      </c>
      <c r="J266" s="3">
        <v>87</v>
      </c>
      <c r="K266" s="3">
        <f>VLOOKUP($A266,'SegEnds_NonXtal_BW#'!$A:$Z,8,FALSE)+VLOOKUP($A266,A:AL,10,FALSE)-50</f>
        <v>103</v>
      </c>
      <c r="L266" s="3">
        <f>IF(ISERROR(VLOOKUP($A266,'SegEnds_NonXtal_BW#'!$A:$Z,9,FALSE)+VLOOKUP($A266,A:AL,13,FALSE)-50),"-",(VLOOKUP($A266,'SegEnds_NonXtal_BW#'!$A:$Z,9,FALSE)+VLOOKUP($A266,A:AL,13,FALSE)-50))</f>
        <v>104</v>
      </c>
      <c r="M266" s="3">
        <v>105</v>
      </c>
      <c r="N266" s="3">
        <f>IF(ISERROR(VLOOKUP($A266,'SegEnds_NonXtal_BW#'!$A:$Z,10,FALSE)+VLOOKUP($A266,A:AL,13,FALSE)-50),"-",(VLOOKUP($A266,'SegEnds_NonXtal_BW#'!$A:$Z,10,FALSE)+VLOOKUP($A266,A:AL,13,FALSE)-50))</f>
        <v>107</v>
      </c>
      <c r="O266" s="3">
        <f>VLOOKUP($A266,'SegEnds_NonXtal_BW#'!$A:$Z,11,FALSE)+VLOOKUP($A266,A:AL,16,FALSE)-50</f>
        <v>108</v>
      </c>
      <c r="P266" s="3">
        <v>137</v>
      </c>
      <c r="Q266" s="3">
        <f>VLOOKUP($A266,'SegEnds_NonXtal_BW#'!$A:$Z,12,FALSE)+VLOOKUP($A266,A:AL,16,FALSE)-50</f>
        <v>143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150</v>
      </c>
      <c r="V266" s="3">
        <v>162</v>
      </c>
      <c r="W266" s="3">
        <f>IF(ISERROR(VLOOKUP($A266,'SegEnds_NonXtal_BW#'!$A:$Z,16,FALSE)+VLOOKUP($A266,A:AL,22,FALSE)-50),"-",(VLOOKUP($A266,'SegEnds_NonXtal_BW#'!$A:$Z,16,FALSE)+VLOOKUP($A266,A:AL,22,FALSE)-50))</f>
        <v>176</v>
      </c>
      <c r="X266" s="3">
        <f>IF(ISERROR(VLOOKUP($A266,'SegEnds_NonXtal_BW#'!$A:$Z,17,FALSE)+VLOOKUP($A266,A:AL,25,FALSE)-50),"-",(VLOOKUP($A266,'SegEnds_NonXtal_BW#'!$A:$Z,17,FALSE)+VLOOKUP($A266,A:AL,25,FALSE)-50))</f>
        <v>184</v>
      </c>
      <c r="Y266" s="3">
        <v>184</v>
      </c>
      <c r="Z266" s="3">
        <f t="shared" si="144"/>
        <v>186</v>
      </c>
      <c r="AA266" s="3">
        <f>IF(ISERROR(VLOOKUP($A266,'SegEnds_NonXtal_BW#'!$A:$Z,19,FALSE)+VLOOKUP($A266,A:AL,28,FALSE)-50),"-",(VLOOKUP($A266,'SegEnds_NonXtal_BW#'!$A:$Z,19,FALSE)+VLOOKUP($A266,A:AL,28,FALSE)-50))</f>
        <v>195</v>
      </c>
      <c r="AB266" s="3">
        <v>212</v>
      </c>
      <c r="AC266" s="3">
        <f>IF(ISERROR((VLOOKUP($A266,'SegEnds_NonXtal_BW#'!$A:$Z,20,FALSE)+VLOOKUP($A266,A:AL,28,FALSE)-50)),"-",(VLOOKUP($A266,'SegEnds_NonXtal_BW#'!$A:$Z,20,FALSE)+VLOOKUP($A266,A:AL,28,FALSE)-50))</f>
        <v>230</v>
      </c>
      <c r="AD266" s="3">
        <f>IF(ISERROR(VLOOKUP($A266,'SegEnds_NonXtal_BW#'!$A:$Z,21,FALSE)+VLOOKUP($A266,A:AL,31,FALSE)-50),"-",(VLOOKUP($A266,'SegEnds_NonXtal_BW#'!$A:$Z,21,FALSE)+VLOOKUP($A266,A:AL,31,FALSE)-50))</f>
        <v>235</v>
      </c>
      <c r="AE266" s="3">
        <v>255</v>
      </c>
      <c r="AF266" s="3">
        <f>IF(ISERROR((VLOOKUP($A266,'SegEnds_NonXtal_BW#'!$A:$Z,22,FALSE)+VLOOKUP($A266,A:AL,31,FALSE)-50)),"-",(VLOOKUP($A266,'SegEnds_NonXtal_BW#'!$A:$Z,22,FALSE)+VLOOKUP($A266,A:AL,31,FALSE)-50))</f>
        <v>269</v>
      </c>
      <c r="AG266" s="3">
        <f>IF(ISERROR(VLOOKUP($A266,'SegEnds_NonXtal_BW#'!$A:$Z,23,FALSE)+VLOOKUP($A266,A:AL,34,FALSE)-50),"-",(VLOOKUP($A266,'SegEnds_NonXtal_BW#'!$A:$Z,23,FALSE)+VLOOKUP($A266,A:AL,34,FALSE)-50))</f>
        <v>274</v>
      </c>
      <c r="AH266" s="3">
        <v>300</v>
      </c>
      <c r="AI266" s="3">
        <f>IF(ISERROR((VLOOKUP($A266,'SegEnds_NonXtal_BW#'!$A:$Z,24,FALSE)+VLOOKUP($A266,A:AL,34,FALSE)-50)),"-",(VLOOKUP($A266,'SegEnds_NonXtal_BW#'!$A:$Z,24,FALSE)+VLOOKUP($A266,A:AL,34,FALSE)-50))</f>
        <v>306</v>
      </c>
      <c r="AJ266" s="3">
        <f>IF(ISERROR(VLOOKUP($A266,'SegEnds_NonXtal_BW#'!$A:$Z,25,FALSE)+VLOOKUP($A266,A:AL,37,FALSE)-50),"-",(VLOOKUP($A266,'SegEnds_NonXtal_BW#'!$A:$Z,25,FALSE)+VLOOKUP($A266,A:AL,37,FALSE)-50))</f>
        <v>307</v>
      </c>
      <c r="AK266" s="3">
        <v>310</v>
      </c>
      <c r="AL266" s="3">
        <f>IF(ISERROR((VLOOKUP($A266,'SegEnds_NonXtal_BW#'!$A:$Z,26,FALSE)+VLOOKUP($A266,A:AL,37,FALSE)-50)),"-",(VLOOKUP($A266,'SegEnds_NonXtal_BW#'!$A:$Z,26,FALSE)+VLOOKUP($A266,A:AL,37,FALSE)-50))</f>
        <v>327</v>
      </c>
      <c r="AM266" s="28" t="str">
        <f>VLOOKUP(A266,Classification!A:B,2,FALSE)</f>
        <v>A</v>
      </c>
      <c r="AN266" s="28" t="b">
        <f t="shared" si="188"/>
        <v>1</v>
      </c>
      <c r="AO266" s="3" t="str">
        <f>IF(ISERROR(MATCH(A266,'SegEnds_Xtal_Prot#'!B:B, 0)), "NoXtal", "Xtal")</f>
        <v>NoXtal</v>
      </c>
      <c r="AP266" s="3">
        <f t="shared" si="173"/>
        <v>1</v>
      </c>
      <c r="AQ266" s="3">
        <f t="shared" si="174"/>
        <v>1</v>
      </c>
      <c r="AR266" s="3">
        <f t="shared" si="175"/>
        <v>1</v>
      </c>
      <c r="AS266" s="3">
        <f t="shared" si="176"/>
        <v>1</v>
      </c>
      <c r="AT266" s="3" t="str">
        <f t="shared" si="177"/>
        <v>-</v>
      </c>
      <c r="AU266" s="3" t="str">
        <f t="shared" si="178"/>
        <v>-</v>
      </c>
      <c r="AV266" s="3">
        <f t="shared" si="179"/>
        <v>8</v>
      </c>
      <c r="AW266" s="3">
        <f t="shared" si="180"/>
        <v>9</v>
      </c>
      <c r="AX266" s="3">
        <f t="shared" si="181"/>
        <v>5</v>
      </c>
      <c r="AY266" s="3">
        <f t="shared" si="182"/>
        <v>5</v>
      </c>
      <c r="AZ266" s="3">
        <f t="shared" si="183"/>
        <v>1</v>
      </c>
      <c r="BA266" s="3">
        <f>IF(ISERROR(LEN(VLOOKUP(A266,Seqs!A:E,2,FALSE))-AL266),"-",LEN(VLOOKUP(A266,Seqs!A:E,2,FALSE))-AL266)</f>
        <v>23</v>
      </c>
      <c r="BB266" s="16">
        <f t="shared" si="184"/>
        <v>28</v>
      </c>
      <c r="BC266" s="9" t="str">
        <f t="shared" si="185"/>
        <v>-</v>
      </c>
      <c r="BD266" s="3">
        <f t="shared" si="186"/>
        <v>28</v>
      </c>
      <c r="BE266" s="3">
        <f t="shared" si="187"/>
        <v>43</v>
      </c>
    </row>
    <row r="267" spans="1:58" s="3" customFormat="1" x14ac:dyDescent="0.2">
      <c r="A267" s="3" t="s">
        <v>169</v>
      </c>
      <c r="B267" s="3" t="str">
        <f>LOWER(VLOOKUP(A267,Xtal_Templ!A:B,2,FALSE))</f>
        <v>ccr7_human</v>
      </c>
      <c r="C267" s="3">
        <f>VLOOKUP($A267,'SegEnds_NonXtal_BW#'!$A:$Z,3,FALSE)+D267-50</f>
        <v>38</v>
      </c>
      <c r="D267" s="3">
        <v>59</v>
      </c>
      <c r="E267" s="3">
        <f>IF(ISERROR(VLOOKUP($A267,'SegEnds_NonXtal_BW#'!$A:$Z,4,FALSE)+VLOOKUP($A267,A:AL,4,FALSE)-50),"-",(VLOOKUP($A267,'SegEnds_NonXtal_BW#'!$A:$Z,4,FALSE)+VLOOKUP($A267,A:AL,4,FALSE)-50))</f>
        <v>69</v>
      </c>
      <c r="F267" s="3">
        <f>G267-2</f>
        <v>70</v>
      </c>
      <c r="G267" s="3">
        <v>72</v>
      </c>
      <c r="H267" s="3">
        <f t="shared" si="189"/>
        <v>73</v>
      </c>
      <c r="I267" s="3">
        <f t="shared" si="189"/>
        <v>74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105</v>
      </c>
      <c r="M267" s="3">
        <v>106</v>
      </c>
      <c r="N267" s="3">
        <f>M267+2</f>
        <v>108</v>
      </c>
      <c r="O267" s="3">
        <f>N267+1</f>
        <v>109</v>
      </c>
      <c r="P267" s="3">
        <v>138</v>
      </c>
      <c r="Q267" s="3">
        <f>VLOOKUP($A267,'SegEnds_NonXtal_BW#'!$A:$Z,12,FALSE)+VLOOKUP($A267,A:AL,16,FALSE)-50</f>
        <v>144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154</v>
      </c>
      <c r="V267" s="3">
        <v>166</v>
      </c>
      <c r="W267" s="3">
        <f>IF(ISERROR(VLOOKUP($A267,'SegEnds_NonXtal_BW#'!$A:$Z,16,FALSE)+VLOOKUP($A267,A:AL,22,FALSE)-50),"-",(VLOOKUP($A267,'SegEnds_NonXtal_BW#'!$A:$Z,16,FALSE)+VLOOKUP($A267,A:AL,22,FALSE)-50))</f>
        <v>180</v>
      </c>
      <c r="X267" s="3">
        <f>IF(ISERROR(VLOOKUP($A267,'SegEnds_NonXtal_BW#'!$A:$Z,17,FALSE)+VLOOKUP($A267,A:AL,25,FALSE)-50),"-",(VLOOKUP($A267,'SegEnds_NonXtal_BW#'!$A:$Z,17,FALSE)+VLOOKUP($A267,A:AL,25,FALSE)-50))</f>
        <v>191</v>
      </c>
      <c r="Y267" s="3">
        <v>191</v>
      </c>
      <c r="Z267" s="3">
        <f t="shared" si="144"/>
        <v>193</v>
      </c>
      <c r="AA267" s="3">
        <f>IF(ISERROR(VLOOKUP($A267,'SegEnds_NonXtal_BW#'!$A:$Z,19,FALSE)+VLOOKUP($A267,A:AL,28,FALSE)-50),"-",(VLOOKUP($A267,'SegEnds_NonXtal_BW#'!$A:$Z,19,FALSE)+VLOOKUP($A267,A:AL,28,FALSE)-50))</f>
        <v>202</v>
      </c>
      <c r="AB267" s="3">
        <v>219</v>
      </c>
      <c r="AC267" s="3">
        <f>IF(ISERROR((VLOOKUP($A267,'SegEnds_NonXtal_BW#'!$A:$Z,20,FALSE)+VLOOKUP($A267,A:AL,28,FALSE)-50)),"-",(VLOOKUP($A267,'SegEnds_NonXtal_BW#'!$A:$Z,20,FALSE)+VLOOKUP($A267,A:AL,28,FALSE)-50))</f>
        <v>237</v>
      </c>
      <c r="AD267" s="3">
        <f>IF(ISERROR(VLOOKUP($A267,'SegEnds_NonXtal_BW#'!$A:$Z,21,FALSE)+VLOOKUP($A267,A:AL,31,FALSE)-50),"-",(VLOOKUP($A267,'SegEnds_NonXtal_BW#'!$A:$Z,21,FALSE)+VLOOKUP($A267,A:AL,31,FALSE)-50))</f>
        <v>242</v>
      </c>
      <c r="AE267" s="3">
        <v>262</v>
      </c>
      <c r="AF267" s="3">
        <f>IF(ISERROR((VLOOKUP($A267,'SegEnds_NonXtal_BW#'!$A:$Z,22,FALSE)+VLOOKUP($A267,A:AL,31,FALSE)-50)),"-",(VLOOKUP($A267,'SegEnds_NonXtal_BW#'!$A:$Z,22,FALSE)+VLOOKUP($A267,A:AL,31,FALSE)-50))</f>
        <v>277</v>
      </c>
      <c r="AG267" s="3">
        <f>IF(ISERROR(VLOOKUP($A267,'SegEnds_NonXtal_BW#'!$A:$Z,23,FALSE)+VLOOKUP($A267,A:AL,34,FALSE)-50),"-",(VLOOKUP($A267,'SegEnds_NonXtal_BW#'!$A:$Z,23,FALSE)+VLOOKUP($A267,A:AL,34,FALSE)-50))</f>
        <v>281</v>
      </c>
      <c r="AH267" s="3">
        <v>307</v>
      </c>
      <c r="AI267" s="3">
        <f>IF(ISERROR((VLOOKUP($A267,'SegEnds_NonXtal_BW#'!$A:$Z,24,FALSE)+VLOOKUP($A267,A:AL,34,FALSE)-50)),"-",(VLOOKUP($A267,'SegEnds_NonXtal_BW#'!$A:$Z,24,FALSE)+VLOOKUP($A267,A:AL,34,FALSE)-50))</f>
        <v>313</v>
      </c>
      <c r="AJ267" s="3">
        <f>IF(ISERROR(VLOOKUP($A267,'SegEnds_NonXtal_BW#'!$A:$Z,25,FALSE)+VLOOKUP($A267,A:AL,37,FALSE)-50),"-",(VLOOKUP($A267,'SegEnds_NonXtal_BW#'!$A:$Z,25,FALSE)+VLOOKUP($A267,A:AL,37,FALSE)-50))</f>
        <v>314</v>
      </c>
      <c r="AK267" s="3">
        <v>317</v>
      </c>
      <c r="AL267" s="3">
        <f>IF(ISERROR((VLOOKUP($A267,'SegEnds_NonXtal_BW#'!$A:$Z,26,FALSE)+VLOOKUP($A267,A:AL,37,FALSE)-50)),"-",(VLOOKUP($A267,'SegEnds_NonXtal_BW#'!$A:$Z,26,FALSE)+VLOOKUP($A267,A:AL,37,FALSE)-50))</f>
        <v>326</v>
      </c>
      <c r="AM267" s="28" t="str">
        <f>VLOOKUP(A267,Classification!A:B,2,FALSE)</f>
        <v>A</v>
      </c>
      <c r="AN267" s="28" t="b">
        <f t="shared" si="188"/>
        <v>1</v>
      </c>
      <c r="AO267" s="3" t="str">
        <f>IF(ISERROR(MATCH(A267,'SegEnds_Xtal_Prot#'!B:B, 0)), "NoXtal", "Xtal")</f>
        <v>NoXtal</v>
      </c>
      <c r="AP267" s="3">
        <f t="shared" si="173"/>
        <v>1</v>
      </c>
      <c r="AQ267" s="3">
        <f t="shared" si="174"/>
        <v>1</v>
      </c>
      <c r="AR267" s="3">
        <f t="shared" si="175"/>
        <v>1</v>
      </c>
      <c r="AS267" s="3">
        <f t="shared" si="176"/>
        <v>1</v>
      </c>
      <c r="AT267" s="3" t="str">
        <f t="shared" si="177"/>
        <v>-</v>
      </c>
      <c r="AU267" s="3" t="str">
        <f t="shared" si="178"/>
        <v>-</v>
      </c>
      <c r="AV267" s="3">
        <f t="shared" si="179"/>
        <v>11</v>
      </c>
      <c r="AW267" s="3">
        <f t="shared" si="180"/>
        <v>9</v>
      </c>
      <c r="AX267" s="3">
        <f t="shared" si="181"/>
        <v>5</v>
      </c>
      <c r="AY267" s="3">
        <f t="shared" si="182"/>
        <v>4</v>
      </c>
      <c r="AZ267" s="3">
        <f t="shared" si="183"/>
        <v>1</v>
      </c>
      <c r="BA267" s="3">
        <f>IF(ISERROR(LEN(VLOOKUP(A267,Seqs!A:E,2,FALSE))-AL267),"-",LEN(VLOOKUP(A267,Seqs!A:E,2,FALSE))-AL267)</f>
        <v>36</v>
      </c>
      <c r="BB267" s="16">
        <f t="shared" si="184"/>
        <v>29</v>
      </c>
      <c r="BC267" s="9" t="str">
        <f t="shared" si="185"/>
        <v>-</v>
      </c>
      <c r="BD267" s="3">
        <f t="shared" si="186"/>
        <v>29</v>
      </c>
      <c r="BE267" s="3">
        <f t="shared" si="187"/>
        <v>43</v>
      </c>
    </row>
    <row r="268" spans="1:58" s="3" customFormat="1" x14ac:dyDescent="0.2">
      <c r="A268" s="3" t="s">
        <v>214</v>
      </c>
      <c r="B268" s="3" t="str">
        <f>LOWER(VLOOKUP(A268,Xtal_Templ!A:B,2,FALSE))</f>
        <v>p2ry1_human</v>
      </c>
      <c r="C268" s="3">
        <f>VLOOKUP($A268,'SegEnds_NonXtal_BW#'!$A:$Z,3,FALSE)+D268-50</f>
        <v>40</v>
      </c>
      <c r="D268" s="3">
        <v>60</v>
      </c>
      <c r="E268" s="3">
        <f>IF(ISERROR(VLOOKUP($A268,'SegEnds_NonXtal_BW#'!$A:$Z,4,FALSE)+VLOOKUP($A268,A:AL,4,FALSE)-50),"-",(VLOOKUP($A268,'SegEnds_NonXtal_BW#'!$A:$Z,4,FALSE)+VLOOKUP($A268,A:AL,4,FALSE)-50))</f>
        <v>70</v>
      </c>
      <c r="F268" s="3" t="str">
        <f>IF(ISERROR(VLOOKUP($A268,'SegEnds_NonXtal_BW#'!$A:$Z,5,FALSE)+VLOOKUP($A268,A:AL,7,FALSE)-50),"-",(VLOOKUP($A268,'SegEnds_NonXtal_BW#'!$A:$Z,5,FALSE)+VLOOKUP($A268,A:AL,7,FALSE)-50))</f>
        <v>-</v>
      </c>
      <c r="G268" s="3" t="s">
        <v>23</v>
      </c>
      <c r="H268" s="3" t="str">
        <f>IF(ISERROR(VLOOKUP($A268,'SegEnds_NonXtal_BW#'!$A:$Z,6,FALSE)+VLOOKUP($A268,A:AL,7,FALSE)-50),"-",(VLOOKUP($A268,'SegEnds_NonXtal_BW#'!$A:$Z,6,FALSE)+VLOOKUP($A268,A:AL,7,FALSE)-50))</f>
        <v>-</v>
      </c>
      <c r="I268" s="3">
        <f>VLOOKUP($A268,'SegEnds_NonXtal_BW#'!$A:$Z,7,FALSE)+J268-50</f>
        <v>75</v>
      </c>
      <c r="J268" s="3">
        <v>88</v>
      </c>
      <c r="K268" s="3">
        <f>VLOOKUP($A268,'SegEnds_NonXtal_BW#'!$A:$Z,8,FALSE)+VLOOKUP($A268,A:AL,10,FALSE)-50</f>
        <v>104</v>
      </c>
      <c r="L268" s="3">
        <f>M268-1</f>
        <v>107</v>
      </c>
      <c r="M268" s="3">
        <v>108</v>
      </c>
      <c r="N268" s="3">
        <f>M268+2</f>
        <v>110</v>
      </c>
      <c r="O268" s="3">
        <f>N268+1</f>
        <v>111</v>
      </c>
      <c r="P268" s="3">
        <v>140</v>
      </c>
      <c r="Q268" s="3">
        <f>VLOOKUP($A268,'SegEnds_NonXtal_BW#'!$A:$Z,12,FALSE)+VLOOKUP($A268,A:AL,16,FALSE)-50</f>
        <v>146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155</v>
      </c>
      <c r="V268" s="3">
        <v>167</v>
      </c>
      <c r="W268" s="3">
        <f>IF(ISERROR(VLOOKUP($A268,'SegEnds_NonXtal_BW#'!$A:$Z,16,FALSE)+VLOOKUP($A268,A:AL,22,FALSE)-50),"-",(VLOOKUP($A268,'SegEnds_NonXtal_BW#'!$A:$Z,16,FALSE)+VLOOKUP($A268,A:AL,22,FALSE)-50))</f>
        <v>181</v>
      </c>
      <c r="X268" s="3">
        <f>IF(ISERROR(VLOOKUP($A268,'SegEnds_NonXtal_BW#'!$A:$Z,17,FALSE)+VLOOKUP($A268,A:AL,25,FALSE)-50),"-",(VLOOKUP($A268,'SegEnds_NonXtal_BW#'!$A:$Z,17,FALSE)+VLOOKUP($A268,A:AL,25,FALSE)-50))</f>
        <v>186</v>
      </c>
      <c r="Y268" s="3">
        <v>186</v>
      </c>
      <c r="Z268" s="3">
        <f t="shared" si="144"/>
        <v>188</v>
      </c>
      <c r="AA268" s="3">
        <f>IF(ISERROR(VLOOKUP($A268,'SegEnds_NonXtal_BW#'!$A:$Z,19,FALSE)+VLOOKUP($A268,A:AL,28,FALSE)-50),"-",(VLOOKUP($A268,'SegEnds_NonXtal_BW#'!$A:$Z,19,FALSE)+VLOOKUP($A268,A:AL,28,FALSE)-50))</f>
        <v>193</v>
      </c>
      <c r="AB268" s="3">
        <v>211</v>
      </c>
      <c r="AC268" s="3">
        <f>IF(ISERROR((VLOOKUP($A268,'SegEnds_NonXtal_BW#'!$A:$Z,20,FALSE)+VLOOKUP($A268,A:AL,28,FALSE)-50)),"-",(VLOOKUP($A268,'SegEnds_NonXtal_BW#'!$A:$Z,20,FALSE)+VLOOKUP($A268,A:AL,28,FALSE)-50))</f>
        <v>228</v>
      </c>
      <c r="AD268" s="3">
        <f>IF(ISERROR(VLOOKUP($A268,'SegEnds_NonXtal_BW#'!$A:$Z,21,FALSE)+VLOOKUP($A268,A:AL,31,FALSE)-50),"-",(VLOOKUP($A268,'SegEnds_NonXtal_BW#'!$A:$Z,21,FALSE)+VLOOKUP($A268,A:AL,31,FALSE)-50))</f>
        <v>233</v>
      </c>
      <c r="AE268" s="3">
        <v>257</v>
      </c>
      <c r="AF268" s="3">
        <f>IF(ISERROR((VLOOKUP($A268,'SegEnds_NonXtal_BW#'!$A:$Z,22,FALSE)+VLOOKUP($A268,A:AL,31,FALSE)-50)),"-",(VLOOKUP($A268,'SegEnds_NonXtal_BW#'!$A:$Z,22,FALSE)+VLOOKUP($A268,A:AL,31,FALSE)-50))</f>
        <v>271</v>
      </c>
      <c r="AG268" s="3">
        <f>IF(ISERROR(VLOOKUP($A268,'SegEnds_NonXtal_BW#'!$A:$Z,23,FALSE)+VLOOKUP($A268,A:AL,34,FALSE)-50),"-",(VLOOKUP($A268,'SegEnds_NonXtal_BW#'!$A:$Z,23,FALSE)+VLOOKUP($A268,A:AL,34,FALSE)-50))</f>
        <v>279</v>
      </c>
      <c r="AH268" s="3">
        <v>305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312</v>
      </c>
      <c r="AK268" s="3">
        <v>315</v>
      </c>
      <c r="AL268" s="3">
        <f>IF(ISERROR((VLOOKUP($A268,'SegEnds_NonXtal_BW#'!$A:$Z,26,FALSE)+VLOOKUP($A268,A:AL,37,FALSE)-50)),"-",(VLOOKUP($A268,'SegEnds_NonXtal_BW#'!$A:$Z,26,FALSE)+VLOOKUP($A268,A:AL,37,FALSE)-50))</f>
        <v>324</v>
      </c>
      <c r="AM268" s="28" t="str">
        <f>VLOOKUP(A268,Classification!A:B,2,FALSE)</f>
        <v>A</v>
      </c>
      <c r="AN268" s="28" t="b">
        <f t="shared" si="188"/>
        <v>1</v>
      </c>
      <c r="AO268" s="3" t="str">
        <f>IF(ISERROR(MATCH(A268,'SegEnds_Xtal_Prot#'!B:B, 0)), "NoXtal", "Xtal")</f>
        <v>NoXtal</v>
      </c>
      <c r="AP268" s="3" t="str">
        <f t="shared" si="173"/>
        <v>-</v>
      </c>
      <c r="AQ268" s="3" t="str">
        <f t="shared" si="174"/>
        <v>-</v>
      </c>
      <c r="AR268" s="3">
        <f t="shared" si="175"/>
        <v>3</v>
      </c>
      <c r="AS268" s="3">
        <f t="shared" si="176"/>
        <v>1</v>
      </c>
      <c r="AT268" s="3" t="str">
        <f t="shared" si="177"/>
        <v>-</v>
      </c>
      <c r="AU268" s="3" t="str">
        <f t="shared" si="178"/>
        <v>-</v>
      </c>
      <c r="AV268" s="3">
        <f t="shared" si="179"/>
        <v>5</v>
      </c>
      <c r="AW268" s="3">
        <f t="shared" si="180"/>
        <v>5</v>
      </c>
      <c r="AX268" s="3">
        <f t="shared" si="181"/>
        <v>5</v>
      </c>
      <c r="AY268" s="3">
        <f t="shared" si="182"/>
        <v>8</v>
      </c>
      <c r="AZ268" s="3">
        <f t="shared" si="183"/>
        <v>1</v>
      </c>
      <c r="BA268" s="3">
        <f>IF(ISERROR(LEN(VLOOKUP(A268,Seqs!A:E,2,FALSE))-AL268),"-",LEN(VLOOKUP(A268,Seqs!A:E,2,FALSE))-AL268)</f>
        <v>56</v>
      </c>
      <c r="BB268" s="16">
        <f t="shared" si="184"/>
        <v>28</v>
      </c>
      <c r="BC268" s="9" t="str">
        <f t="shared" si="185"/>
        <v>-</v>
      </c>
      <c r="BD268" s="3">
        <f t="shared" si="186"/>
        <v>28</v>
      </c>
      <c r="BE268" s="3">
        <f t="shared" si="187"/>
        <v>46</v>
      </c>
    </row>
    <row r="269" spans="1:58" s="3" customFormat="1" x14ac:dyDescent="0.2">
      <c r="A269" s="3" t="s">
        <v>215</v>
      </c>
      <c r="B269" s="3" t="str">
        <f>LOWER(VLOOKUP(A269,Xtal_Templ!A:B,2,FALSE))</f>
        <v>mtr1a_human</v>
      </c>
      <c r="C269" s="3">
        <f>VLOOKUP($A269,'SegEnds_NonXtal_BW#'!$A:$Z,3,FALSE)+D269-50</f>
        <v>99</v>
      </c>
      <c r="D269" s="3">
        <v>121</v>
      </c>
      <c r="E269" s="3">
        <f>IF(ISERROR(VLOOKUP($A269,'SegEnds_NonXtal_BW#'!$A:$Z,4,FALSE)+VLOOKUP($A269,A:AL,4,FALSE)-50),"-",(VLOOKUP($A269,'SegEnds_NonXtal_BW#'!$A:$Z,4,FALSE)+VLOOKUP($A269,A:AL,4,FALSE)-50))</f>
        <v>131</v>
      </c>
      <c r="F269" s="3">
        <f>G269-2</f>
        <v>132</v>
      </c>
      <c r="G269" s="3">
        <v>134</v>
      </c>
      <c r="H269" s="3">
        <f>G269+1</f>
        <v>135</v>
      </c>
      <c r="I269" s="3">
        <f>H269+1</f>
        <v>136</v>
      </c>
      <c r="J269" s="3">
        <v>149</v>
      </c>
      <c r="K269" s="3">
        <f>VLOOKUP($A269,'SegEnds_NonXtal_BW#'!$A:$Z,8,FALSE)+VLOOKUP($A269,A:AL,10,FALSE)-50</f>
        <v>167</v>
      </c>
      <c r="L269" s="3" t="str">
        <f>IF(ISERROR(VLOOKUP($A269,'SegEnds_NonXtal_BW#'!$A:$Z,9,FALSE)+VLOOKUP($A269,A:AL,13,FALSE)-50),"-",(VLOOKUP($A269,'SegEnds_NonXtal_BW#'!$A:$Z,9,FALSE)+VLOOKUP($A269,A:AL,13,FALSE)-50))</f>
        <v>-</v>
      </c>
      <c r="M269" s="3" t="s">
        <v>23</v>
      </c>
      <c r="N269" s="3" t="str">
        <f>IF(ISERROR(VLOOKUP($A269,'SegEnds_NonXtal_BW#'!$A:$Z,10,FALSE)+VLOOKUP($A269,A:AL,13,FALSE)-50),"-",(VLOOKUP($A269,'SegEnds_NonXtal_BW#'!$A:$Z,10,FALSE)+VLOOKUP($A269,A:AL,13,FALSE)-50))</f>
        <v>-</v>
      </c>
      <c r="O269" s="3">
        <f>VLOOKUP($A269,'SegEnds_NonXtal_BW#'!$A:$Z,11,FALSE)+VLOOKUP($A269,A:AL,16,FALSE)-50</f>
        <v>177</v>
      </c>
      <c r="P269" s="3">
        <v>209</v>
      </c>
      <c r="Q269" s="3">
        <f>VLOOKUP($A269,'SegEnds_NonXtal_BW#'!$A:$Z,12,FALSE)+VLOOKUP($A269,A:AL,16,FALSE)-50</f>
        <v>215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222</v>
      </c>
      <c r="V269" s="3">
        <v>234</v>
      </c>
      <c r="W269" s="3">
        <f>IF(ISERROR(VLOOKUP($A269,'SegEnds_NonXtal_BW#'!$A:$Z,16,FALSE)+VLOOKUP($A269,A:AL,22,FALSE)-50),"-",(VLOOKUP($A269,'SegEnds_NonXtal_BW#'!$A:$Z,16,FALSE)+VLOOKUP($A269,A:AL,22,FALSE)-50))</f>
        <v>248</v>
      </c>
      <c r="X269" s="3">
        <f>IF(ISERROR(VLOOKUP($A269,'SegEnds_NonXtal_BW#'!$A:$Z,17,FALSE)+VLOOKUP($A269,A:AL,25,FALSE)-50),"-",(VLOOKUP($A269,'SegEnds_NonXtal_BW#'!$A:$Z,17,FALSE)+VLOOKUP($A269,A:AL,25,FALSE)-50))</f>
        <v>262</v>
      </c>
      <c r="Y269" s="3">
        <v>262</v>
      </c>
      <c r="Z269" s="3">
        <f t="shared" si="144"/>
        <v>264</v>
      </c>
      <c r="AA269" s="3">
        <f>IF(ISERROR(VLOOKUP($A269,'SegEnds_NonXtal_BW#'!$A:$Z,19,FALSE)+VLOOKUP($A269,A:AL,28,FALSE)-50),"-",(VLOOKUP($A269,'SegEnds_NonXtal_BW#'!$A:$Z,19,FALSE)+VLOOKUP($A269,A:AL,28,FALSE)-50))</f>
        <v>274</v>
      </c>
      <c r="AB269" s="3">
        <v>289</v>
      </c>
      <c r="AC269" s="3">
        <f>IF(ISERROR((VLOOKUP($A269,'SegEnds_NonXtal_BW#'!$A:$Z,20,FALSE)+VLOOKUP($A269,A:AL,28,FALSE)-50)),"-",(VLOOKUP($A269,'SegEnds_NonXtal_BW#'!$A:$Z,20,FALSE)+VLOOKUP($A269,A:AL,28,FALSE)-50))</f>
        <v>312</v>
      </c>
      <c r="AD269" s="3">
        <f>IF(ISERROR(VLOOKUP($A269,'SegEnds_NonXtal_BW#'!$A:$Z,21,FALSE)+VLOOKUP($A269,A:AL,31,FALSE)-50),"-",(VLOOKUP($A269,'SegEnds_NonXtal_BW#'!$A:$Z,21,FALSE)+VLOOKUP($A269,A:AL,31,FALSE)-50))</f>
        <v>318</v>
      </c>
      <c r="AE269" s="3">
        <v>346</v>
      </c>
      <c r="AF269" s="3">
        <f>IF(ISERROR((VLOOKUP($A269,'SegEnds_NonXtal_BW#'!$A:$Z,22,FALSE)+VLOOKUP($A269,A:AL,31,FALSE)-50)),"-",(VLOOKUP($A269,'SegEnds_NonXtal_BW#'!$A:$Z,22,FALSE)+VLOOKUP($A269,A:AL,31,FALSE)-50))</f>
        <v>357</v>
      </c>
      <c r="AG269" s="3">
        <f>IF(ISERROR(VLOOKUP($A269,'SegEnds_NonXtal_BW#'!$A:$Z,23,FALSE)+VLOOKUP($A269,A:AL,34,FALSE)-50),"-",(VLOOKUP($A269,'SegEnds_NonXtal_BW#'!$A:$Z,23,FALSE)+VLOOKUP($A269,A:AL,34,FALSE)-50))</f>
        <v>365</v>
      </c>
      <c r="AH269" s="3">
        <v>384</v>
      </c>
      <c r="AI269" s="3">
        <f>IF(ISERROR((VLOOKUP($A269,'SegEnds_NonXtal_BW#'!$A:$Z,24,FALSE)+VLOOKUP($A269,A:AL,34,FALSE)-50)),"-",(VLOOKUP($A269,'SegEnds_NonXtal_BW#'!$A:$Z,24,FALSE)+VLOOKUP($A269,A:AL,34,FALSE)-50))</f>
        <v>390</v>
      </c>
      <c r="AJ269" s="3">
        <f>IF(ISERROR(VLOOKUP($A269,'SegEnds_NonXtal_BW#'!$A:$Z,25,FALSE)+VLOOKUP($A269,A:AL,37,FALSE)-50),"-",(VLOOKUP($A269,'SegEnds_NonXtal_BW#'!$A:$Z,25,FALSE)+VLOOKUP($A269,A:AL,37,FALSE)-50))</f>
        <v>391</v>
      </c>
      <c r="AK269" s="3">
        <v>394</v>
      </c>
      <c r="AL269" s="3">
        <f>IF(ISERROR((VLOOKUP($A269,'SegEnds_NonXtal_BW#'!$A:$Z,26,FALSE)+VLOOKUP($A269,A:AL,37,FALSE)-50)),"-",(VLOOKUP($A269,'SegEnds_NonXtal_BW#'!$A:$Z,26,FALSE)+VLOOKUP($A269,A:AL,37,FALSE)-50))</f>
        <v>407</v>
      </c>
      <c r="AM269" s="28" t="str">
        <f>VLOOKUP(A269,Classification!A:B,2,FALSE)</f>
        <v>A</v>
      </c>
      <c r="AN269" s="28" t="b">
        <f t="shared" si="188"/>
        <v>1</v>
      </c>
      <c r="AO269" s="3" t="str">
        <f>IF(ISERROR(MATCH(A269,'SegEnds_Xtal_Prot#'!B:B, 0)), "NoXtal", "Xtal")</f>
        <v>NoXtal</v>
      </c>
      <c r="AP269" s="3">
        <f t="shared" si="173"/>
        <v>1</v>
      </c>
      <c r="AQ269" s="3">
        <f t="shared" si="174"/>
        <v>1</v>
      </c>
      <c r="AR269" s="3" t="str">
        <f t="shared" si="175"/>
        <v>-</v>
      </c>
      <c r="AS269" s="3" t="str">
        <f t="shared" si="176"/>
        <v>-</v>
      </c>
      <c r="AT269" s="3" t="str">
        <f t="shared" si="177"/>
        <v>-</v>
      </c>
      <c r="AU269" s="3" t="str">
        <f t="shared" si="178"/>
        <v>-</v>
      </c>
      <c r="AV269" s="3">
        <f t="shared" si="179"/>
        <v>14</v>
      </c>
      <c r="AW269" s="3">
        <f t="shared" si="180"/>
        <v>10</v>
      </c>
      <c r="AX269" s="3">
        <f t="shared" si="181"/>
        <v>6</v>
      </c>
      <c r="AY269" s="3">
        <f t="shared" si="182"/>
        <v>8</v>
      </c>
      <c r="AZ269" s="3">
        <f t="shared" si="183"/>
        <v>1</v>
      </c>
      <c r="BA269" s="3">
        <f>IF(ISERROR(LEN(VLOOKUP(A269,Seqs!A:E,2,FALSE))-AL269),"-",LEN(VLOOKUP(A269,Seqs!A:E,2,FALSE))-AL269)</f>
        <v>87</v>
      </c>
      <c r="BB269" s="16">
        <f t="shared" si="184"/>
        <v>28</v>
      </c>
      <c r="BC269" s="9" t="str">
        <f t="shared" si="185"/>
        <v>-</v>
      </c>
      <c r="BD269" s="3">
        <f t="shared" si="186"/>
        <v>28</v>
      </c>
      <c r="BE269" s="3">
        <f t="shared" si="187"/>
        <v>57</v>
      </c>
    </row>
    <row r="270" spans="1:58" s="3" customFormat="1" x14ac:dyDescent="0.2">
      <c r="A270" s="3" t="s">
        <v>219</v>
      </c>
      <c r="B270" s="3" t="str">
        <f>LOWER(VLOOKUP(A270,Xtal_Templ!A:B,2,FALSE))</f>
        <v>agtr1_human</v>
      </c>
      <c r="C270" s="3">
        <f>VLOOKUP($A270,'SegEnds_NonXtal_BW#'!$A:$Z,3,FALSE)+D270-50</f>
        <v>23</v>
      </c>
      <c r="D270" s="3">
        <v>45</v>
      </c>
      <c r="E270" s="3">
        <f>IF(ISERROR(VLOOKUP($A270,'SegEnds_NonXtal_BW#'!$A:$Z,4,FALSE)+VLOOKUP($A270,A:AL,4,FALSE)-50),"-",(VLOOKUP($A270,'SegEnds_NonXtal_BW#'!$A:$Z,4,FALSE)+VLOOKUP($A270,A:AL,4,FALSE)-50))</f>
        <v>55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65</v>
      </c>
      <c r="J270" s="3">
        <v>78</v>
      </c>
      <c r="K270" s="3">
        <f>VLOOKUP($A270,'SegEnds_NonXtal_BW#'!$A:$Z,8,FALSE)+VLOOKUP($A270,A:AL,10,FALSE)-50</f>
        <v>91</v>
      </c>
      <c r="L270" s="3">
        <f>M270-1</f>
        <v>94</v>
      </c>
      <c r="M270" s="3">
        <v>95</v>
      </c>
      <c r="N270" s="3">
        <f>M270+2</f>
        <v>97</v>
      </c>
      <c r="O270" s="3">
        <f>N270+1</f>
        <v>98</v>
      </c>
      <c r="P270" s="3">
        <v>127</v>
      </c>
      <c r="Q270" s="3">
        <f>VLOOKUP($A270,'SegEnds_NonXtal_BW#'!$A:$Z,12,FALSE)+VLOOKUP($A270,A:AL,16,FALSE)-50</f>
        <v>133</v>
      </c>
      <c r="R270" s="3" t="str">
        <f>IF(ISERROR(VLOOKUP($A270,'SegEnds_NonXtal_BW#'!$A:$Z,13,FALSE)+VLOOKUP($A270,A:AL,19,FALSE)-50),"-",VLOOKUP($A270,'SegEnds_NonXtal_BW#'!$A:$Z,13,FALSE)+VLOOKUP($A270,A:AL,19,FALSE)-50)</f>
        <v>-</v>
      </c>
      <c r="S270" s="3" t="s">
        <v>23</v>
      </c>
      <c r="T270" s="100" t="str">
        <f>IF(ISERROR(VLOOKUP($A270,'SegEnds_NonXtal_BW#'!$A:$Z,14,FALSE)+VLOOKUP($A270,A:AL,19,FALSE)-50),"-",(VLOOKUP($A270,'SegEnds_NonXtal_BW#'!$A:$Z,14,FALSE)+VLOOKUP($A270,A:AL,19,FALSE)-50))</f>
        <v>-</v>
      </c>
      <c r="U270" s="9">
        <f>IF(ISERROR(VLOOKUP($A270,'SegEnds_NonXtal_BW#'!$A:$Z,15,FALSE)+VLOOKUP($A270,A:AL,22,FALSE)-50),"-",VLOOKUP($A270,'SegEnds_NonXtal_BW#'!$A:$Z,15,FALSE)+VLOOKUP($A270,A:AL,22,FALSE)-50)</f>
        <v>140</v>
      </c>
      <c r="V270" s="3">
        <v>152</v>
      </c>
      <c r="W270" s="3">
        <f>IF(ISERROR(VLOOKUP($A270,'SegEnds_NonXtal_BW#'!$A:$Z,16,FALSE)+VLOOKUP($A270,A:AL,22,FALSE)-50),"-",(VLOOKUP($A270,'SegEnds_NonXtal_BW#'!$A:$Z,16,FALSE)+VLOOKUP($A270,A:AL,22,FALSE)-50))</f>
        <v>166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183</v>
      </c>
      <c r="AB270" s="3">
        <v>199</v>
      </c>
      <c r="AC270" s="3">
        <f>IF(ISERROR((VLOOKUP($A270,'SegEnds_NonXtal_BW#'!$A:$Z,20,FALSE)+VLOOKUP($A270,A:AL,28,FALSE)-50)),"-",(VLOOKUP($A270,'SegEnds_NonXtal_BW#'!$A:$Z,20,FALSE)+VLOOKUP($A270,A:AL,28,FALSE)-50))</f>
        <v>217</v>
      </c>
      <c r="AD270" s="3">
        <f>IF(ISERROR(VLOOKUP($A270,'SegEnds_NonXtal_BW#'!$A:$Z,21,FALSE)+VLOOKUP($A270,A:AL,31,FALSE)-50),"-",(VLOOKUP($A270,'SegEnds_NonXtal_BW#'!$A:$Z,21,FALSE)+VLOOKUP($A270,A:AL,31,FALSE)-50))</f>
        <v>222</v>
      </c>
      <c r="AE270" s="3">
        <v>248</v>
      </c>
      <c r="AF270" s="3">
        <f>IF(ISERROR((VLOOKUP($A270,'SegEnds_NonXtal_BW#'!$A:$Z,22,FALSE)+VLOOKUP($A270,A:AL,31,FALSE)-50)),"-",(VLOOKUP($A270,'SegEnds_NonXtal_BW#'!$A:$Z,22,FALSE)+VLOOKUP($A270,A:AL,31,FALSE)-50))</f>
        <v>262</v>
      </c>
      <c r="AG270" s="3">
        <f>IF(ISERROR(VLOOKUP($A270,'SegEnds_NonXtal_BW#'!$A:$Z,23,FALSE)+VLOOKUP($A270,A:AL,34,FALSE)-50),"-",(VLOOKUP($A270,'SegEnds_NonXtal_BW#'!$A:$Z,23,FALSE)+VLOOKUP($A270,A:AL,34,FALSE)-50))</f>
        <v>267</v>
      </c>
      <c r="AH270" s="3">
        <v>293</v>
      </c>
      <c r="AI270" s="3">
        <f>IF(ISERROR((VLOOKUP($A270,'SegEnds_NonXtal_BW#'!$A:$Z,24,FALSE)+VLOOKUP($A270,A:AL,34,FALSE)-50)),"-",(VLOOKUP($A270,'SegEnds_NonXtal_BW#'!$A:$Z,24,FALSE)+VLOOKUP($A270,A:AL,34,FALSE)-50))</f>
        <v>299</v>
      </c>
      <c r="AJ270" s="3">
        <f>IF(ISERROR(VLOOKUP($A270,'SegEnds_NonXtal_BW#'!$A:$Z,25,FALSE)+VLOOKUP($A270,A:AL,37,FALSE)-50),"-",(VLOOKUP($A270,'SegEnds_NonXtal_BW#'!$A:$Z,25,FALSE)+VLOOKUP($A270,A:AL,37,FALSE)-50))</f>
        <v>300</v>
      </c>
      <c r="AK270" s="3">
        <v>303</v>
      </c>
      <c r="AL270" s="3">
        <f>IF(ISERROR((VLOOKUP($A270,'SegEnds_NonXtal_BW#'!$A:$Z,26,FALSE)+VLOOKUP($A270,A:AL,37,FALSE)-50)),"-",(VLOOKUP($A270,'SegEnds_NonXtal_BW#'!$A:$Z,26,FALSE)+VLOOKUP($A270,A:AL,37,FALSE)-50))</f>
        <v>314</v>
      </c>
      <c r="AM270" s="28" t="str">
        <f>VLOOKUP(A270,Classification!A:B,2,FALSE)</f>
        <v>A</v>
      </c>
      <c r="AN270" s="28" t="b">
        <f t="shared" si="188"/>
        <v>1</v>
      </c>
      <c r="AO270" s="3" t="str">
        <f>IF(ISERROR(MATCH(A270,'SegEnds_Xtal_Prot#'!B:B, 0)), "NoXtal", "Xtal")</f>
        <v>NoXtal</v>
      </c>
      <c r="AP270" s="3" t="str">
        <f t="shared" si="173"/>
        <v>-</v>
      </c>
      <c r="AQ270" s="3" t="str">
        <f t="shared" si="174"/>
        <v>-</v>
      </c>
      <c r="AR270" s="3">
        <f t="shared" si="175"/>
        <v>3</v>
      </c>
      <c r="AS270" s="3">
        <f t="shared" si="176"/>
        <v>1</v>
      </c>
      <c r="AT270" s="3" t="str">
        <f t="shared" si="177"/>
        <v>-</v>
      </c>
      <c r="AU270" s="3" t="str">
        <f t="shared" si="178"/>
        <v>-</v>
      </c>
      <c r="AV270" s="3" t="str">
        <f t="shared" si="179"/>
        <v>-</v>
      </c>
      <c r="AW270" s="3" t="str">
        <f t="shared" si="180"/>
        <v>-</v>
      </c>
      <c r="AX270" s="3">
        <f t="shared" si="181"/>
        <v>5</v>
      </c>
      <c r="AY270" s="3">
        <f t="shared" si="182"/>
        <v>5</v>
      </c>
      <c r="AZ270" s="3">
        <f t="shared" si="183"/>
        <v>1</v>
      </c>
      <c r="BA270" s="3">
        <f>IF(ISERROR(LEN(VLOOKUP(A270,Seqs!A:E,2,FALSE))-AL270),"-",LEN(VLOOKUP(A270,Seqs!A:E,2,FALSE))-AL270)</f>
        <v>19</v>
      </c>
      <c r="BB270" s="16">
        <f t="shared" si="184"/>
        <v>33</v>
      </c>
      <c r="BC270" s="9" t="str">
        <f t="shared" si="185"/>
        <v>-</v>
      </c>
      <c r="BD270" s="3">
        <f t="shared" si="186"/>
        <v>33</v>
      </c>
      <c r="BE270" s="3">
        <f t="shared" si="187"/>
        <v>49</v>
      </c>
      <c r="BF270" s="3">
        <f>AH270-AE270</f>
        <v>45</v>
      </c>
    </row>
    <row r="271" spans="1:58" s="3" customFormat="1" x14ac:dyDescent="0.2">
      <c r="A271" s="3" t="s">
        <v>221</v>
      </c>
      <c r="B271" s="3" t="str">
        <f>LOWER(VLOOKUP(A271,Xtal_Templ!A:B,2,FALSE))</f>
        <v>s1pr1_human</v>
      </c>
      <c r="C271" s="3">
        <f>VLOOKUP($A271,'SegEnds_NonXtal_BW#'!$A:$Z,3,FALSE)+D271-50</f>
        <v>12</v>
      </c>
      <c r="D271" s="3">
        <v>33</v>
      </c>
      <c r="E271" s="3">
        <f>IF(ISERROR(VLOOKUP($A271,'SegEnds_NonXtal_BW#'!$A:$Z,4,FALSE)+VLOOKUP($A271,A:AL,4,FALSE)-50),"-",(VLOOKUP($A271,'SegEnds_NonXtal_BW#'!$A:$Z,4,FALSE)+VLOOKUP($A271,A:AL,4,FALSE)-50))</f>
        <v>43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49</v>
      </c>
      <c r="J271" s="3">
        <v>62</v>
      </c>
      <c r="K271" s="3">
        <f>VLOOKUP($A271,'SegEnds_NonXtal_BW#'!$A:$Z,8,FALSE)+VLOOKUP($A271,A:AL,10,FALSE)-50</f>
        <v>79</v>
      </c>
      <c r="L271" s="3">
        <f>M271-1</f>
        <v>87</v>
      </c>
      <c r="M271" s="3">
        <v>88</v>
      </c>
      <c r="N271" s="3">
        <f>M271+2</f>
        <v>90</v>
      </c>
      <c r="O271" s="3">
        <f>N271+1</f>
        <v>91</v>
      </c>
      <c r="P271" s="3">
        <v>131</v>
      </c>
      <c r="Q271" s="3">
        <f>VLOOKUP($A271,'SegEnds_NonXtal_BW#'!$A:$Z,12,FALSE)+VLOOKUP($A271,A:AL,16,FALSE)-50</f>
        <v>137</v>
      </c>
      <c r="R271" s="3" t="str">
        <f>S271</f>
        <v>-</v>
      </c>
      <c r="S271" s="3" t="s">
        <v>23</v>
      </c>
      <c r="T271" s="100" t="s">
        <v>23</v>
      </c>
      <c r="U271" s="9">
        <f>IF(ISERROR(VLOOKUP($A271,'SegEnds_NonXtal_BW#'!$A:$Z,15,FALSE)+VLOOKUP($A271,A:AL,22,FALSE)-50),"-",VLOOKUP($A271,'SegEnds_NonXtal_BW#'!$A:$Z,15,FALSE)+VLOOKUP($A271,A:AL,22,FALSE)-50)</f>
        <v>146</v>
      </c>
      <c r="V271" s="3">
        <v>158</v>
      </c>
      <c r="W271" s="3">
        <f>IF(ISERROR(VLOOKUP($A271,'SegEnds_NonXtal_BW#'!$A:$Z,16,FALSE)+VLOOKUP($A271,A:AL,22,FALSE)-50),"-",(VLOOKUP($A271,'SegEnds_NonXtal_BW#'!$A:$Z,16,FALSE)+VLOOKUP($A271,A:AL,22,FALSE)-50))</f>
        <v>171</v>
      </c>
      <c r="X271" s="3" t="str">
        <f>IF(ISERROR(VLOOKUP($A271,'SegEnds_NonXtal_BW#'!$A:$Z,17,FALSE)+VLOOKUP($A271,A:AL,25,FALSE)-50),"-",(VLOOKUP($A271,'SegEnds_NonXtal_BW#'!$A:$Z,17,FALSE)+VLOOKUP($A271,A:AL,25,FALSE)-50))</f>
        <v>-</v>
      </c>
      <c r="Y271" s="3" t="s">
        <v>23</v>
      </c>
      <c r="Z271" s="3" t="str">
        <f>IF(ISERROR(VLOOKUP($A271,'SegEnds_NonXtal_BW#'!$A:$Z,18,FALSE)+VLOOKUP($A271,A:AL,25,FALSE)-50),"-",(VLOOKUP($A271,'SegEnds_NonXtal_BW#'!$A:$Z,18,FALSE)+VLOOKUP($A271,A:AL,25,FALSE)-50))</f>
        <v>-</v>
      </c>
      <c r="AA271" s="3">
        <f>IF(ISERROR(VLOOKUP($A271,'SegEnds_NonXtal_BW#'!$A:$Z,19,FALSE)+VLOOKUP($A271,A:AL,28,FALSE)-50),"-",(VLOOKUP($A271,'SegEnds_NonXtal_BW#'!$A:$Z,19,FALSE)+VLOOKUP($A271,A:AL,28,FALSE)-50))</f>
        <v>197</v>
      </c>
      <c r="AB271" s="3">
        <v>211</v>
      </c>
      <c r="AC271" s="3">
        <f>IF(ISERROR((VLOOKUP($A271,'SegEnds_NonXtal_BW#'!$A:$Z,20,FALSE)+VLOOKUP($A271,A:AL,28,FALSE)-50)),"-",(VLOOKUP($A271,'SegEnds_NonXtal_BW#'!$A:$Z,20,FALSE)+VLOOKUP($A271,A:AL,28,FALSE)-50))</f>
        <v>237</v>
      </c>
      <c r="AD271" s="3">
        <f>IF(ISERROR(VLOOKUP($A271,'SegEnds_NonXtal_BW#'!$A:$Z,21,FALSE)+VLOOKUP($A271,A:AL,31,FALSE)-50),"-",(VLOOKUP($A271,'SegEnds_NonXtal_BW#'!$A:$Z,21,FALSE)+VLOOKUP($A271,A:AL,31,FALSE)-50))</f>
        <v>299</v>
      </c>
      <c r="AE271" s="3">
        <v>325</v>
      </c>
      <c r="AF271" s="3">
        <f>IF(ISERROR((VLOOKUP($A271,'SegEnds_NonXtal_BW#'!$A:$Z,22,FALSE)+VLOOKUP($A271,A:AL,31,FALSE)-50)),"-",(VLOOKUP($A271,'SegEnds_NonXtal_BW#'!$A:$Z,22,FALSE)+VLOOKUP($A271,A:AL,31,FALSE)-50))</f>
        <v>336</v>
      </c>
      <c r="AG271" s="3">
        <f>IF(ISERROR(VLOOKUP($A271,'SegEnds_NonXtal_BW#'!$A:$Z,23,FALSE)+VLOOKUP($A271,A:AL,34,FALSE)-50),"-",(VLOOKUP($A271,'SegEnds_NonXtal_BW#'!$A:$Z,23,FALSE)+VLOOKUP($A271,A:AL,34,FALSE)-50))</f>
        <v>341</v>
      </c>
      <c r="AH271" s="3">
        <v>359</v>
      </c>
      <c r="AI271" s="3">
        <f>IF(ISERROR((VLOOKUP($A271,'SegEnds_NonXtal_BW#'!$A:$Z,24,FALSE)+VLOOKUP($A271,A:AL,34,FALSE)-50)),"-",(VLOOKUP($A271,'SegEnds_NonXtal_BW#'!$A:$Z,24,FALSE)+VLOOKUP($A271,A:AL,34,FALSE)-50))</f>
        <v>365</v>
      </c>
      <c r="AJ271" s="3">
        <f>IF(ISERROR(VLOOKUP($A271,'SegEnds_NonXtal_BW#'!$A:$Z,25,FALSE)+VLOOKUP($A271,A:AL,37,FALSE)-50),"-",(VLOOKUP($A271,'SegEnds_NonXtal_BW#'!$A:$Z,25,FALSE)+VLOOKUP($A271,A:AL,37,FALSE)-50))</f>
        <v>366</v>
      </c>
      <c r="AK271" s="3">
        <v>369</v>
      </c>
      <c r="AL271" s="3">
        <f>IF(ISERROR((VLOOKUP($A271,'SegEnds_NonXtal_BW#'!$A:$Z,26,FALSE)+VLOOKUP($A271,A:AL,37,FALSE)-50)),"-",(VLOOKUP($A271,'SegEnds_NonXtal_BW#'!$A:$Z,26,FALSE)+VLOOKUP($A271,A:AL,37,FALSE)-50))</f>
        <v>378</v>
      </c>
      <c r="AM271" s="28" t="str">
        <f>VLOOKUP(A271,Classification!A:B,2,FALSE)</f>
        <v>A</v>
      </c>
      <c r="AN271" s="28" t="b">
        <f t="shared" si="188"/>
        <v>1</v>
      </c>
      <c r="AO271" s="3" t="str">
        <f>IF(ISERROR(MATCH(A271,'SegEnds_Xtal_Prot#'!B:B, 0)), "NoXtal", "Xtal")</f>
        <v>NoXtal</v>
      </c>
      <c r="AP271" s="3" t="str">
        <f t="shared" si="173"/>
        <v>-</v>
      </c>
      <c r="AQ271" s="3" t="str">
        <f t="shared" si="174"/>
        <v>-</v>
      </c>
      <c r="AR271" s="3">
        <f t="shared" si="175"/>
        <v>8</v>
      </c>
      <c r="AS271" s="3">
        <f t="shared" si="176"/>
        <v>1</v>
      </c>
      <c r="AT271" s="3" t="str">
        <f t="shared" si="177"/>
        <v>-</v>
      </c>
      <c r="AU271" s="3" t="str">
        <f t="shared" si="178"/>
        <v>-</v>
      </c>
      <c r="AV271" s="3" t="str">
        <f t="shared" si="179"/>
        <v>-</v>
      </c>
      <c r="AW271" s="3" t="str">
        <f t="shared" si="180"/>
        <v>-</v>
      </c>
      <c r="AX271" s="3">
        <f t="shared" si="181"/>
        <v>62</v>
      </c>
      <c r="AY271" s="3">
        <f t="shared" si="182"/>
        <v>5</v>
      </c>
      <c r="AZ271" s="3">
        <f t="shared" si="183"/>
        <v>1</v>
      </c>
      <c r="BA271" s="3">
        <f>IF(ISERROR(LEN(VLOOKUP(A271,Seqs!A:E,2,FALSE))-AL271),"-",LEN(VLOOKUP(A271,Seqs!A:E,2,FALSE))-AL271)</f>
        <v>353</v>
      </c>
      <c r="BB271" s="16">
        <f t="shared" si="184"/>
        <v>29</v>
      </c>
      <c r="BC271" s="9" t="str">
        <f t="shared" si="185"/>
        <v>-</v>
      </c>
      <c r="BD271" s="3">
        <f t="shared" si="186"/>
        <v>29</v>
      </c>
      <c r="BE271" s="3">
        <f t="shared" si="187"/>
        <v>114</v>
      </c>
    </row>
    <row r="272" spans="1:58" s="3" customFormat="1" x14ac:dyDescent="0.2">
      <c r="A272" s="3" t="s">
        <v>222</v>
      </c>
      <c r="B272" s="3" t="str">
        <f>LOWER(VLOOKUP(A272,Xtal_Templ!A:B,2,FALSE))</f>
        <v>ox2r_human</v>
      </c>
      <c r="C272" s="3">
        <f>VLOOKUP($A272,'SegEnds_NonXtal_BW#'!$A:$Z,3,FALSE)+D272-50</f>
        <v>41</v>
      </c>
      <c r="D272" s="3">
        <v>60</v>
      </c>
      <c r="E272" s="3">
        <f>IF(ISERROR(VLOOKUP($A272,'SegEnds_NonXtal_BW#'!$A:$Z,4,FALSE)+VLOOKUP($A272,A:AL,4,FALSE)-50),"-",(VLOOKUP($A272,'SegEnds_NonXtal_BW#'!$A:$Z,4,FALSE)+VLOOKUP($A272,A:AL,4,FALSE)-50))</f>
        <v>70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80</v>
      </c>
      <c r="J272" s="3">
        <v>93</v>
      </c>
      <c r="K272" s="3">
        <f>VLOOKUP($A272,'SegEnds_NonXtal_BW#'!$A:$Z,8,FALSE)+VLOOKUP($A272,A:AL,10,FALSE)-50</f>
        <v>111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115</v>
      </c>
      <c r="P272" s="3">
        <v>147</v>
      </c>
      <c r="Q272" s="3">
        <f>VLOOKUP($A272,'SegEnds_NonXtal_BW#'!$A:$Z,12,FALSE)+VLOOKUP($A272,A:AL,16,FALSE)-50</f>
        <v>153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157</v>
      </c>
      <c r="V272" s="3">
        <v>169</v>
      </c>
      <c r="W272" s="3">
        <f>IF(ISERROR(VLOOKUP($A272,'SegEnds_NonXtal_BW#'!$A:$Z,16,FALSE)+VLOOKUP($A272,A:AL,22,FALSE)-50),"-",(VLOOKUP($A272,'SegEnds_NonXtal_BW#'!$A:$Z,16,FALSE)+VLOOKUP($A272,A:AL,22,FALSE)-50))</f>
        <v>183</v>
      </c>
      <c r="X272" s="3">
        <f>IF(ISERROR(VLOOKUP($A272,'SegEnds_NonXtal_BW#'!$A:$Z,17,FALSE)+VLOOKUP($A272,A:AL,25,FALSE)-50),"-",(VLOOKUP($A272,'SegEnds_NonXtal_BW#'!$A:$Z,17,FALSE)+VLOOKUP($A272,A:AL,25,FALSE)-50))</f>
        <v>217</v>
      </c>
      <c r="Y272" s="3">
        <v>217</v>
      </c>
      <c r="Z272" s="3">
        <f t="shared" ref="Z272:Z291" si="190">Y272+2</f>
        <v>219</v>
      </c>
      <c r="AA272" s="3">
        <f>IF(ISERROR(VLOOKUP($A272,'SegEnds_NonXtal_BW#'!$A:$Z,19,FALSE)+VLOOKUP($A272,A:AL,28,FALSE)-50),"-",(VLOOKUP($A272,'SegEnds_NonXtal_BW#'!$A:$Z,19,FALSE)+VLOOKUP($A272,A:AL,28,FALSE)-50))</f>
        <v>227</v>
      </c>
      <c r="AB272" s="3">
        <v>244</v>
      </c>
      <c r="AC272" s="3">
        <f>IF(ISERROR((VLOOKUP($A272,'SegEnds_NonXtal_BW#'!$A:$Z,20,FALSE)+VLOOKUP($A272,A:AL,28,FALSE)-50)),"-",(VLOOKUP($A272,'SegEnds_NonXtal_BW#'!$A:$Z,20,FALSE)+VLOOKUP($A272,A:AL,28,FALSE)-50))</f>
        <v>268</v>
      </c>
      <c r="AD272" s="3">
        <f>IF(ISERROR(VLOOKUP($A272,'SegEnds_NonXtal_BW#'!$A:$Z,21,FALSE)+VLOOKUP($A272,A:AL,31,FALSE)-50),"-",(VLOOKUP($A272,'SegEnds_NonXtal_BW#'!$A:$Z,21,FALSE)+VLOOKUP($A272,A:AL,31,FALSE)-50))</f>
        <v>281</v>
      </c>
      <c r="AE272" s="3">
        <v>310</v>
      </c>
      <c r="AF272" s="3">
        <f>IF(ISERROR((VLOOKUP($A272,'SegEnds_NonXtal_BW#'!$A:$Z,22,FALSE)+VLOOKUP($A272,A:AL,31,FALSE)-50)),"-",(VLOOKUP($A272,'SegEnds_NonXtal_BW#'!$A:$Z,22,FALSE)+VLOOKUP($A272,A:AL,31,FALSE)-50))</f>
        <v>321</v>
      </c>
      <c r="AG272" s="3">
        <f>IF(ISERROR(VLOOKUP($A272,'SegEnds_NonXtal_BW#'!$A:$Z,23,FALSE)+VLOOKUP($A272,A:AL,34,FALSE)-50),"-",(VLOOKUP($A272,'SegEnds_NonXtal_BW#'!$A:$Z,23,FALSE)+VLOOKUP($A272,A:AL,34,FALSE)-50))</f>
        <v>326</v>
      </c>
      <c r="AH272" s="3">
        <v>349</v>
      </c>
      <c r="AI272" s="3">
        <f>IF(ISERROR((VLOOKUP($A272,'SegEnds_NonXtal_BW#'!$A:$Z,24,FALSE)+VLOOKUP($A272,A:AL,34,FALSE)-50)),"-",(VLOOKUP($A272,'SegEnds_NonXtal_BW#'!$A:$Z,24,FALSE)+VLOOKUP($A272,A:AL,34,FALSE)-50))</f>
        <v>355</v>
      </c>
      <c r="AJ272" s="3">
        <f>IF(ISERROR(VLOOKUP($A272,'SegEnds_NonXtal_BW#'!$A:$Z,25,FALSE)+VLOOKUP($A272,A:AL,37,FALSE)-50),"-",(VLOOKUP($A272,'SegEnds_NonXtal_BW#'!$A:$Z,25,FALSE)+VLOOKUP($A272,A:AL,37,FALSE)-50))</f>
        <v>356</v>
      </c>
      <c r="AK272" s="3">
        <v>359</v>
      </c>
      <c r="AL272" s="3">
        <f>IF(ISERROR((VLOOKUP($A272,'SegEnds_NonXtal_BW#'!$A:$Z,26,FALSE)+VLOOKUP($A272,A:AL,37,FALSE)-50)),"-",(VLOOKUP($A272,'SegEnds_NonXtal_BW#'!$A:$Z,26,FALSE)+VLOOKUP($A272,A:AL,37,FALSE)-50))</f>
        <v>372</v>
      </c>
      <c r="AM272" s="28" t="str">
        <f>VLOOKUP(A272,Classification!A:B,2,FALSE)</f>
        <v>A</v>
      </c>
      <c r="AN272" s="28" t="b">
        <f t="shared" si="188"/>
        <v>1</v>
      </c>
      <c r="AO272" s="3" t="str">
        <f>IF(ISERROR(MATCH(A272,'SegEnds_Xtal_Prot#'!B:B, 0)), "NoXtal", "Xtal")</f>
        <v>NoXtal</v>
      </c>
      <c r="AP272" s="3" t="str">
        <f t="shared" si="173"/>
        <v>-</v>
      </c>
      <c r="AQ272" s="3" t="str">
        <f t="shared" si="174"/>
        <v>-</v>
      </c>
      <c r="AR272" s="3" t="str">
        <f t="shared" si="175"/>
        <v>-</v>
      </c>
      <c r="AS272" s="3" t="str">
        <f t="shared" si="176"/>
        <v>-</v>
      </c>
      <c r="AT272" s="3" t="str">
        <f t="shared" si="177"/>
        <v>-</v>
      </c>
      <c r="AU272" s="3" t="str">
        <f t="shared" si="178"/>
        <v>-</v>
      </c>
      <c r="AV272" s="3">
        <f t="shared" si="179"/>
        <v>34</v>
      </c>
      <c r="AW272" s="3">
        <f t="shared" si="180"/>
        <v>8</v>
      </c>
      <c r="AX272" s="3">
        <f t="shared" si="181"/>
        <v>13</v>
      </c>
      <c r="AY272" s="3">
        <f t="shared" si="182"/>
        <v>5</v>
      </c>
      <c r="AZ272" s="3">
        <f t="shared" si="183"/>
        <v>1</v>
      </c>
      <c r="BA272" s="3">
        <f>IF(ISERROR(LEN(VLOOKUP(A272,Seqs!A:E,2,FALSE))-AL272),"-",LEN(VLOOKUP(A272,Seqs!A:E,2,FALSE))-AL272)</f>
        <v>62</v>
      </c>
      <c r="BB272" s="16">
        <f t="shared" si="184"/>
        <v>33</v>
      </c>
      <c r="BC272" s="9" t="str">
        <f t="shared" si="185"/>
        <v>-</v>
      </c>
      <c r="BD272" s="3">
        <f t="shared" si="186"/>
        <v>33</v>
      </c>
      <c r="BE272" s="3">
        <f t="shared" si="187"/>
        <v>66</v>
      </c>
    </row>
    <row r="273" spans="1:58" s="3" customFormat="1" x14ac:dyDescent="0.2">
      <c r="A273" s="3" t="s">
        <v>226</v>
      </c>
      <c r="B273" s="3" t="str">
        <f>LOWER(VLOOKUP(A273,Xtal_Templ!A:B,2,FALSE))</f>
        <v>par1_human</v>
      </c>
      <c r="C273" s="3">
        <f>VLOOKUP($A273,'SegEnds_NonXtal_BW#'!$A:$Z,3,FALSE)+D273-50</f>
        <v>18</v>
      </c>
      <c r="D273" s="3">
        <v>39</v>
      </c>
      <c r="E273" s="3">
        <f>IF(ISERROR(VLOOKUP($A273,'SegEnds_NonXtal_BW#'!$A:$Z,4,FALSE)+VLOOKUP($A273,A:AL,4,FALSE)-50),"-",(VLOOKUP($A273,'SegEnds_NonXtal_BW#'!$A:$Z,4,FALSE)+VLOOKUP($A273,A:AL,4,FALSE)-50))</f>
        <v>49</v>
      </c>
      <c r="F273" s="3" t="str">
        <f>IF(ISERROR(VLOOKUP($A273,'SegEnds_NonXtal_BW#'!$A:$Z,5,FALSE)+VLOOKUP($A273,A:AL,7,FALSE)-50),"-",(VLOOKUP($A273,'SegEnds_NonXtal_BW#'!$A:$Z,5,FALSE)+VLOOKUP($A273,A:AL,7,FALSE)-50))</f>
        <v>-</v>
      </c>
      <c r="G273" s="3" t="s">
        <v>23</v>
      </c>
      <c r="H273" s="3" t="str">
        <f>IF(ISERROR(VLOOKUP($A273,'SegEnds_NonXtal_BW#'!$A:$Z,6,FALSE)+VLOOKUP($A273,A:AL,7,FALSE)-50),"-",(VLOOKUP($A273,'SegEnds_NonXtal_BW#'!$A:$Z,6,FALSE)+VLOOKUP($A273,A:AL,7,FALSE)-50))</f>
        <v>-</v>
      </c>
      <c r="I273" s="3">
        <f>VLOOKUP($A273,'SegEnds_NonXtal_BW#'!$A:$Z,7,FALSE)+J273-50</f>
        <v>53</v>
      </c>
      <c r="J273" s="3">
        <v>66</v>
      </c>
      <c r="K273" s="3">
        <f>VLOOKUP($A273,'SegEnds_NonXtal_BW#'!$A:$Z,8,FALSE)+VLOOKUP($A273,A:AL,10,FALSE)-50</f>
        <v>82</v>
      </c>
      <c r="L273" s="3" t="str">
        <f>IF(ISERROR(VLOOKUP($A273,'SegEnds_NonXtal_BW#'!$A:$Z,9,FALSE)+VLOOKUP($A273,A:AL,13,FALSE)-50),"-",(VLOOKUP($A273,'SegEnds_NonXtal_BW#'!$A:$Z,9,FALSE)+VLOOKUP($A273,A:AL,13,FALSE)-50))</f>
        <v>-</v>
      </c>
      <c r="M273" s="3" t="s">
        <v>23</v>
      </c>
      <c r="N273" s="3" t="str">
        <f>IF(ISERROR(VLOOKUP($A273,'SegEnds_NonXtal_BW#'!$A:$Z,10,FALSE)+VLOOKUP($A273,A:AL,13,FALSE)-50),"-",(VLOOKUP($A273,'SegEnds_NonXtal_BW#'!$A:$Z,10,FALSE)+VLOOKUP($A273,A:AL,13,FALSE)-50))</f>
        <v>-</v>
      </c>
      <c r="O273" s="3">
        <f>VLOOKUP($A273,'SegEnds_NonXtal_BW#'!$A:$Z,11,FALSE)+VLOOKUP($A273,A:AL,16,FALSE)-50</f>
        <v>88</v>
      </c>
      <c r="P273" s="3">
        <v>120</v>
      </c>
      <c r="Q273" s="3">
        <f>VLOOKUP($A273,'SegEnds_NonXtal_BW#'!$A:$Z,12,FALSE)+VLOOKUP($A273,A:AL,16,FALSE)-50</f>
        <v>126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135</v>
      </c>
      <c r="V273" s="3">
        <v>147</v>
      </c>
      <c r="W273" s="3">
        <f>IF(ISERROR(VLOOKUP($A273,'SegEnds_NonXtal_BW#'!$A:$Z,16,FALSE)+VLOOKUP($A273,A:AL,22,FALSE)-50),"-",(VLOOKUP($A273,'SegEnds_NonXtal_BW#'!$A:$Z,16,FALSE)+VLOOKUP($A273,A:AL,22,FALSE)-50))</f>
        <v>160</v>
      </c>
      <c r="X273" s="3">
        <f>IF(ISERROR(VLOOKUP($A273,'SegEnds_NonXtal_BW#'!$A:$Z,17,FALSE)+VLOOKUP($A273,A:AL,25,FALSE)-50),"-",(VLOOKUP($A273,'SegEnds_NonXtal_BW#'!$A:$Z,17,FALSE)+VLOOKUP($A273,A:AL,25,FALSE)-50))</f>
        <v>174</v>
      </c>
      <c r="Y273" s="3">
        <v>174</v>
      </c>
      <c r="Z273" s="3">
        <f t="shared" si="190"/>
        <v>176</v>
      </c>
      <c r="AA273" s="3">
        <f>IF(ISERROR(VLOOKUP($A273,'SegEnds_NonXtal_BW#'!$A:$Z,19,FALSE)+VLOOKUP($A273,A:AL,28,FALSE)-50),"-",(VLOOKUP($A273,'SegEnds_NonXtal_BW#'!$A:$Z,19,FALSE)+VLOOKUP($A273,A:AL,28,FALSE)-50))</f>
        <v>181</v>
      </c>
      <c r="AB273" s="3">
        <v>196</v>
      </c>
      <c r="AC273" s="3">
        <f>IF(ISERROR((VLOOKUP($A273,'SegEnds_NonXtal_BW#'!$A:$Z,20,FALSE)+VLOOKUP($A273,A:AL,28,FALSE)-50)),"-",(VLOOKUP($A273,'SegEnds_NonXtal_BW#'!$A:$Z,20,FALSE)+VLOOKUP($A273,A:AL,28,FALSE)-50))</f>
        <v>219</v>
      </c>
      <c r="AD273" s="3">
        <f>IF(ISERROR(VLOOKUP($A273,'SegEnds_NonXtal_BW#'!$A:$Z,21,FALSE)+VLOOKUP($A273,A:AL,31,FALSE)-50),"-",(VLOOKUP($A273,'SegEnds_NonXtal_BW#'!$A:$Z,21,FALSE)+VLOOKUP($A273,A:AL,31,FALSE)-50))</f>
        <v>228</v>
      </c>
      <c r="AE273" s="3">
        <v>254</v>
      </c>
      <c r="AF273" s="3">
        <f>IF(ISERROR((VLOOKUP($A273,'SegEnds_NonXtal_BW#'!$A:$Z,22,FALSE)+VLOOKUP($A273,A:AL,31,FALSE)-50)),"-",(VLOOKUP($A273,'SegEnds_NonXtal_BW#'!$A:$Z,22,FALSE)+VLOOKUP($A273,A:AL,31,FALSE)-50))</f>
        <v>265</v>
      </c>
      <c r="AG273" s="3">
        <f>IF(ISERROR(VLOOKUP($A273,'SegEnds_NonXtal_BW#'!$A:$Z,23,FALSE)+VLOOKUP($A273,A:AL,34,FALSE)-50),"-",(VLOOKUP($A273,'SegEnds_NonXtal_BW#'!$A:$Z,23,FALSE)+VLOOKUP($A273,A:AL,34,FALSE)-50))</f>
        <v>270</v>
      </c>
      <c r="AH273" s="3">
        <v>289</v>
      </c>
      <c r="AI273" s="3">
        <f>IF(ISERROR((VLOOKUP($A273,'SegEnds_NonXtal_BW#'!$A:$Z,24,FALSE)+VLOOKUP($A273,A:AL,34,FALSE)-50)),"-",(VLOOKUP($A273,'SegEnds_NonXtal_BW#'!$A:$Z,24,FALSE)+VLOOKUP($A273,A:AL,34,FALSE)-50))</f>
        <v>295</v>
      </c>
      <c r="AJ273" s="3">
        <f>IF(ISERROR(VLOOKUP($A273,'SegEnds_NonXtal_BW#'!$A:$Z,25,FALSE)+VLOOKUP($A273,A:AL,37,FALSE)-50),"-",(VLOOKUP($A273,'SegEnds_NonXtal_BW#'!$A:$Z,25,FALSE)+VLOOKUP($A273,A:AL,37,FALSE)-50))</f>
        <v>296</v>
      </c>
      <c r="AK273" s="3">
        <v>299</v>
      </c>
      <c r="AL273" s="3">
        <f>IF(ISERROR((VLOOKUP($A273,'SegEnds_NonXtal_BW#'!$A:$Z,26,FALSE)+VLOOKUP($A273,A:AL,37,FALSE)-50)),"-",(VLOOKUP($A273,'SegEnds_NonXtal_BW#'!$A:$Z,26,FALSE)+VLOOKUP($A273,A:AL,37,FALSE)-50))</f>
        <v>310</v>
      </c>
      <c r="AM273" s="28" t="str">
        <f>VLOOKUP(A273,Classification!A:B,2,FALSE)</f>
        <v>A</v>
      </c>
      <c r="AN273" s="28" t="b">
        <f t="shared" si="188"/>
        <v>1</v>
      </c>
      <c r="AO273" s="3" t="str">
        <f>IF(ISERROR(MATCH(A273,'SegEnds_Xtal_Prot#'!B:B, 0)), "NoXtal", "Xtal")</f>
        <v>NoXtal</v>
      </c>
      <c r="AP273" s="3" t="str">
        <f t="shared" si="173"/>
        <v>-</v>
      </c>
      <c r="AQ273" s="3" t="str">
        <f t="shared" si="174"/>
        <v>-</v>
      </c>
      <c r="AR273" s="3" t="str">
        <f t="shared" si="175"/>
        <v>-</v>
      </c>
      <c r="AS273" s="3" t="str">
        <f t="shared" si="176"/>
        <v>-</v>
      </c>
      <c r="AT273" s="3" t="str">
        <f t="shared" si="177"/>
        <v>-</v>
      </c>
      <c r="AU273" s="3" t="str">
        <f t="shared" si="178"/>
        <v>-</v>
      </c>
      <c r="AV273" s="3">
        <f t="shared" si="179"/>
        <v>14</v>
      </c>
      <c r="AW273" s="3">
        <f t="shared" si="180"/>
        <v>5</v>
      </c>
      <c r="AX273" s="3">
        <f t="shared" si="181"/>
        <v>9</v>
      </c>
      <c r="AY273" s="3">
        <f t="shared" si="182"/>
        <v>5</v>
      </c>
      <c r="AZ273" s="3">
        <f t="shared" si="183"/>
        <v>1</v>
      </c>
      <c r="BA273" s="3">
        <f>IF(ISERROR(LEN(VLOOKUP(A273,Seqs!A:E,2,FALSE))-AL273),"-",LEN(VLOOKUP(A273,Seqs!A:E,2,FALSE))-AL273)</f>
        <v>28</v>
      </c>
      <c r="BB273" s="16">
        <f t="shared" si="184"/>
        <v>27</v>
      </c>
      <c r="BC273" s="9" t="str">
        <f t="shared" si="185"/>
        <v>-</v>
      </c>
      <c r="BD273" s="3">
        <f t="shared" si="186"/>
        <v>27</v>
      </c>
      <c r="BE273" s="3">
        <f t="shared" si="187"/>
        <v>58</v>
      </c>
    </row>
    <row r="274" spans="1:58" s="3" customFormat="1" x14ac:dyDescent="0.2">
      <c r="A274" s="3" t="s">
        <v>232</v>
      </c>
      <c r="B274" s="3" t="str">
        <f>LOWER(VLOOKUP(A274,Xtal_Templ!A:B,2,FALSE))</f>
        <v>ox1r_human</v>
      </c>
      <c r="C274" s="3">
        <f>VLOOKUP($A274,'SegEnds_NonXtal_BW#'!$A:$Z,3,FALSE)+D274-50</f>
        <v>41</v>
      </c>
      <c r="D274" s="3">
        <v>59</v>
      </c>
      <c r="E274" s="3">
        <f>IF(ISERROR(VLOOKUP($A274,'SegEnds_NonXtal_BW#'!$A:$Z,4,FALSE)+VLOOKUP($A274,A:AL,4,FALSE)-50),"-",(VLOOKUP($A274,'SegEnds_NonXtal_BW#'!$A:$Z,4,FALSE)+VLOOKUP($A274,A:AL,4,FALSE)-50))</f>
        <v>69</v>
      </c>
      <c r="F274" s="3">
        <f>G274-2</f>
        <v>70</v>
      </c>
      <c r="G274" s="3">
        <v>72</v>
      </c>
      <c r="H274" s="3">
        <f t="shared" ref="H274:I276" si="191">G274+1</f>
        <v>73</v>
      </c>
      <c r="I274" s="3">
        <f t="shared" si="191"/>
        <v>74</v>
      </c>
      <c r="J274" s="3">
        <v>87</v>
      </c>
      <c r="K274" s="3">
        <f>VLOOKUP($A274,'SegEnds_NonXtal_BW#'!$A:$Z,8,FALSE)+VLOOKUP($A274,A:AL,10,FALSE)-50</f>
        <v>105</v>
      </c>
      <c r="L274" s="3">
        <f>M274-1</f>
        <v>108</v>
      </c>
      <c r="M274" s="3">
        <v>109</v>
      </c>
      <c r="N274" s="3">
        <f>M274+2</f>
        <v>111</v>
      </c>
      <c r="O274" s="3">
        <f>N274+1</f>
        <v>112</v>
      </c>
      <c r="P274" s="3">
        <v>142</v>
      </c>
      <c r="Q274" s="3">
        <f>VLOOKUP($A274,'SegEnds_NonXtal_BW#'!$A:$Z,12,FALSE)+VLOOKUP($A274,A:AL,16,FALSE)-50</f>
        <v>148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155</v>
      </c>
      <c r="V274" s="3">
        <v>167</v>
      </c>
      <c r="W274" s="3">
        <f>IF(ISERROR(VLOOKUP($A274,'SegEnds_NonXtal_BW#'!$A:$Z,16,FALSE)+VLOOKUP($A274,A:AL,22,FALSE)-50),"-",(VLOOKUP($A274,'SegEnds_NonXtal_BW#'!$A:$Z,16,FALSE)+VLOOKUP($A274,A:AL,22,FALSE)-50))</f>
        <v>181</v>
      </c>
      <c r="X274" s="3">
        <f>IF(ISERROR(VLOOKUP($A274,'SegEnds_NonXtal_BW#'!$A:$Z,17,FALSE)+VLOOKUP($A274,A:AL,25,FALSE)-50),"-",(VLOOKUP($A274,'SegEnds_NonXtal_BW#'!$A:$Z,17,FALSE)+VLOOKUP($A274,A:AL,25,FALSE)-50))</f>
        <v>192</v>
      </c>
      <c r="Y274" s="3">
        <v>192</v>
      </c>
      <c r="Z274" s="3">
        <f t="shared" si="190"/>
        <v>194</v>
      </c>
      <c r="AA274" s="3">
        <f>IF(ISERROR(VLOOKUP($A274,'SegEnds_NonXtal_BW#'!$A:$Z,19,FALSE)+VLOOKUP($A274,A:AL,28,FALSE)-50),"-",(VLOOKUP($A274,'SegEnds_NonXtal_BW#'!$A:$Z,19,FALSE)+VLOOKUP($A274,A:AL,28,FALSE)-50))</f>
        <v>200</v>
      </c>
      <c r="AB274" s="3">
        <v>217</v>
      </c>
      <c r="AC274" s="3">
        <f>IF(ISERROR((VLOOKUP($A274,'SegEnds_NonXtal_BW#'!$A:$Z,20,FALSE)+VLOOKUP($A274,A:AL,28,FALSE)-50)),"-",(VLOOKUP($A274,'SegEnds_NonXtal_BW#'!$A:$Z,20,FALSE)+VLOOKUP($A274,A:AL,28,FALSE)-50))</f>
        <v>241</v>
      </c>
      <c r="AD274" s="3">
        <f>IF(ISERROR(VLOOKUP($A274,'SegEnds_NonXtal_BW#'!$A:$Z,21,FALSE)+VLOOKUP($A274,A:AL,31,FALSE)-50),"-",(VLOOKUP($A274,'SegEnds_NonXtal_BW#'!$A:$Z,21,FALSE)+VLOOKUP($A274,A:AL,31,FALSE)-50))</f>
        <v>252</v>
      </c>
      <c r="AE274" s="3">
        <v>281</v>
      </c>
      <c r="AF274" s="3">
        <f>IF(ISERROR((VLOOKUP($A274,'SegEnds_NonXtal_BW#'!$A:$Z,22,FALSE)+VLOOKUP($A274,A:AL,31,FALSE)-50)),"-",(VLOOKUP($A274,'SegEnds_NonXtal_BW#'!$A:$Z,22,FALSE)+VLOOKUP($A274,A:AL,31,FALSE)-50))</f>
        <v>292</v>
      </c>
      <c r="AG274" s="3">
        <f>IF(ISERROR(VLOOKUP($A274,'SegEnds_NonXtal_BW#'!$A:$Z,23,FALSE)+VLOOKUP($A274,A:AL,34,FALSE)-50),"-",(VLOOKUP($A274,'SegEnds_NonXtal_BW#'!$A:$Z,23,FALSE)+VLOOKUP($A274,A:AL,34,FALSE)-50))</f>
        <v>298</v>
      </c>
      <c r="AH274" s="3">
        <v>317</v>
      </c>
      <c r="AI274" s="3">
        <f>IF(ISERROR((VLOOKUP($A274,'SegEnds_NonXtal_BW#'!$A:$Z,24,FALSE)+VLOOKUP($A274,A:AL,34,FALSE)-50)),"-",(VLOOKUP($A274,'SegEnds_NonXtal_BW#'!$A:$Z,24,FALSE)+VLOOKUP($A274,A:AL,34,FALSE)-50))</f>
        <v>323</v>
      </c>
      <c r="AJ274" s="3">
        <f>IF(ISERROR(VLOOKUP($A274,'SegEnds_NonXtal_BW#'!$A:$Z,25,FALSE)+VLOOKUP($A274,A:AL,37,FALSE)-50),"-",(VLOOKUP($A274,'SegEnds_NonXtal_BW#'!$A:$Z,25,FALSE)+VLOOKUP($A274,A:AL,37,FALSE)-50))</f>
        <v>324</v>
      </c>
      <c r="AK274" s="3">
        <v>327</v>
      </c>
      <c r="AL274" s="3">
        <f>IF(ISERROR((VLOOKUP($A274,'SegEnds_NonXtal_BW#'!$A:$Z,26,FALSE)+VLOOKUP($A274,A:AL,37,FALSE)-50)),"-",(VLOOKUP($A274,'SegEnds_NonXtal_BW#'!$A:$Z,26,FALSE)+VLOOKUP($A274,A:AL,37,FALSE)-50))</f>
        <v>340</v>
      </c>
      <c r="AM274" s="28" t="str">
        <f>VLOOKUP(A274,Classification!A:B,2,FALSE)</f>
        <v>A</v>
      </c>
      <c r="AN274" s="28" t="b">
        <f t="shared" si="188"/>
        <v>1</v>
      </c>
      <c r="AO274" s="3" t="str">
        <f>IF(ISERROR(MATCH(A274,'SegEnds_Xtal_Prot#'!B:B, 0)), "NoXtal", "Xtal")</f>
        <v>NoXtal</v>
      </c>
      <c r="AP274" s="3">
        <f t="shared" si="173"/>
        <v>1</v>
      </c>
      <c r="AQ274" s="3">
        <f t="shared" si="174"/>
        <v>1</v>
      </c>
      <c r="AR274" s="3">
        <f t="shared" si="175"/>
        <v>3</v>
      </c>
      <c r="AS274" s="3">
        <f t="shared" si="176"/>
        <v>1</v>
      </c>
      <c r="AT274" s="3" t="str">
        <f t="shared" si="177"/>
        <v>-</v>
      </c>
      <c r="AU274" s="3" t="str">
        <f t="shared" si="178"/>
        <v>-</v>
      </c>
      <c r="AV274" s="3">
        <f t="shared" si="179"/>
        <v>11</v>
      </c>
      <c r="AW274" s="3">
        <f t="shared" si="180"/>
        <v>6</v>
      </c>
      <c r="AX274" s="3">
        <f t="shared" si="181"/>
        <v>11</v>
      </c>
      <c r="AY274" s="3">
        <f t="shared" si="182"/>
        <v>6</v>
      </c>
      <c r="AZ274" s="3">
        <f t="shared" si="183"/>
        <v>1</v>
      </c>
      <c r="BA274" s="3">
        <f>IF(ISERROR(LEN(VLOOKUP(A274,Seqs!A:E,2,FALSE))-AL274),"-",LEN(VLOOKUP(A274,Seqs!A:E,2,FALSE))-AL274)</f>
        <v>175</v>
      </c>
      <c r="BB274" s="16">
        <f t="shared" si="184"/>
        <v>28</v>
      </c>
      <c r="BC274" s="9" t="str">
        <f t="shared" si="185"/>
        <v>-</v>
      </c>
      <c r="BD274" s="3">
        <f t="shared" si="186"/>
        <v>28</v>
      </c>
      <c r="BE274" s="3">
        <f t="shared" si="187"/>
        <v>64</v>
      </c>
    </row>
    <row r="275" spans="1:58" s="3" customFormat="1" x14ac:dyDescent="0.2">
      <c r="A275" s="3" t="s">
        <v>235</v>
      </c>
      <c r="B275" s="3" t="str">
        <f>LOWER(VLOOKUP(A275,Xtal_Templ!A:B,2,FALSE))</f>
        <v>lpar1_human</v>
      </c>
      <c r="C275" s="3">
        <f>VLOOKUP($A275,'SegEnds_NonXtal_BW#'!$A:$Z,3,FALSE)+D275-50</f>
        <v>12</v>
      </c>
      <c r="D275" s="3">
        <v>32</v>
      </c>
      <c r="E275" s="3">
        <f>IF(ISERROR(VLOOKUP($A275,'SegEnds_NonXtal_BW#'!$A:$Z,4,FALSE)+VLOOKUP($A275,A:AL,4,FALSE)-50),"-",(VLOOKUP($A275,'SegEnds_NonXtal_BW#'!$A:$Z,4,FALSE)+VLOOKUP($A275,A:AL,4,FALSE)-50))</f>
        <v>42</v>
      </c>
      <c r="F275" s="3">
        <f>G275-2</f>
        <v>43</v>
      </c>
      <c r="G275" s="3">
        <v>45</v>
      </c>
      <c r="H275" s="3">
        <f t="shared" si="191"/>
        <v>46</v>
      </c>
      <c r="I275" s="3">
        <f t="shared" si="191"/>
        <v>47</v>
      </c>
      <c r="J275" s="3">
        <v>61</v>
      </c>
      <c r="K275" s="3">
        <f>VLOOKUP($A275,'SegEnds_NonXtal_BW#'!$A:$Z,8,FALSE)+VLOOKUP($A275,A:AL,10,FALSE)-50</f>
        <v>77</v>
      </c>
      <c r="L275" s="3" t="str">
        <f>IF(ISERROR(VLOOKUP($A275,'SegEnds_NonXtal_BW#'!$A:$Z,9,FALSE)+VLOOKUP($A275,A:AL,13,FALSE)-50),"-",(VLOOKUP($A275,'SegEnds_NonXtal_BW#'!$A:$Z,9,FALSE)+VLOOKUP($A275,A:AL,13,FALSE)-50))</f>
        <v>-</v>
      </c>
      <c r="M275" s="3" t="s">
        <v>23</v>
      </c>
      <c r="N275" s="3" t="str">
        <f>IF(ISERROR(VLOOKUP($A275,'SegEnds_NonXtal_BW#'!$A:$Z,10,FALSE)+VLOOKUP($A275,A:AL,13,FALSE)-50),"-",(VLOOKUP($A275,'SegEnds_NonXtal_BW#'!$A:$Z,10,FALSE)+VLOOKUP($A275,A:AL,13,FALSE)-50))</f>
        <v>-</v>
      </c>
      <c r="O275" s="3">
        <f>VLOOKUP($A275,'SegEnds_NonXtal_BW#'!$A:$Z,11,FALSE)+VLOOKUP($A275,A:AL,16,FALSE)-50</f>
        <v>84</v>
      </c>
      <c r="P275" s="3">
        <v>110</v>
      </c>
      <c r="Q275" s="3">
        <f>VLOOKUP($A275,'SegEnds_NonXtal_BW#'!$A:$Z,12,FALSE)+VLOOKUP($A275,A:AL,16,FALSE)-50</f>
        <v>116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120</v>
      </c>
      <c r="V275" s="3">
        <v>132</v>
      </c>
      <c r="W275" s="3">
        <f>IF(ISERROR(VLOOKUP($A275,'SegEnds_NonXtal_BW#'!$A:$Z,16,FALSE)+VLOOKUP($A275,A:AL,22,FALSE)-50),"-",(VLOOKUP($A275,'SegEnds_NonXtal_BW#'!$A:$Z,16,FALSE)+VLOOKUP($A275,A:AL,22,FALSE)-50))</f>
        <v>145</v>
      </c>
      <c r="X275" s="3">
        <f>IF(ISERROR(VLOOKUP($A275,'SegEnds_NonXtal_BW#'!$A:$Z,17,FALSE)+VLOOKUP($A275,A:AL,25,FALSE)-50),"-",(VLOOKUP($A275,'SegEnds_NonXtal_BW#'!$A:$Z,17,FALSE)+VLOOKUP($A275,A:AL,25,FALSE)-50))</f>
        <v>155</v>
      </c>
      <c r="Y275" s="3">
        <v>155</v>
      </c>
      <c r="Z275" s="3">
        <f t="shared" si="190"/>
        <v>157</v>
      </c>
      <c r="AA275" s="3">
        <f>IF(ISERROR(VLOOKUP($A275,'SegEnds_NonXtal_BW#'!$A:$Z,19,FALSE)+VLOOKUP($A275,A:AL,28,FALSE)-50),"-",(VLOOKUP($A275,'SegEnds_NonXtal_BW#'!$A:$Z,19,FALSE)+VLOOKUP($A275,A:AL,28,FALSE)-50))</f>
        <v>161</v>
      </c>
      <c r="AB275" s="3">
        <v>176</v>
      </c>
      <c r="AC275" s="3">
        <f>IF(ISERROR((VLOOKUP($A275,'SegEnds_NonXtal_BW#'!$A:$Z,20,FALSE)+VLOOKUP($A275,A:AL,28,FALSE)-50)),"-",(VLOOKUP($A275,'SegEnds_NonXtal_BW#'!$A:$Z,20,FALSE)+VLOOKUP($A275,A:AL,28,FALSE)-50))</f>
        <v>200</v>
      </c>
      <c r="AD275" s="3">
        <f>IF(ISERROR(VLOOKUP($A275,'SegEnds_NonXtal_BW#'!$A:$Z,21,FALSE)+VLOOKUP($A275,A:AL,31,FALSE)-50),"-",(VLOOKUP($A275,'SegEnds_NonXtal_BW#'!$A:$Z,21,FALSE)+VLOOKUP($A275,A:AL,31,FALSE)-50))</f>
        <v>210</v>
      </c>
      <c r="AE275" s="3">
        <v>239</v>
      </c>
      <c r="AF275" s="3">
        <f>IF(ISERROR((VLOOKUP($A275,'SegEnds_NonXtal_BW#'!$A:$Z,22,FALSE)+VLOOKUP($A275,A:AL,31,FALSE)-50)),"-",(VLOOKUP($A275,'SegEnds_NonXtal_BW#'!$A:$Z,22,FALSE)+VLOOKUP($A275,A:AL,31,FALSE)-50))</f>
        <v>250</v>
      </c>
      <c r="AG275" s="3">
        <f>IF(ISERROR(VLOOKUP($A275,'SegEnds_NonXtal_BW#'!$A:$Z,23,FALSE)+VLOOKUP($A275,A:AL,34,FALSE)-50),"-",(VLOOKUP($A275,'SegEnds_NonXtal_BW#'!$A:$Z,23,FALSE)+VLOOKUP($A275,A:AL,34,FALSE)-50))</f>
        <v>257</v>
      </c>
      <c r="AH275" s="3">
        <v>277</v>
      </c>
      <c r="AI275" s="3">
        <f>IF(ISERROR((VLOOKUP($A275,'SegEnds_NonXtal_BW#'!$A:$Z,24,FALSE)+VLOOKUP($A275,A:AL,34,FALSE)-50)),"-",(VLOOKUP($A275,'SegEnds_NonXtal_BW#'!$A:$Z,24,FALSE)+VLOOKUP($A275,A:AL,34,FALSE)-50))</f>
        <v>283</v>
      </c>
      <c r="AJ275" s="3">
        <f>IF(ISERROR(VLOOKUP($A275,'SegEnds_NonXtal_BW#'!$A:$Z,25,FALSE)+VLOOKUP($A275,A:AL,37,FALSE)-50),"-",(VLOOKUP($A275,'SegEnds_NonXtal_BW#'!$A:$Z,25,FALSE)+VLOOKUP($A275,A:AL,37,FALSE)-50))</f>
        <v>284</v>
      </c>
      <c r="AK275" s="3">
        <v>287</v>
      </c>
      <c r="AL275" s="3">
        <f>IF(ISERROR((VLOOKUP($A275,'SegEnds_NonXtal_BW#'!$A:$Z,26,FALSE)+VLOOKUP($A275,A:AL,37,FALSE)-50)),"-",(VLOOKUP($A275,'SegEnds_NonXtal_BW#'!$A:$Z,26,FALSE)+VLOOKUP($A275,A:AL,37,FALSE)-50))</f>
        <v>296</v>
      </c>
      <c r="AM275" s="28" t="str">
        <f>VLOOKUP(A275,Classification!A:B,2,FALSE)</f>
        <v>A</v>
      </c>
      <c r="AN275" s="28" t="b">
        <f t="shared" si="188"/>
        <v>1</v>
      </c>
      <c r="AO275" s="3" t="str">
        <f>IF(ISERROR(MATCH(A275,'SegEnds_Xtal_Prot#'!B:B, 0)), "NoXtal", "Xtal")</f>
        <v>NoXtal</v>
      </c>
      <c r="AP275" s="3">
        <f t="shared" si="173"/>
        <v>1</v>
      </c>
      <c r="AQ275" s="3">
        <f t="shared" si="174"/>
        <v>1</v>
      </c>
      <c r="AR275" s="3" t="str">
        <f t="shared" si="175"/>
        <v>-</v>
      </c>
      <c r="AS275" s="3" t="str">
        <f t="shared" si="176"/>
        <v>-</v>
      </c>
      <c r="AT275" s="3" t="str">
        <f t="shared" si="177"/>
        <v>-</v>
      </c>
      <c r="AU275" s="3" t="str">
        <f t="shared" si="178"/>
        <v>-</v>
      </c>
      <c r="AV275" s="3">
        <f t="shared" si="179"/>
        <v>10</v>
      </c>
      <c r="AW275" s="3">
        <f t="shared" si="180"/>
        <v>4</v>
      </c>
      <c r="AX275" s="3">
        <f t="shared" si="181"/>
        <v>10</v>
      </c>
      <c r="AY275" s="3">
        <f t="shared" si="182"/>
        <v>7</v>
      </c>
      <c r="AZ275" s="3">
        <f t="shared" si="183"/>
        <v>1</v>
      </c>
      <c r="BA275" s="3">
        <f>IF(ISERROR(LEN(VLOOKUP(A275,Seqs!A:E,2,FALSE))-AL275),"-",LEN(VLOOKUP(A275,Seqs!A:E,2,FALSE))-AL275)</f>
        <v>34</v>
      </c>
      <c r="BB275" s="16">
        <f t="shared" si="184"/>
        <v>29</v>
      </c>
      <c r="BC275" s="9" t="str">
        <f t="shared" si="185"/>
        <v>-</v>
      </c>
      <c r="BD275" s="3">
        <f t="shared" si="186"/>
        <v>29</v>
      </c>
      <c r="BE275" s="3">
        <f t="shared" si="187"/>
        <v>63</v>
      </c>
    </row>
    <row r="276" spans="1:58" s="3" customFormat="1" x14ac:dyDescent="0.2">
      <c r="A276" s="3" t="s">
        <v>259</v>
      </c>
      <c r="B276" s="3" t="str">
        <f>LOWER(VLOOKUP(A276,Xtal_Templ!A:B,2,FALSE))</f>
        <v>drd2_human</v>
      </c>
      <c r="C276" s="3">
        <f>VLOOKUP($A276,'SegEnds_NonXtal_BW#'!$A:$Z,3,FALSE)+D276-50</f>
        <v>31</v>
      </c>
      <c r="D276" s="3">
        <v>52</v>
      </c>
      <c r="E276" s="3">
        <f>IF(ISERROR(VLOOKUP($A276,'SegEnds_NonXtal_BW#'!$A:$Z,4,FALSE)+VLOOKUP($A276,A:AL,4,FALSE)-50),"-",(VLOOKUP($A276,'SegEnds_NonXtal_BW#'!$A:$Z,4,FALSE)+VLOOKUP($A276,A:AL,4,FALSE)-50))</f>
        <v>62</v>
      </c>
      <c r="F276" s="3">
        <f>G276-2</f>
        <v>63</v>
      </c>
      <c r="G276" s="3">
        <v>65</v>
      </c>
      <c r="H276" s="3">
        <f t="shared" si="191"/>
        <v>66</v>
      </c>
      <c r="I276" s="3">
        <f t="shared" si="191"/>
        <v>67</v>
      </c>
      <c r="J276" s="3">
        <v>80</v>
      </c>
      <c r="K276" s="3">
        <f>VLOOKUP($A276,'SegEnds_NonXtal_BW#'!$A:$Z,8,FALSE)+VLOOKUP($A276,A:AL,10,FALSE)-50</f>
        <v>98</v>
      </c>
      <c r="L276" s="3">
        <f>M276-1</f>
        <v>99</v>
      </c>
      <c r="M276" s="3">
        <v>100</v>
      </c>
      <c r="N276" s="3">
        <f>M276+2</f>
        <v>102</v>
      </c>
      <c r="O276" s="3">
        <f>N276+1</f>
        <v>103</v>
      </c>
      <c r="P276" s="3">
        <v>132</v>
      </c>
      <c r="Q276" s="3">
        <f>VLOOKUP($A276,'SegEnds_NonXtal_BW#'!$A:$Z,12,FALSE)+VLOOKUP($A276,A:AL,16,FALSE)-50</f>
        <v>138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144</v>
      </c>
      <c r="V276" s="3">
        <v>156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182</v>
      </c>
      <c r="Y276" s="3">
        <v>182</v>
      </c>
      <c r="Z276" s="3">
        <f t="shared" si="190"/>
        <v>184</v>
      </c>
      <c r="AA276" s="3">
        <f>IF(ISERROR(VLOOKUP($A276,'SegEnds_NonXtal_BW#'!$A:$Z,19,FALSE)+VLOOKUP($A276,A:AL,28,FALSE)-50),"-",(VLOOKUP($A276,'SegEnds_NonXtal_BW#'!$A:$Z,19,FALSE)+VLOOKUP($A276,A:AL,28,FALSE)-50))</f>
        <v>192</v>
      </c>
      <c r="AB276" s="3">
        <v>207</v>
      </c>
      <c r="AC276" s="3">
        <f>IF(ISERROR((VLOOKUP($A276,'SegEnds_NonXtal_BW#'!$A:$Z,20,FALSE)+VLOOKUP($A276,A:AL,28,FALSE)-50)),"-",(VLOOKUP($A276,'SegEnds_NonXtal_BW#'!$A:$Z,20,FALSE)+VLOOKUP($A276,A:AL,28,FALSE)-50))</f>
        <v>233</v>
      </c>
      <c r="AD276" s="3">
        <f>IF(ISERROR(VLOOKUP($A276,'SegEnds_NonXtal_BW#'!$A:$Z,21,FALSE)+VLOOKUP($A276,A:AL,31,FALSE)-50),"-",(VLOOKUP($A276,'SegEnds_NonXtal_BW#'!$A:$Z,21,FALSE)+VLOOKUP($A276,A:AL,31,FALSE)-50))</f>
        <v>256</v>
      </c>
      <c r="AE276" s="3">
        <v>282</v>
      </c>
      <c r="AF276" s="3">
        <f>IF(ISERROR((VLOOKUP($A276,'SegEnds_NonXtal_BW#'!$A:$Z,22,FALSE)+VLOOKUP($A276,A:AL,31,FALSE)-50)),"-",(VLOOKUP($A276,'SegEnds_NonXtal_BW#'!$A:$Z,22,FALSE)+VLOOKUP($A276,A:AL,31,FALSE)-50))</f>
        <v>293</v>
      </c>
      <c r="AG276" s="3">
        <f>IF(ISERROR(VLOOKUP($A276,'SegEnds_NonXtal_BW#'!$A:$Z,23,FALSE)+VLOOKUP($A276,A:AL,34,FALSE)-50),"-",(VLOOKUP($A276,'SegEnds_NonXtal_BW#'!$A:$Z,23,FALSE)+VLOOKUP($A276,A:AL,34,FALSE)-50))</f>
        <v>302</v>
      </c>
      <c r="AH276" s="3">
        <v>321</v>
      </c>
      <c r="AI276" s="3">
        <v>327</v>
      </c>
      <c r="AJ276" s="3">
        <f>IF(ISERROR(VLOOKUP($A276,'SegEnds_NonXtal_BW#'!$A:$Z,25,FALSE)+VLOOKUP($A276,A:AL,37,FALSE)-50),"-",(VLOOKUP($A276,'SegEnds_NonXtal_BW#'!$A:$Z,25,FALSE)+VLOOKUP($A276,A:AL,37,FALSE)-50))</f>
        <v>328</v>
      </c>
      <c r="AK276" s="3">
        <v>331</v>
      </c>
      <c r="AL276" s="3">
        <f>IF(ISERROR((VLOOKUP($A276,'SegEnds_NonXtal_BW#'!$A:$Z,26,FALSE)+VLOOKUP($A276,A:AL,37,FALSE)-50)),"-",(VLOOKUP($A276,'SegEnds_NonXtal_BW#'!$A:$Z,26,FALSE)+VLOOKUP($A276,A:AL,37,FALSE)-50))</f>
        <v>340</v>
      </c>
      <c r="AM276" s="28" t="str">
        <f>VLOOKUP(A276,Classification!A:B,2,FALSE)</f>
        <v>A</v>
      </c>
      <c r="AN276" s="28" t="b">
        <f t="shared" si="188"/>
        <v>1</v>
      </c>
      <c r="AO276" s="3" t="str">
        <f>IF(ISERROR(MATCH(A276,'SegEnds_Xtal_Prot#'!B:B, 0)), "NoXtal", "Xtal")</f>
        <v>NoXtal</v>
      </c>
      <c r="AP276" s="3">
        <f t="shared" si="173"/>
        <v>1</v>
      </c>
      <c r="AQ276" s="3">
        <f t="shared" si="174"/>
        <v>1</v>
      </c>
      <c r="AR276" s="3">
        <f t="shared" si="175"/>
        <v>1</v>
      </c>
      <c r="AS276" s="3">
        <f t="shared" si="176"/>
        <v>1</v>
      </c>
      <c r="AT276" s="3" t="str">
        <f t="shared" si="177"/>
        <v>-</v>
      </c>
      <c r="AU276" s="3" t="str">
        <f t="shared" si="178"/>
        <v>-</v>
      </c>
      <c r="AV276" s="3">
        <f t="shared" si="179"/>
        <v>14</v>
      </c>
      <c r="AW276" s="3">
        <f t="shared" si="180"/>
        <v>8</v>
      </c>
      <c r="AX276" s="3">
        <f t="shared" si="181"/>
        <v>23</v>
      </c>
      <c r="AY276" s="3">
        <f t="shared" si="182"/>
        <v>9</v>
      </c>
      <c r="AZ276" s="3">
        <f t="shared" si="183"/>
        <v>1</v>
      </c>
      <c r="BA276" s="3">
        <f>IF(ISERROR(LEN(VLOOKUP(A276,Seqs!A:E,2,FALSE))-AL276),"-",LEN(VLOOKUP(A276,Seqs!A:E,2,FALSE))-AL276)</f>
        <v>32</v>
      </c>
      <c r="BB276" s="16">
        <f t="shared" si="184"/>
        <v>28</v>
      </c>
      <c r="BC276" s="9" t="str">
        <f t="shared" si="185"/>
        <v>-</v>
      </c>
      <c r="BD276" s="3">
        <f t="shared" si="186"/>
        <v>28</v>
      </c>
      <c r="BE276" s="3">
        <f t="shared" si="187"/>
        <v>75</v>
      </c>
    </row>
    <row r="277" spans="1:58" s="3" customFormat="1" x14ac:dyDescent="0.2">
      <c r="A277" s="3" t="s">
        <v>264</v>
      </c>
      <c r="B277" s="3" t="str">
        <f>LOWER(VLOOKUP(A277,Xtal_Templ!A:B,2,FALSE))</f>
        <v>drd3_human</v>
      </c>
      <c r="C277" s="3">
        <f>VLOOKUP($A277,'SegEnds_NonXtal_BW#'!$A:$Z,3,FALSE)+D277-50</f>
        <v>11</v>
      </c>
      <c r="D277" s="3">
        <v>32</v>
      </c>
      <c r="E277" s="3">
        <f>IF(ISERROR(VLOOKUP($A277,'SegEnds_NonXtal_BW#'!$A:$Z,4,FALSE)+VLOOKUP($A277,A:AL,4,FALSE)-50),"-",(VLOOKUP($A277,'SegEnds_NonXtal_BW#'!$A:$Z,4,FALSE)+VLOOKUP($A277,A:AL,4,FALSE)-50))</f>
        <v>42</v>
      </c>
      <c r="F277" s="3" t="str">
        <f>IF(ISERROR(VLOOKUP($A277,'SegEnds_NonXtal_BW#'!$A:$Z,5,FALSE)+VLOOKUP($A277,A:AL,7,FALSE)-50),"-",(VLOOKUP($A277,'SegEnds_NonXtal_BW#'!$A:$Z,5,FALSE)+VLOOKUP($A277,A:AL,7,FALSE)-50))</f>
        <v>-</v>
      </c>
      <c r="G277" s="3" t="s">
        <v>23</v>
      </c>
      <c r="H277" s="3" t="str">
        <f>IF(ISERROR(VLOOKUP($A277,'SegEnds_NonXtal_BW#'!$A:$Z,6,FALSE)+VLOOKUP($A277,A:AL,7,FALSE)-50),"-",(VLOOKUP($A277,'SegEnds_NonXtal_BW#'!$A:$Z,6,FALSE)+VLOOKUP($A277,A:AL,7,FALSE)-50))</f>
        <v>-</v>
      </c>
      <c r="I277" s="3">
        <f>VLOOKUP($A277,'SegEnds_NonXtal_BW#'!$A:$Z,7,FALSE)+J277-50</f>
        <v>45</v>
      </c>
      <c r="J277" s="3">
        <v>58</v>
      </c>
      <c r="K277" s="3">
        <f>VLOOKUP($A277,'SegEnds_NonXtal_BW#'!$A:$Z,8,FALSE)+VLOOKUP($A277,A:AL,10,FALSE)-50</f>
        <v>75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81</v>
      </c>
      <c r="P277" s="3">
        <v>113</v>
      </c>
      <c r="Q277" s="3">
        <f>VLOOKUP($A277,'SegEnds_NonXtal_BW#'!$A:$Z,12,FALSE)+VLOOKUP($A277,A:AL,16,FALSE)-50</f>
        <v>119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125</v>
      </c>
      <c r="V277" s="3">
        <v>137</v>
      </c>
      <c r="W277" s="3">
        <f>IF(ISERROR(VLOOKUP($A277,'SegEnds_NonXtal_BW#'!$A:$Z,16,FALSE)+VLOOKUP($A277,A:AL,22,FALSE)-50),"-",(VLOOKUP($A277,'SegEnds_NonXtal_BW#'!$A:$Z,16,FALSE)+VLOOKUP($A277,A:AL,22,FALSE)-50))</f>
        <v>150</v>
      </c>
      <c r="X277" s="3">
        <f>IF(ISERROR(VLOOKUP($A277,'SegEnds_NonXtal_BW#'!$A:$Z,17,FALSE)+VLOOKUP($A277,A:AL,25,FALSE)-50),"-",(VLOOKUP($A277,'SegEnds_NonXtal_BW#'!$A:$Z,17,FALSE)+VLOOKUP($A277,A:AL,25,FALSE)-50))</f>
        <v>162</v>
      </c>
      <c r="Y277" s="3">
        <v>162</v>
      </c>
      <c r="Z277" s="3">
        <f t="shared" si="190"/>
        <v>164</v>
      </c>
      <c r="AA277" s="3">
        <f>IF(ISERROR(VLOOKUP($A277,'SegEnds_NonXtal_BW#'!$A:$Z,19,FALSE)+VLOOKUP($A277,A:AL,28,FALSE)-50),"-",(VLOOKUP($A277,'SegEnds_NonXtal_BW#'!$A:$Z,19,FALSE)+VLOOKUP($A277,A:AL,28,FALSE)-50))</f>
        <v>169</v>
      </c>
      <c r="AB277" s="3">
        <v>184</v>
      </c>
      <c r="AC277" s="3">
        <f>IF(ISERROR((VLOOKUP($A277,'SegEnds_NonXtal_BW#'!$A:$Z,20,FALSE)+VLOOKUP($A277,A:AL,28,FALSE)-50)),"-",(VLOOKUP($A277,'SegEnds_NonXtal_BW#'!$A:$Z,20,FALSE)+VLOOKUP($A277,A:AL,28,FALSE)-50))</f>
        <v>210</v>
      </c>
      <c r="AD277" s="3">
        <f>IF(ISERROR(VLOOKUP($A277,'SegEnds_NonXtal_BW#'!$A:$Z,21,FALSE)+VLOOKUP($A277,A:AL,31,FALSE)-50),"-",(VLOOKUP($A277,'SegEnds_NonXtal_BW#'!$A:$Z,21,FALSE)+VLOOKUP($A277,A:AL,31,FALSE)-50))</f>
        <v>230</v>
      </c>
      <c r="AE277" s="3">
        <v>256</v>
      </c>
      <c r="AF277" s="3">
        <f>IF(ISERROR((VLOOKUP($A277,'SegEnds_NonXtal_BW#'!$A:$Z,22,FALSE)+VLOOKUP($A277,A:AL,31,FALSE)-50)),"-",(VLOOKUP($A277,'SegEnds_NonXtal_BW#'!$A:$Z,22,FALSE)+VLOOKUP($A277,A:AL,31,FALSE)-50))</f>
        <v>264</v>
      </c>
      <c r="AG277" s="3">
        <f>IF(ISERROR(VLOOKUP($A277,'SegEnds_NonXtal_BW#'!$A:$Z,23,FALSE)+VLOOKUP($A277,A:AL,34,FALSE)-50),"-",(VLOOKUP($A277,'SegEnds_NonXtal_BW#'!$A:$Z,23,FALSE)+VLOOKUP($A277,A:AL,34,FALSE)-50))</f>
        <v>272</v>
      </c>
      <c r="AH277" s="3">
        <v>287</v>
      </c>
      <c r="AI277" s="3">
        <f>IF(ISERROR((VLOOKUP($A277,'SegEnds_NonXtal_BW#'!$A:$Z,24,FALSE)+VLOOKUP($A277,A:AL,34,FALSE)-50)),"-",(VLOOKUP($A277,'SegEnds_NonXtal_BW#'!$A:$Z,24,FALSE)+VLOOKUP($A277,A:AL,34,FALSE)-50))</f>
        <v>293</v>
      </c>
      <c r="AJ277" s="3">
        <f>IF(ISERROR(VLOOKUP($A277,'SegEnds_NonXtal_BW#'!$A:$Z,25,FALSE)+VLOOKUP($A277,A:AL,37,FALSE)-50),"-",(VLOOKUP($A277,'SegEnds_NonXtal_BW#'!$A:$Z,25,FALSE)+VLOOKUP($A277,A:AL,37,FALSE)-50))</f>
        <v>294</v>
      </c>
      <c r="AK277" s="3">
        <v>297</v>
      </c>
      <c r="AL277" s="3">
        <f>IF(ISERROR((VLOOKUP($A277,'SegEnds_NonXtal_BW#'!$A:$Z,26,FALSE)+VLOOKUP($A277,A:AL,37,FALSE)-50)),"-",(VLOOKUP($A277,'SegEnds_NonXtal_BW#'!$A:$Z,26,FALSE)+VLOOKUP($A277,A:AL,37,FALSE)-50))</f>
        <v>306</v>
      </c>
      <c r="AM277" s="28" t="str">
        <f>VLOOKUP(A277,Classification!A:B,2,FALSE)</f>
        <v>A</v>
      </c>
      <c r="AN277" s="28" t="b">
        <f t="shared" si="188"/>
        <v>1</v>
      </c>
      <c r="AO277" s="3" t="str">
        <f>IF(ISERROR(MATCH(A277,'SegEnds_Xtal_Prot#'!B:B, 0)), "NoXtal", "Xtal")</f>
        <v>NoXtal</v>
      </c>
      <c r="AP277" s="3" t="str">
        <f t="shared" si="173"/>
        <v>-</v>
      </c>
      <c r="AQ277" s="3" t="str">
        <f t="shared" si="174"/>
        <v>-</v>
      </c>
      <c r="AR277" s="3" t="str">
        <f t="shared" si="175"/>
        <v>-</v>
      </c>
      <c r="AS277" s="3" t="str">
        <f t="shared" si="176"/>
        <v>-</v>
      </c>
      <c r="AT277" s="3" t="str">
        <f t="shared" si="177"/>
        <v>-</v>
      </c>
      <c r="AU277" s="3" t="str">
        <f t="shared" si="178"/>
        <v>-</v>
      </c>
      <c r="AV277" s="3">
        <f t="shared" si="179"/>
        <v>12</v>
      </c>
      <c r="AW277" s="3">
        <f t="shared" si="180"/>
        <v>5</v>
      </c>
      <c r="AX277" s="3">
        <f t="shared" si="181"/>
        <v>20</v>
      </c>
      <c r="AY277" s="3">
        <f t="shared" si="182"/>
        <v>8</v>
      </c>
      <c r="AZ277" s="3">
        <f t="shared" si="183"/>
        <v>1</v>
      </c>
      <c r="BA277" s="3">
        <f>IF(ISERROR(LEN(VLOOKUP(A277,Seqs!A:E,2,FALSE))-AL277),"-",LEN(VLOOKUP(A277,Seqs!A:E,2,FALSE))-AL277)</f>
        <v>62</v>
      </c>
      <c r="BB277" s="16">
        <f t="shared" si="184"/>
        <v>26</v>
      </c>
      <c r="BC277" s="9" t="str">
        <f t="shared" si="185"/>
        <v>-</v>
      </c>
      <c r="BD277" s="3">
        <f t="shared" si="186"/>
        <v>26</v>
      </c>
      <c r="BE277" s="3">
        <f t="shared" si="187"/>
        <v>72</v>
      </c>
    </row>
    <row r="278" spans="1:58" s="3" customFormat="1" x14ac:dyDescent="0.2">
      <c r="A278" s="3" t="s">
        <v>265</v>
      </c>
      <c r="B278" s="3" t="str">
        <f>LOWER(VLOOKUP(A278,Xtal_Templ!A:B,2,FALSE))</f>
        <v>5ht2c_human</v>
      </c>
      <c r="C278" s="3">
        <f>VLOOKUP($A278,'SegEnds_NonXtal_BW#'!$A:$Z,3,FALSE)+D278-50</f>
        <v>82</v>
      </c>
      <c r="D278" s="3">
        <v>99</v>
      </c>
      <c r="E278" s="3">
        <f>IF(ISERROR(VLOOKUP($A278,'SegEnds_NonXtal_BW#'!$A:$Z,4,FALSE)+VLOOKUP($A278,A:AL,4,FALSE)-50),"-",(VLOOKUP($A278,'SegEnds_NonXtal_BW#'!$A:$Z,4,FALSE)+VLOOKUP($A278,A:AL,4,FALSE)-50))</f>
        <v>109</v>
      </c>
      <c r="F278" s="3">
        <f t="shared" ref="F278:F315" si="192">G278-2</f>
        <v>110</v>
      </c>
      <c r="G278" s="3">
        <v>112</v>
      </c>
      <c r="H278" s="3">
        <f t="shared" ref="H278:I297" si="193">G278+1</f>
        <v>113</v>
      </c>
      <c r="I278" s="3">
        <f t="shared" si="193"/>
        <v>114</v>
      </c>
      <c r="J278" s="3">
        <v>127</v>
      </c>
      <c r="K278" s="3">
        <f>VLOOKUP($A278,'SegEnds_NonXtal_BW#'!$A:$Z,8,FALSE)+VLOOKUP($A278,A:AL,10,FALSE)-50</f>
        <v>145</v>
      </c>
      <c r="L278" s="3">
        <f>M278-1</f>
        <v>146</v>
      </c>
      <c r="M278" s="3">
        <v>147</v>
      </c>
      <c r="N278" s="3">
        <f>M278+2</f>
        <v>149</v>
      </c>
      <c r="O278" s="3">
        <f>N278+1</f>
        <v>150</v>
      </c>
      <c r="P278" s="3">
        <v>179</v>
      </c>
      <c r="Q278" s="3">
        <f>VLOOKUP($A278,'SegEnds_NonXtal_BW#'!$A:$Z,12,FALSE)+VLOOKUP($A278,A:AL,16,FALSE)-50</f>
        <v>185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191</v>
      </c>
      <c r="V278" s="3">
        <v>203</v>
      </c>
      <c r="W278" s="3">
        <f>IF(ISERROR(VLOOKUP($A278,'SegEnds_NonXtal_BW#'!$A:$Z,16,FALSE)+VLOOKUP($A278,A:AL,22,FALSE)-50),"-",(VLOOKUP($A278,'SegEnds_NonXtal_BW#'!$A:$Z,16,FALSE)+VLOOKUP($A278,A:AL,22,FALSE)-50))</f>
        <v>220</v>
      </c>
      <c r="X278" s="3">
        <f>IF(ISERROR(VLOOKUP($A278,'SegEnds_NonXtal_BW#'!$A:$Z,17,FALSE)+VLOOKUP($A278,A:AL,25,FALSE)-50),"-",(VLOOKUP($A278,'SegEnds_NonXtal_BW#'!$A:$Z,17,FALSE)+VLOOKUP($A278,A:AL,25,FALSE)-50))</f>
        <v>229</v>
      </c>
      <c r="Y278" s="3">
        <v>229</v>
      </c>
      <c r="Z278" s="3">
        <f t="shared" si="190"/>
        <v>231</v>
      </c>
      <c r="AA278" s="3">
        <f>IF(ISERROR(VLOOKUP($A278,'SegEnds_NonXtal_BW#'!$A:$Z,19,FALSE)+VLOOKUP($A278,A:AL,28,FALSE)-50),"-",(VLOOKUP($A278,'SegEnds_NonXtal_BW#'!$A:$Z,19,FALSE)+VLOOKUP($A278,A:AL,28,FALSE)-50))</f>
        <v>239</v>
      </c>
      <c r="AB278" s="3">
        <v>254</v>
      </c>
      <c r="AC278" s="3">
        <f>IF(ISERROR((VLOOKUP($A278,'SegEnds_NonXtal_BW#'!$A:$Z,20,FALSE)+VLOOKUP($A278,A:AL,28,FALSE)-50)),"-",(VLOOKUP($A278,'SegEnds_NonXtal_BW#'!$A:$Z,20,FALSE)+VLOOKUP($A278,A:AL,28,FALSE)-50))</f>
        <v>280</v>
      </c>
      <c r="AD278" s="3">
        <f>IF(ISERROR(VLOOKUP($A278,'SegEnds_NonXtal_BW#'!$A:$Z,21,FALSE)+VLOOKUP($A278,A:AL,31,FALSE)-50),"-",(VLOOKUP($A278,'SegEnds_NonXtal_BW#'!$A:$Z,21,FALSE)+VLOOKUP($A278,A:AL,31,FALSE)-50))</f>
        <v>303</v>
      </c>
      <c r="AE278" s="3">
        <v>329</v>
      </c>
      <c r="AF278" s="3">
        <f>IF(ISERROR((VLOOKUP($A278,'SegEnds_NonXtal_BW#'!$A:$Z,22,FALSE)+VLOOKUP($A278,A:AL,31,FALSE)-50)),"-",(VLOOKUP($A278,'SegEnds_NonXtal_BW#'!$A:$Z,22,FALSE)+VLOOKUP($A278,A:AL,31,FALSE)-50))</f>
        <v>340</v>
      </c>
      <c r="AG278" s="3">
        <f>IF(ISERROR(VLOOKUP($A278,'SegEnds_NonXtal_BW#'!$A:$Z,23,FALSE)+VLOOKUP($A278,A:AL,34,FALSE)-50),"-",(VLOOKUP($A278,'SegEnds_NonXtal_BW#'!$A:$Z,23,FALSE)+VLOOKUP($A278,A:AL,34,FALSE)-50))</f>
        <v>345</v>
      </c>
      <c r="AH278" s="3">
        <v>368</v>
      </c>
      <c r="AI278" s="3">
        <f>IF(ISERROR((VLOOKUP($A278,'SegEnds_NonXtal_BW#'!$A:$Z,24,FALSE)+VLOOKUP($A278,A:AL,34,FALSE)-50)),"-",(VLOOKUP($A278,'SegEnds_NonXtal_BW#'!$A:$Z,24,FALSE)+VLOOKUP($A278,A:AL,34,FALSE)-50))</f>
        <v>374</v>
      </c>
      <c r="AJ278" s="3">
        <f>IF(ISERROR(VLOOKUP($A278,'SegEnds_NonXtal_BW#'!$A:$Z,25,FALSE)+VLOOKUP($A278,A:AL,37,FALSE)-50),"-",(VLOOKUP($A278,'SegEnds_NonXtal_BW#'!$A:$Z,25,FALSE)+VLOOKUP($A278,A:AL,37,FALSE)-50))</f>
        <v>375</v>
      </c>
      <c r="AK278" s="3">
        <v>378</v>
      </c>
      <c r="AL278" s="3">
        <f>IF(ISERROR((VLOOKUP($A278,'SegEnds_NonXtal_BW#'!$A:$Z,26,FALSE)+VLOOKUP($A278,A:AL,37,FALSE)-50)),"-",(VLOOKUP($A278,'SegEnds_NonXtal_BW#'!$A:$Z,26,FALSE)+VLOOKUP($A278,A:AL,37,FALSE)-50))</f>
        <v>388</v>
      </c>
      <c r="AM278" s="28" t="str">
        <f>VLOOKUP(A278,Classification!A:B,2,FALSE)</f>
        <v>A</v>
      </c>
      <c r="AN278" s="28" t="b">
        <f t="shared" si="188"/>
        <v>1</v>
      </c>
      <c r="AO278" s="3" t="str">
        <f>IF(ISERROR(MATCH(A278,'SegEnds_Xtal_Prot#'!B:B, 0)), "NoXtal", "Xtal")</f>
        <v>NoXtal</v>
      </c>
      <c r="AP278" s="3">
        <f t="shared" si="173"/>
        <v>1</v>
      </c>
      <c r="AQ278" s="3">
        <f t="shared" si="174"/>
        <v>1</v>
      </c>
      <c r="AR278" s="3">
        <f t="shared" si="175"/>
        <v>1</v>
      </c>
      <c r="AS278" s="3">
        <f t="shared" si="176"/>
        <v>1</v>
      </c>
      <c r="AT278" s="3" t="str">
        <f t="shared" si="177"/>
        <v>-</v>
      </c>
      <c r="AU278" s="3" t="str">
        <f t="shared" si="178"/>
        <v>-</v>
      </c>
      <c r="AV278" s="3">
        <f t="shared" si="179"/>
        <v>9</v>
      </c>
      <c r="AW278" s="3">
        <f t="shared" si="180"/>
        <v>8</v>
      </c>
      <c r="AX278" s="3">
        <f t="shared" si="181"/>
        <v>23</v>
      </c>
      <c r="AY278" s="3">
        <f t="shared" si="182"/>
        <v>5</v>
      </c>
      <c r="AZ278" s="3">
        <f t="shared" si="183"/>
        <v>1</v>
      </c>
      <c r="BA278" s="3">
        <f>IF(ISERROR(LEN(VLOOKUP(A278,Seqs!A:E,2,FALSE))-AL278),"-",LEN(VLOOKUP(A278,Seqs!A:E,2,FALSE))-AL278)</f>
        <v>31</v>
      </c>
      <c r="BB278" s="16">
        <f t="shared" si="184"/>
        <v>28</v>
      </c>
      <c r="BC278" s="9" t="str">
        <f t="shared" si="185"/>
        <v>-</v>
      </c>
      <c r="BD278" s="3">
        <f t="shared" si="186"/>
        <v>28</v>
      </c>
      <c r="BE278" s="3">
        <f t="shared" si="187"/>
        <v>75</v>
      </c>
    </row>
    <row r="279" spans="1:58" s="3" customFormat="1" x14ac:dyDescent="0.2">
      <c r="A279" s="3" t="s">
        <v>266</v>
      </c>
      <c r="B279" s="3" t="str">
        <f>LOWER(VLOOKUP(A279,Xtal_Templ!A:B,2,FALSE))</f>
        <v>adrb2_human</v>
      </c>
      <c r="C279" s="3">
        <f>VLOOKUP($A279,'SegEnds_NonXtal_BW#'!$A:$Z,3,FALSE)+D279-50</f>
        <v>35</v>
      </c>
      <c r="D279" s="3">
        <v>60</v>
      </c>
      <c r="E279" s="3">
        <f>IF(ISERROR(VLOOKUP($A279,'SegEnds_NonXtal_BW#'!$A:$Z,4,FALSE)+VLOOKUP($A279,A:AL,4,FALSE)-50),"-",(VLOOKUP($A279,'SegEnds_NonXtal_BW#'!$A:$Z,4,FALSE)+VLOOKUP($A279,A:AL,4,FALSE)-50))</f>
        <v>70</v>
      </c>
      <c r="F279" s="3">
        <f t="shared" si="192"/>
        <v>73</v>
      </c>
      <c r="G279" s="3">
        <v>75</v>
      </c>
      <c r="H279" s="3">
        <f t="shared" si="193"/>
        <v>76</v>
      </c>
      <c r="I279" s="3">
        <f t="shared" si="193"/>
        <v>77</v>
      </c>
      <c r="J279" s="3">
        <v>90</v>
      </c>
      <c r="K279" s="3">
        <f>VLOOKUP($A279,'SegEnds_NonXtal_BW#'!$A:$Z,8,FALSE)+VLOOKUP($A279,A:AL,10,FALSE)-50</f>
        <v>107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111</v>
      </c>
      <c r="P279" s="3">
        <v>143</v>
      </c>
      <c r="Q279" s="3">
        <f>VLOOKUP($A279,'SegEnds_NonXtal_BW#'!$A:$Z,12,FALSE)+VLOOKUP($A279,A:AL,16,FALSE)-50</f>
        <v>149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157</v>
      </c>
      <c r="V279" s="3">
        <v>169</v>
      </c>
      <c r="W279" s="3">
        <f>IF(ISERROR(VLOOKUP($A279,'SegEnds_NonXtal_BW#'!$A:$Z,16,FALSE)+VLOOKUP($A279,A:AL,22,FALSE)-50),"-",(VLOOKUP($A279,'SegEnds_NonXtal_BW#'!$A:$Z,16,FALSE)+VLOOKUP($A279,A:AL,22,FALSE)-50))</f>
        <v>183</v>
      </c>
      <c r="X279" s="3">
        <f>IF(ISERROR(VLOOKUP($A279,'SegEnds_NonXtal_BW#'!$A:$Z,17,FALSE)+VLOOKUP($A279,A:AL,25,FALSE)-50),"-",(VLOOKUP($A279,'SegEnds_NonXtal_BW#'!$A:$Z,17,FALSE)+VLOOKUP($A279,A:AL,25,FALSE)-50))</f>
        <v>189</v>
      </c>
      <c r="Y279" s="3">
        <v>189</v>
      </c>
      <c r="Z279" s="3">
        <f t="shared" si="190"/>
        <v>191</v>
      </c>
      <c r="AA279" s="3">
        <f>IF(ISERROR(VLOOKUP($A279,'SegEnds_NonXtal_BW#'!$A:$Z,19,FALSE)+VLOOKUP($A279,A:AL,28,FALSE)-50),"-",(VLOOKUP($A279,'SegEnds_NonXtal_BW#'!$A:$Z,19,FALSE)+VLOOKUP($A279,A:AL,28,FALSE)-50))</f>
        <v>199</v>
      </c>
      <c r="AB279" s="3">
        <v>214</v>
      </c>
      <c r="AC279" s="3">
        <f>IF(ISERROR((VLOOKUP($A279,'SegEnds_NonXtal_BW#'!$A:$Z,20,FALSE)+VLOOKUP($A279,A:AL,28,FALSE)-50)),"-",(VLOOKUP($A279,'SegEnds_NonXtal_BW#'!$A:$Z,20,FALSE)+VLOOKUP($A279,A:AL,28,FALSE)-50))</f>
        <v>240</v>
      </c>
      <c r="AD279" s="3">
        <f>IF(ISERROR(VLOOKUP($A279,'SegEnds_NonXtal_BW#'!$A:$Z,21,FALSE)+VLOOKUP($A279,A:AL,31,FALSE)-50),"-",(VLOOKUP($A279,'SegEnds_NonXtal_BW#'!$A:$Z,21,FALSE)+VLOOKUP($A279,A:AL,31,FALSE)-50))</f>
        <v>310</v>
      </c>
      <c r="AE279" s="3">
        <v>336</v>
      </c>
      <c r="AF279" s="3">
        <f>IF(ISERROR((VLOOKUP($A279,'SegEnds_NonXtal_BW#'!$A:$Z,22,FALSE)+VLOOKUP($A279,A:AL,31,FALSE)-50)),"-",(VLOOKUP($A279,'SegEnds_NonXtal_BW#'!$A:$Z,22,FALSE)+VLOOKUP($A279,A:AL,31,FALSE)-50))</f>
        <v>347</v>
      </c>
      <c r="AG279" s="3">
        <f>IF(ISERROR(VLOOKUP($A279,'SegEnds_NonXtal_BW#'!$A:$Z,23,FALSE)+VLOOKUP($A279,A:AL,34,FALSE)-50),"-",(VLOOKUP($A279,'SegEnds_NonXtal_BW#'!$A:$Z,23,FALSE)+VLOOKUP($A279,A:AL,34,FALSE)-50))</f>
        <v>354</v>
      </c>
      <c r="AH279" s="3">
        <v>373</v>
      </c>
      <c r="AI279" s="3">
        <f>IF(ISERROR((VLOOKUP($A279,'SegEnds_NonXtal_BW#'!$A:$Z,24,FALSE)+VLOOKUP($A279,A:AL,34,FALSE)-50)),"-",(VLOOKUP($A279,'SegEnds_NonXtal_BW#'!$A:$Z,24,FALSE)+VLOOKUP($A279,A:AL,34,FALSE)-50))</f>
        <v>378</v>
      </c>
      <c r="AJ279" s="3">
        <f>IF(ISERROR(VLOOKUP($A279,'SegEnds_NonXtal_BW#'!$A:$Z,25,FALSE)+VLOOKUP($A279,A:AL,37,FALSE)-50),"-",(VLOOKUP($A279,'SegEnds_NonXtal_BW#'!$A:$Z,25,FALSE)+VLOOKUP($A279,A:AL,37,FALSE)-50))</f>
        <v>380</v>
      </c>
      <c r="AK279" s="3">
        <v>383</v>
      </c>
      <c r="AL279" s="3">
        <f>IF(ISERROR((VLOOKUP($A279,'SegEnds_NonXtal_BW#'!$A:$Z,26,FALSE)+VLOOKUP($A279,A:AL,37,FALSE)-50)),"-",(VLOOKUP($A279,'SegEnds_NonXtal_BW#'!$A:$Z,26,FALSE)+VLOOKUP($A279,A:AL,37,FALSE)-50))</f>
        <v>392</v>
      </c>
      <c r="AM279" s="28" t="str">
        <f>VLOOKUP(A279,Classification!A:B,2,FALSE)</f>
        <v>A</v>
      </c>
      <c r="AN279" s="28" t="b">
        <f t="shared" si="188"/>
        <v>1</v>
      </c>
      <c r="AO279" s="3" t="str">
        <f>IF(ISERROR(MATCH(A279,'SegEnds_Xtal_Prot#'!B:B, 0)), "NoXtal", "Xtal")</f>
        <v>NoXtal</v>
      </c>
      <c r="AP279" s="3">
        <f t="shared" si="173"/>
        <v>3</v>
      </c>
      <c r="AQ279" s="3">
        <f t="shared" si="174"/>
        <v>1</v>
      </c>
      <c r="AR279" s="3" t="str">
        <f t="shared" si="175"/>
        <v>-</v>
      </c>
      <c r="AS279" s="3" t="str">
        <f t="shared" si="176"/>
        <v>-</v>
      </c>
      <c r="AT279" s="3" t="str">
        <f t="shared" si="177"/>
        <v>-</v>
      </c>
      <c r="AU279" s="3" t="str">
        <f t="shared" si="178"/>
        <v>-</v>
      </c>
      <c r="AV279" s="3">
        <f t="shared" si="179"/>
        <v>6</v>
      </c>
      <c r="AW279" s="3">
        <f t="shared" si="180"/>
        <v>8</v>
      </c>
      <c r="AX279" s="3">
        <f t="shared" si="181"/>
        <v>70</v>
      </c>
      <c r="AY279" s="3">
        <f t="shared" si="182"/>
        <v>7</v>
      </c>
      <c r="AZ279" s="3">
        <f t="shared" si="183"/>
        <v>2</v>
      </c>
      <c r="BA279" s="3">
        <f>IF(ISERROR(LEN(VLOOKUP(A279,Seqs!A:E,2,FALSE))-AL279),"-",LEN(VLOOKUP(A279,Seqs!A:E,2,FALSE))-AL279)</f>
        <v>148</v>
      </c>
      <c r="BB279" s="16">
        <f t="shared" si="184"/>
        <v>30</v>
      </c>
      <c r="BC279" s="9" t="str">
        <f t="shared" si="185"/>
        <v>-</v>
      </c>
      <c r="BD279" s="3">
        <f t="shared" si="186"/>
        <v>30</v>
      </c>
      <c r="BE279" s="3">
        <f t="shared" si="187"/>
        <v>122</v>
      </c>
    </row>
    <row r="280" spans="1:58" s="3" customFormat="1" x14ac:dyDescent="0.2">
      <c r="A280" s="3" t="s">
        <v>269</v>
      </c>
      <c r="B280" s="3" t="str">
        <f>LOWER(VLOOKUP(A280,Xtal_Templ!A:B,2,FALSE))</f>
        <v>ox2r_human</v>
      </c>
      <c r="C280" s="3">
        <f>VLOOKUP($A280,'SegEnds_NonXtal_BW#'!$A:$Z,3,FALSE)+D280-50</f>
        <v>70</v>
      </c>
      <c r="D280" s="3">
        <v>89</v>
      </c>
      <c r="E280" s="3">
        <f>IF(ISERROR(VLOOKUP($A280,'SegEnds_NonXtal_BW#'!$A:$Z,4,FALSE)+VLOOKUP($A280,A:AL,4,FALSE)-50),"-",(VLOOKUP($A280,'SegEnds_NonXtal_BW#'!$A:$Z,4,FALSE)+VLOOKUP($A280,A:AL,4,FALSE)-50))</f>
        <v>99</v>
      </c>
      <c r="F280" s="3">
        <f t="shared" si="192"/>
        <v>100</v>
      </c>
      <c r="G280" s="3">
        <v>102</v>
      </c>
      <c r="H280" s="3">
        <f t="shared" si="193"/>
        <v>103</v>
      </c>
      <c r="I280" s="3">
        <f t="shared" si="193"/>
        <v>104</v>
      </c>
      <c r="J280" s="3">
        <v>117</v>
      </c>
      <c r="K280" s="3">
        <f>VLOOKUP($A280,'SegEnds_NonXtal_BW#'!$A:$Z,8,FALSE)+VLOOKUP($A280,A:AL,10,FALSE)-50</f>
        <v>135</v>
      </c>
      <c r="L280" s="3">
        <f t="shared" ref="L280:L297" si="194">M280-1</f>
        <v>136</v>
      </c>
      <c r="M280" s="3">
        <v>137</v>
      </c>
      <c r="N280" s="3">
        <f t="shared" ref="N280:N297" si="195">M280+2</f>
        <v>139</v>
      </c>
      <c r="O280" s="3">
        <f t="shared" ref="O280:O297" si="196">N280+1</f>
        <v>140</v>
      </c>
      <c r="P280" s="3">
        <v>169</v>
      </c>
      <c r="Q280" s="3">
        <f>VLOOKUP($A280,'SegEnds_NonXtal_BW#'!$A:$Z,12,FALSE)+VLOOKUP($A280,A:AL,16,FALSE)-50</f>
        <v>175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182</v>
      </c>
      <c r="V280" s="3">
        <v>194</v>
      </c>
      <c r="W280" s="3">
        <f>IF(ISERROR(VLOOKUP($A280,'SegEnds_NonXtal_BW#'!$A:$Z,16,FALSE)+VLOOKUP($A280,A:AL,22,FALSE)-50),"-",(VLOOKUP($A280,'SegEnds_NonXtal_BW#'!$A:$Z,16,FALSE)+VLOOKUP($A280,A:AL,22,FALSE)-50))</f>
        <v>208</v>
      </c>
      <c r="X280" s="3">
        <f>IF(ISERROR(VLOOKUP($A280,'SegEnds_NonXtal_BW#'!$A:$Z,17,FALSE)+VLOOKUP($A280,A:AL,25,FALSE)-50),"-",(VLOOKUP($A280,'SegEnds_NonXtal_BW#'!$A:$Z,17,FALSE)+VLOOKUP($A280,A:AL,25,FALSE)-50))</f>
        <v>224</v>
      </c>
      <c r="Y280" s="3">
        <v>224</v>
      </c>
      <c r="Z280" s="3">
        <f t="shared" si="190"/>
        <v>226</v>
      </c>
      <c r="AA280" s="3">
        <f>IF(ISERROR(VLOOKUP($A280,'SegEnds_NonXtal_BW#'!$A:$Z,19,FALSE)+VLOOKUP($A280,A:AL,28,FALSE)-50),"-",(VLOOKUP($A280,'SegEnds_NonXtal_BW#'!$A:$Z,19,FALSE)+VLOOKUP($A280,A:AL,28,FALSE)-50))</f>
        <v>234</v>
      </c>
      <c r="AB280" s="3">
        <v>251</v>
      </c>
      <c r="AC280" s="3">
        <f>IF(ISERROR((VLOOKUP($A280,'SegEnds_NonXtal_BW#'!$A:$Z,20,FALSE)+VLOOKUP($A280,A:AL,28,FALSE)-50)),"-",(VLOOKUP($A280,'SegEnds_NonXtal_BW#'!$A:$Z,20,FALSE)+VLOOKUP($A280,A:AL,28,FALSE)-50))</f>
        <v>274</v>
      </c>
      <c r="AD280" s="3">
        <f>IF(ISERROR(VLOOKUP($A280,'SegEnds_NonXtal_BW#'!$A:$Z,21,FALSE)+VLOOKUP($A280,A:AL,31,FALSE)-50),"-",(VLOOKUP($A280,'SegEnds_NonXtal_BW#'!$A:$Z,21,FALSE)+VLOOKUP($A280,A:AL,31,FALSE)-50))</f>
        <v>279</v>
      </c>
      <c r="AE280" s="3">
        <v>307</v>
      </c>
      <c r="AF280" s="3">
        <f>IF(ISERROR((VLOOKUP($A280,'SegEnds_NonXtal_BW#'!$A:$Z,22,FALSE)+VLOOKUP($A280,A:AL,31,FALSE)-50)),"-",(VLOOKUP($A280,'SegEnds_NonXtal_BW#'!$A:$Z,22,FALSE)+VLOOKUP($A280,A:AL,31,FALSE)-50))</f>
        <v>318</v>
      </c>
      <c r="AG280" s="3">
        <f>IF(ISERROR(VLOOKUP($A280,'SegEnds_NonXtal_BW#'!$A:$Z,23,FALSE)+VLOOKUP($A280,A:AL,34,FALSE)-50),"-",(VLOOKUP($A280,'SegEnds_NonXtal_BW#'!$A:$Z,23,FALSE)+VLOOKUP($A280,A:AL,34,FALSE)-50))</f>
        <v>323</v>
      </c>
      <c r="AH280" s="3">
        <v>342</v>
      </c>
      <c r="AI280" s="3">
        <f>IF(ISERROR((VLOOKUP($A280,'SegEnds_NonXtal_BW#'!$A:$Z,24,FALSE)+VLOOKUP($A280,A:AL,34,FALSE)-50)),"-",(VLOOKUP($A280,'SegEnds_NonXtal_BW#'!$A:$Z,24,FALSE)+VLOOKUP($A280,A:AL,34,FALSE)-50))</f>
        <v>348</v>
      </c>
      <c r="AJ280" s="3">
        <f>IF(ISERROR(VLOOKUP($A280,'SegEnds_NonXtal_BW#'!$A:$Z,25,FALSE)+VLOOKUP($A280,A:AL,37,FALSE)-50),"-",(VLOOKUP($A280,'SegEnds_NonXtal_BW#'!$A:$Z,25,FALSE)+VLOOKUP($A280,A:AL,37,FALSE)-50))</f>
        <v>349</v>
      </c>
      <c r="AK280" s="3">
        <v>352</v>
      </c>
      <c r="AL280" s="3">
        <f>IF(ISERROR((VLOOKUP($A280,'SegEnds_NonXtal_BW#'!$A:$Z,26,FALSE)+VLOOKUP($A280,A:AL,37,FALSE)-50)),"-",(VLOOKUP($A280,'SegEnds_NonXtal_BW#'!$A:$Z,26,FALSE)+VLOOKUP($A280,A:AL,37,FALSE)-50))</f>
        <v>365</v>
      </c>
      <c r="AM280" s="28" t="str">
        <f>VLOOKUP(A280,Classification!A:B,2,FALSE)</f>
        <v>A</v>
      </c>
      <c r="AN280" s="28" t="b">
        <f t="shared" si="188"/>
        <v>1</v>
      </c>
      <c r="AO280" s="3" t="str">
        <f>IF(ISERROR(MATCH(A280,'SegEnds_Xtal_Prot#'!B:B, 0)), "NoXtal", "Xtal")</f>
        <v>NoXtal</v>
      </c>
      <c r="AP280" s="3">
        <f t="shared" si="173"/>
        <v>1</v>
      </c>
      <c r="AQ280" s="3">
        <f t="shared" si="174"/>
        <v>1</v>
      </c>
      <c r="AR280" s="3">
        <f t="shared" si="175"/>
        <v>1</v>
      </c>
      <c r="AS280" s="3">
        <f t="shared" si="176"/>
        <v>1</v>
      </c>
      <c r="AT280" s="3" t="str">
        <f t="shared" si="177"/>
        <v>-</v>
      </c>
      <c r="AU280" s="3" t="str">
        <f t="shared" si="178"/>
        <v>-</v>
      </c>
      <c r="AV280" s="3">
        <f t="shared" si="179"/>
        <v>16</v>
      </c>
      <c r="AW280" s="3">
        <f t="shared" si="180"/>
        <v>8</v>
      </c>
      <c r="AX280" s="3">
        <f t="shared" si="181"/>
        <v>5</v>
      </c>
      <c r="AY280" s="3">
        <f t="shared" si="182"/>
        <v>5</v>
      </c>
      <c r="AZ280" s="3">
        <f t="shared" si="183"/>
        <v>1</v>
      </c>
      <c r="BA280" s="3">
        <f>IF(ISERROR(LEN(VLOOKUP(A280,Seqs!A:E,2,FALSE))-AL280),"-",LEN(VLOOKUP(A280,Seqs!A:E,2,FALSE))-AL280)</f>
        <v>58</v>
      </c>
      <c r="BB280" s="16">
        <f t="shared" si="184"/>
        <v>28</v>
      </c>
      <c r="BC280" s="9" t="str">
        <f t="shared" si="185"/>
        <v>-</v>
      </c>
      <c r="BD280" s="3">
        <f t="shared" si="186"/>
        <v>28</v>
      </c>
      <c r="BE280" s="3">
        <f t="shared" si="187"/>
        <v>56</v>
      </c>
    </row>
    <row r="281" spans="1:58" s="3" customFormat="1" x14ac:dyDescent="0.2">
      <c r="A281" s="3" t="s">
        <v>314</v>
      </c>
      <c r="B281" s="3" t="str">
        <f>LOWER(VLOOKUP(A281,Xtal_Templ!A:B,2,FALSE))</f>
        <v>nk1r_human</v>
      </c>
      <c r="C281" s="3">
        <f>VLOOKUP($A281,'SegEnds_NonXtal_BW#'!$A:$Z,3,FALSE)+D281-50</f>
        <v>28</v>
      </c>
      <c r="D281" s="3">
        <v>50</v>
      </c>
      <c r="E281" s="3">
        <f>IF(ISERROR(VLOOKUP($A281,'SegEnds_NonXtal_BW#'!$A:$Z,4,FALSE)+VLOOKUP($A281,A:AL,4,FALSE)-50),"-",(VLOOKUP($A281,'SegEnds_NonXtal_BW#'!$A:$Z,4,FALSE)+VLOOKUP($A281,A:AL,4,FALSE)-50))</f>
        <v>60</v>
      </c>
      <c r="F281" s="3">
        <f t="shared" si="192"/>
        <v>61</v>
      </c>
      <c r="G281" s="3">
        <v>63</v>
      </c>
      <c r="H281" s="3">
        <f t="shared" si="193"/>
        <v>64</v>
      </c>
      <c r="I281" s="3">
        <f t="shared" si="193"/>
        <v>65</v>
      </c>
      <c r="J281" s="3">
        <v>78</v>
      </c>
      <c r="K281" s="3">
        <f>VLOOKUP($A281,'SegEnds_NonXtal_BW#'!$A:$Z,8,FALSE)+VLOOKUP($A281,A:AL,10,FALSE)-50</f>
        <v>96</v>
      </c>
      <c r="L281" s="3">
        <f t="shared" si="194"/>
        <v>97</v>
      </c>
      <c r="M281" s="3">
        <v>98</v>
      </c>
      <c r="N281" s="3">
        <f t="shared" si="195"/>
        <v>100</v>
      </c>
      <c r="O281" s="3">
        <f t="shared" si="196"/>
        <v>101</v>
      </c>
      <c r="P281" s="3">
        <v>130</v>
      </c>
      <c r="Q281" s="3">
        <f>VLOOKUP($A281,'SegEnds_NonXtal_BW#'!$A:$Z,12,FALSE)+VLOOKUP($A281,A:AL,16,FALSE)-50</f>
        <v>136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143</v>
      </c>
      <c r="V281" s="3">
        <v>155</v>
      </c>
      <c r="W281" s="3">
        <f>IF(ISERROR(VLOOKUP($A281,'SegEnds_NonXtal_BW#'!$A:$Z,16,FALSE)+VLOOKUP($A281,A:AL,22,FALSE)-50),"-",(VLOOKUP($A281,'SegEnds_NonXtal_BW#'!$A:$Z,16,FALSE)+VLOOKUP($A281,A:AL,22,FALSE)-50))</f>
        <v>169</v>
      </c>
      <c r="X281" s="3">
        <f>IF(ISERROR(VLOOKUP($A281,'SegEnds_NonXtal_BW#'!$A:$Z,17,FALSE)+VLOOKUP($A281,A:AL,25,FALSE)-50),"-",(VLOOKUP($A281,'SegEnds_NonXtal_BW#'!$A:$Z,17,FALSE)+VLOOKUP($A281,A:AL,25,FALSE)-50))</f>
        <v>180</v>
      </c>
      <c r="Y281" s="3">
        <v>180</v>
      </c>
      <c r="Z281" s="3">
        <f t="shared" si="190"/>
        <v>182</v>
      </c>
      <c r="AA281" s="3">
        <f>IF(ISERROR(VLOOKUP($A281,'SegEnds_NonXtal_BW#'!$A:$Z,19,FALSE)+VLOOKUP($A281,A:AL,28,FALSE)-50),"-",(VLOOKUP($A281,'SegEnds_NonXtal_BW#'!$A:$Z,19,FALSE)+VLOOKUP($A281,A:AL,28,FALSE)-50))</f>
        <v>188</v>
      </c>
      <c r="AB281" s="3">
        <v>208</v>
      </c>
      <c r="AC281" s="3">
        <f>IF(ISERROR((VLOOKUP($A281,'SegEnds_NonXtal_BW#'!$A:$Z,20,FALSE)+VLOOKUP($A281,A:AL,28,FALSE)-50)),"-",(VLOOKUP($A281,'SegEnds_NonXtal_BW#'!$A:$Z,20,FALSE)+VLOOKUP($A281,A:AL,28,FALSE)-50))</f>
        <v>231</v>
      </c>
      <c r="AD281" s="3">
        <f>IF(ISERROR(VLOOKUP($A281,'SegEnds_NonXtal_BW#'!$A:$Z,21,FALSE)+VLOOKUP($A281,A:AL,31,FALSE)-50),"-",(VLOOKUP($A281,'SegEnds_NonXtal_BW#'!$A:$Z,21,FALSE)+VLOOKUP($A281,A:AL,31,FALSE)-50))</f>
        <v>235</v>
      </c>
      <c r="AE281" s="3">
        <v>263</v>
      </c>
      <c r="AF281" s="3">
        <f>IF(ISERROR((VLOOKUP($A281,'SegEnds_NonXtal_BW#'!$A:$Z,22,FALSE)+VLOOKUP($A281,A:AL,31,FALSE)-50)),"-",(VLOOKUP($A281,'SegEnds_NonXtal_BW#'!$A:$Z,22,FALSE)+VLOOKUP($A281,A:AL,31,FALSE)-50))</f>
        <v>274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302</v>
      </c>
      <c r="AI281" s="3">
        <f>IF(ISERROR((VLOOKUP($A281,'SegEnds_NonXtal_BW#'!$A:$Z,24,FALSE)+VLOOKUP($A281,A:AL,34,FALSE)-50)),"-",(VLOOKUP($A281,'SegEnds_NonXtal_BW#'!$A:$Z,24,FALSE)+VLOOKUP($A281,A:AL,34,FALSE)-50))</f>
        <v>308</v>
      </c>
      <c r="AJ281" s="3">
        <f>IF(ISERROR(VLOOKUP($A281,'SegEnds_NonXtal_BW#'!$A:$Z,25,FALSE)+VLOOKUP($A281,A:AL,37,FALSE)-50),"-",(VLOOKUP($A281,'SegEnds_NonXtal_BW#'!$A:$Z,25,FALSE)+VLOOKUP($A281,A:AL,37,FALSE)-50))</f>
        <v>309</v>
      </c>
      <c r="AK281" s="3">
        <v>312</v>
      </c>
      <c r="AL281" s="3">
        <f>IF(ISERROR((VLOOKUP($A281,'SegEnds_NonXtal_BW#'!$A:$Z,26,FALSE)+VLOOKUP($A281,A:AL,37,FALSE)-50)),"-",(VLOOKUP($A281,'SegEnds_NonXtal_BW#'!$A:$Z,26,FALSE)+VLOOKUP($A281,A:AL,37,FALSE)-50))</f>
        <v>320</v>
      </c>
      <c r="AM281" s="28" t="str">
        <f>VLOOKUP(A281,Classification!A:B,2,FALSE)</f>
        <v>A</v>
      </c>
      <c r="AN281" s="28" t="b">
        <f t="shared" si="188"/>
        <v>1</v>
      </c>
      <c r="AO281" s="3" t="str">
        <f>IF(ISERROR(MATCH(A281,'SegEnds_Xtal_Prot#'!B:B, 0)), "NoXtal", "Xtal")</f>
        <v>Xtal</v>
      </c>
      <c r="AP281" s="3">
        <f t="shared" si="173"/>
        <v>1</v>
      </c>
      <c r="AQ281" s="3">
        <f t="shared" si="174"/>
        <v>1</v>
      </c>
      <c r="AR281" s="3">
        <f t="shared" si="175"/>
        <v>1</v>
      </c>
      <c r="AS281" s="3">
        <f t="shared" si="176"/>
        <v>1</v>
      </c>
      <c r="AT281" s="3" t="str">
        <f t="shared" si="177"/>
        <v>-</v>
      </c>
      <c r="AU281" s="3" t="str">
        <f t="shared" si="178"/>
        <v>-</v>
      </c>
      <c r="AV281" s="3">
        <f t="shared" si="179"/>
        <v>11</v>
      </c>
      <c r="AW281" s="3">
        <f t="shared" si="180"/>
        <v>6</v>
      </c>
      <c r="AX281" s="3">
        <f t="shared" si="181"/>
        <v>4</v>
      </c>
      <c r="AY281" s="3">
        <f t="shared" si="182"/>
        <v>8</v>
      </c>
      <c r="AZ281" s="3">
        <f t="shared" si="183"/>
        <v>1</v>
      </c>
      <c r="BA281" s="3">
        <f>IF(ISERROR(LEN(VLOOKUP(A281,Seqs!A:E,2,FALSE))-AL281),"-",LEN(VLOOKUP(A281,Seqs!A:E,2,FALSE))-AL281)</f>
        <v>87</v>
      </c>
      <c r="BB281" s="16">
        <f t="shared" si="184"/>
        <v>28</v>
      </c>
      <c r="BC281" s="9" t="str">
        <f t="shared" si="185"/>
        <v>-</v>
      </c>
      <c r="BD281" s="3">
        <f t="shared" si="186"/>
        <v>28</v>
      </c>
      <c r="BE281" s="3">
        <f t="shared" si="187"/>
        <v>55</v>
      </c>
    </row>
    <row r="282" spans="1:58" s="3" customFormat="1" x14ac:dyDescent="0.2">
      <c r="A282" s="3" t="s">
        <v>315</v>
      </c>
      <c r="B282" s="3" t="str">
        <f>LOWER(VLOOKUP(A282,Xtal_Templ!A:B,2,FALSE))</f>
        <v>nk1r_human</v>
      </c>
      <c r="C282" s="3">
        <f>VLOOKUP($A282,'SegEnds_NonXtal_BW#'!$A:$Z,3,FALSE)+D282-50</f>
        <v>29</v>
      </c>
      <c r="D282" s="3">
        <v>51</v>
      </c>
      <c r="E282" s="3">
        <f>IF(ISERROR(VLOOKUP($A282,'SegEnds_NonXtal_BW#'!$A:$Z,4,FALSE)+VLOOKUP($A282,A:AL,4,FALSE)-50),"-",(VLOOKUP($A282,'SegEnds_NonXtal_BW#'!$A:$Z,4,FALSE)+VLOOKUP($A282,A:AL,4,FALSE)-50))</f>
        <v>61</v>
      </c>
      <c r="F282" s="3">
        <f t="shared" si="192"/>
        <v>62</v>
      </c>
      <c r="G282" s="3">
        <v>64</v>
      </c>
      <c r="H282" s="3">
        <f t="shared" si="193"/>
        <v>65</v>
      </c>
      <c r="I282" s="3">
        <f t="shared" si="193"/>
        <v>66</v>
      </c>
      <c r="J282" s="3">
        <v>79</v>
      </c>
      <c r="K282" s="3">
        <f>VLOOKUP($A282,'SegEnds_NonXtal_BW#'!$A:$Z,8,FALSE)+VLOOKUP($A282,A:AL,10,FALSE)-50</f>
        <v>97</v>
      </c>
      <c r="L282" s="3">
        <f t="shared" si="194"/>
        <v>98</v>
      </c>
      <c r="M282" s="3">
        <v>99</v>
      </c>
      <c r="N282" s="3">
        <f t="shared" si="195"/>
        <v>101</v>
      </c>
      <c r="O282" s="3">
        <f t="shared" si="196"/>
        <v>102</v>
      </c>
      <c r="P282" s="3">
        <v>131</v>
      </c>
      <c r="Q282" s="3">
        <f>VLOOKUP($A282,'SegEnds_NonXtal_BW#'!$A:$Z,12,FALSE)+VLOOKUP($A282,A:AL,16,FALSE)-50</f>
        <v>137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144</v>
      </c>
      <c r="V282" s="3">
        <v>156</v>
      </c>
      <c r="W282" s="3">
        <f>IF(ISERROR(VLOOKUP($A282,'SegEnds_NonXtal_BW#'!$A:$Z,16,FALSE)+VLOOKUP($A282,A:AL,22,FALSE)-50),"-",(VLOOKUP($A282,'SegEnds_NonXtal_BW#'!$A:$Z,16,FALSE)+VLOOKUP($A282,A:AL,22,FALSE)-50))</f>
        <v>170</v>
      </c>
      <c r="X282" s="3">
        <f>IF(ISERROR(VLOOKUP($A282,'SegEnds_NonXtal_BW#'!$A:$Z,17,FALSE)+VLOOKUP($A282,A:AL,25,FALSE)-50),"-",(VLOOKUP($A282,'SegEnds_NonXtal_BW#'!$A:$Z,17,FALSE)+VLOOKUP($A282,A:AL,25,FALSE)-50))</f>
        <v>181</v>
      </c>
      <c r="Y282" s="3">
        <v>181</v>
      </c>
      <c r="Z282" s="3">
        <f t="shared" si="190"/>
        <v>183</v>
      </c>
      <c r="AA282" s="3">
        <f>IF(ISERROR(VLOOKUP($A282,'SegEnds_NonXtal_BW#'!$A:$Z,19,FALSE)+VLOOKUP($A282,A:AL,28,FALSE)-50),"-",(VLOOKUP($A282,'SegEnds_NonXtal_BW#'!$A:$Z,19,FALSE)+VLOOKUP($A282,A:AL,28,FALSE)-50))</f>
        <v>189</v>
      </c>
      <c r="AB282" s="3">
        <v>209</v>
      </c>
      <c r="AC282" s="3">
        <f>IF(ISERROR((VLOOKUP($A282,'SegEnds_NonXtal_BW#'!$A:$Z,20,FALSE)+VLOOKUP($A282,A:AL,28,FALSE)-50)),"-",(VLOOKUP($A282,'SegEnds_NonXtal_BW#'!$A:$Z,20,FALSE)+VLOOKUP($A282,A:AL,28,FALSE)-50))</f>
        <v>232</v>
      </c>
      <c r="AD282" s="3">
        <f>IF(ISERROR(VLOOKUP($A282,'SegEnds_NonXtal_BW#'!$A:$Z,21,FALSE)+VLOOKUP($A282,A:AL,31,FALSE)-50),"-",(VLOOKUP($A282,'SegEnds_NonXtal_BW#'!$A:$Z,21,FALSE)+VLOOKUP($A282,A:AL,31,FALSE)-50))</f>
        <v>237</v>
      </c>
      <c r="AE282" s="3">
        <v>265</v>
      </c>
      <c r="AF282" s="3">
        <f>IF(ISERROR((VLOOKUP($A282,'SegEnds_NonXtal_BW#'!$A:$Z,22,FALSE)+VLOOKUP($A282,A:AL,31,FALSE)-50)),"-",(VLOOKUP($A282,'SegEnds_NonXtal_BW#'!$A:$Z,22,FALSE)+VLOOKUP($A282,A:AL,31,FALSE)-50))</f>
        <v>276</v>
      </c>
      <c r="AG282" s="3">
        <f>IF(ISERROR(VLOOKUP($A282,'SegEnds_NonXtal_BW#'!$A:$Z,23,FALSE)+VLOOKUP($A282,A:AL,34,FALSE)-50),"-",(VLOOKUP($A282,'SegEnds_NonXtal_BW#'!$A:$Z,23,FALSE)+VLOOKUP($A282,A:AL,34,FALSE)-50))</f>
        <v>284</v>
      </c>
      <c r="AH282" s="3">
        <v>304</v>
      </c>
      <c r="AI282" s="3">
        <f>IF(ISERROR((VLOOKUP($A282,'SegEnds_NonXtal_BW#'!$A:$Z,24,FALSE)+VLOOKUP($A282,A:AL,34,FALSE)-50)),"-",(VLOOKUP($A282,'SegEnds_NonXtal_BW#'!$A:$Z,24,FALSE)+VLOOKUP($A282,A:AL,34,FALSE)-50))</f>
        <v>310</v>
      </c>
      <c r="AJ282" s="3">
        <f>IF(ISERROR(VLOOKUP($A282,'SegEnds_NonXtal_BW#'!$A:$Z,25,FALSE)+VLOOKUP($A282,A:AL,37,FALSE)-50),"-",(VLOOKUP($A282,'SegEnds_NonXtal_BW#'!$A:$Z,25,FALSE)+VLOOKUP($A282,A:AL,37,FALSE)-50))</f>
        <v>311</v>
      </c>
      <c r="AK282" s="3">
        <v>314</v>
      </c>
      <c r="AL282" s="3">
        <f>IF(ISERROR((VLOOKUP($A282,'SegEnds_NonXtal_BW#'!$A:$Z,26,FALSE)+VLOOKUP($A282,A:AL,37,FALSE)-50)),"-",(VLOOKUP($A282,'SegEnds_NonXtal_BW#'!$A:$Z,26,FALSE)+VLOOKUP($A282,A:AL,37,FALSE)-50))</f>
        <v>322</v>
      </c>
      <c r="AM282" s="28" t="str">
        <f>VLOOKUP(A282,Classification!A:B,2,FALSE)</f>
        <v>A</v>
      </c>
      <c r="AN282" s="28" t="b">
        <f t="shared" si="188"/>
        <v>1</v>
      </c>
      <c r="AO282" s="3" t="str">
        <f>IF(ISERROR(MATCH(A282,'SegEnds_Xtal_Prot#'!B:B, 0)), "NoXtal", "Xtal")</f>
        <v>NoXtal</v>
      </c>
      <c r="AP282" s="3">
        <f t="shared" si="173"/>
        <v>1</v>
      </c>
      <c r="AQ282" s="3">
        <f t="shared" si="174"/>
        <v>1</v>
      </c>
      <c r="AR282" s="3">
        <f t="shared" si="175"/>
        <v>1</v>
      </c>
      <c r="AS282" s="3">
        <f t="shared" si="176"/>
        <v>1</v>
      </c>
      <c r="AT282" s="3" t="str">
        <f t="shared" si="177"/>
        <v>-</v>
      </c>
      <c r="AU282" s="3" t="str">
        <f t="shared" si="178"/>
        <v>-</v>
      </c>
      <c r="AV282" s="3">
        <f t="shared" si="179"/>
        <v>11</v>
      </c>
      <c r="AW282" s="3">
        <f t="shared" si="180"/>
        <v>6</v>
      </c>
      <c r="AX282" s="3">
        <f t="shared" si="181"/>
        <v>5</v>
      </c>
      <c r="AY282" s="3">
        <f t="shared" si="182"/>
        <v>8</v>
      </c>
      <c r="AZ282" s="3">
        <f t="shared" si="183"/>
        <v>1</v>
      </c>
      <c r="BA282" s="3">
        <f>IF(ISERROR(LEN(VLOOKUP(A282,Seqs!A:E,2,FALSE))-AL282),"-",LEN(VLOOKUP(A282,Seqs!A:E,2,FALSE))-AL282)</f>
        <v>76</v>
      </c>
      <c r="BB282" s="16">
        <f t="shared" si="184"/>
        <v>28</v>
      </c>
      <c r="BC282" s="9" t="str">
        <f t="shared" si="185"/>
        <v>-</v>
      </c>
      <c r="BD282" s="3">
        <f t="shared" si="186"/>
        <v>28</v>
      </c>
      <c r="BE282" s="3">
        <f t="shared" si="187"/>
        <v>56</v>
      </c>
    </row>
    <row r="283" spans="1:58" s="3" customFormat="1" x14ac:dyDescent="0.2">
      <c r="A283" s="3" t="s">
        <v>316</v>
      </c>
      <c r="B283" s="3" t="str">
        <f>LOWER(VLOOKUP(A283,Xtal_Templ!A:B,2,FALSE))</f>
        <v>nk1r_human</v>
      </c>
      <c r="C283" s="3">
        <f>VLOOKUP($A283,'SegEnds_NonXtal_BW#'!$A:$Z,3,FALSE)+D283-50</f>
        <v>81</v>
      </c>
      <c r="D283" s="3">
        <v>103</v>
      </c>
      <c r="E283" s="3">
        <f>IF(ISERROR(VLOOKUP($A283,'SegEnds_NonXtal_BW#'!$A:$Z,4,FALSE)+VLOOKUP($A283,A:AL,4,FALSE)-50),"-",(VLOOKUP($A283,'SegEnds_NonXtal_BW#'!$A:$Z,4,FALSE)+VLOOKUP($A283,A:AL,4,FALSE)-50))</f>
        <v>113</v>
      </c>
      <c r="F283" s="3">
        <f t="shared" si="192"/>
        <v>114</v>
      </c>
      <c r="G283" s="3">
        <v>116</v>
      </c>
      <c r="H283" s="3">
        <f t="shared" si="193"/>
        <v>117</v>
      </c>
      <c r="I283" s="3">
        <f t="shared" si="193"/>
        <v>118</v>
      </c>
      <c r="J283" s="3">
        <v>131</v>
      </c>
      <c r="K283" s="3">
        <f>VLOOKUP($A283,'SegEnds_NonXtal_BW#'!$A:$Z,8,FALSE)+VLOOKUP($A283,A:AL,10,FALSE)-50</f>
        <v>149</v>
      </c>
      <c r="L283" s="3">
        <f t="shared" si="194"/>
        <v>150</v>
      </c>
      <c r="M283" s="3">
        <v>151</v>
      </c>
      <c r="N283" s="3">
        <f t="shared" si="195"/>
        <v>153</v>
      </c>
      <c r="O283" s="3">
        <f t="shared" si="196"/>
        <v>154</v>
      </c>
      <c r="P283" s="3">
        <v>183</v>
      </c>
      <c r="Q283" s="3">
        <f>VLOOKUP($A283,'SegEnds_NonXtal_BW#'!$A:$Z,12,FALSE)+VLOOKUP($A283,A:AL,16,FALSE)-50</f>
        <v>189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196</v>
      </c>
      <c r="V283" s="3">
        <v>208</v>
      </c>
      <c r="W283" s="3">
        <f>IF(ISERROR(VLOOKUP($A283,'SegEnds_NonXtal_BW#'!$A:$Z,16,FALSE)+VLOOKUP($A283,A:AL,22,FALSE)-50),"-",(VLOOKUP($A283,'SegEnds_NonXtal_BW#'!$A:$Z,16,FALSE)+VLOOKUP($A283,A:AL,22,FALSE)-50))</f>
        <v>222</v>
      </c>
      <c r="X283" s="3">
        <f>IF(ISERROR(VLOOKUP($A283,'SegEnds_NonXtal_BW#'!$A:$Z,17,FALSE)+VLOOKUP($A283,A:AL,25,FALSE)-50),"-",(VLOOKUP($A283,'SegEnds_NonXtal_BW#'!$A:$Z,17,FALSE)+VLOOKUP($A283,A:AL,25,FALSE)-50))</f>
        <v>233</v>
      </c>
      <c r="Y283" s="3">
        <v>233</v>
      </c>
      <c r="Z283" s="3">
        <f t="shared" si="190"/>
        <v>235</v>
      </c>
      <c r="AA283" s="3">
        <f>IF(ISERROR(VLOOKUP($A283,'SegEnds_NonXtal_BW#'!$A:$Z,19,FALSE)+VLOOKUP($A283,A:AL,28,FALSE)-50),"-",(VLOOKUP($A283,'SegEnds_NonXtal_BW#'!$A:$Z,19,FALSE)+VLOOKUP($A283,A:AL,28,FALSE)-50))</f>
        <v>239</v>
      </c>
      <c r="AB283" s="3">
        <v>259</v>
      </c>
      <c r="AC283" s="3">
        <f>IF(ISERROR((VLOOKUP($A283,'SegEnds_NonXtal_BW#'!$A:$Z,20,FALSE)+VLOOKUP($A283,A:AL,28,FALSE)-50)),"-",(VLOOKUP($A283,'SegEnds_NonXtal_BW#'!$A:$Z,20,FALSE)+VLOOKUP($A283,A:AL,28,FALSE)-50))</f>
        <v>282</v>
      </c>
      <c r="AD283" s="3">
        <f>IF(ISERROR(VLOOKUP($A283,'SegEnds_NonXtal_BW#'!$A:$Z,21,FALSE)+VLOOKUP($A283,A:AL,31,FALSE)-50),"-",(VLOOKUP($A283,'SegEnds_NonXtal_BW#'!$A:$Z,21,FALSE)+VLOOKUP($A283,A:AL,31,FALSE)-50))</f>
        <v>286</v>
      </c>
      <c r="AE283" s="3">
        <v>314</v>
      </c>
      <c r="AF283" s="3">
        <f>IF(ISERROR((VLOOKUP($A283,'SegEnds_NonXtal_BW#'!$A:$Z,22,FALSE)+VLOOKUP($A283,A:AL,31,FALSE)-50)),"-",(VLOOKUP($A283,'SegEnds_NonXtal_BW#'!$A:$Z,22,FALSE)+VLOOKUP($A283,A:AL,31,FALSE)-50))</f>
        <v>325</v>
      </c>
      <c r="AG283" s="3">
        <f>IF(ISERROR(VLOOKUP($A283,'SegEnds_NonXtal_BW#'!$A:$Z,23,FALSE)+VLOOKUP($A283,A:AL,34,FALSE)-50),"-",(VLOOKUP($A283,'SegEnds_NonXtal_BW#'!$A:$Z,23,FALSE)+VLOOKUP($A283,A:AL,34,FALSE)-50))</f>
        <v>333</v>
      </c>
      <c r="AH283" s="3">
        <v>353</v>
      </c>
      <c r="AI283" s="3">
        <f>IF(ISERROR((VLOOKUP($A283,'SegEnds_NonXtal_BW#'!$A:$Z,24,FALSE)+VLOOKUP($A283,A:AL,34,FALSE)-50)),"-",(VLOOKUP($A283,'SegEnds_NonXtal_BW#'!$A:$Z,24,FALSE)+VLOOKUP($A283,A:AL,34,FALSE)-50))</f>
        <v>359</v>
      </c>
      <c r="AJ283" s="3">
        <f>IF(ISERROR(VLOOKUP($A283,'SegEnds_NonXtal_BW#'!$A:$Z,25,FALSE)+VLOOKUP($A283,A:AL,37,FALSE)-50),"-",(VLOOKUP($A283,'SegEnds_NonXtal_BW#'!$A:$Z,25,FALSE)+VLOOKUP($A283,A:AL,37,FALSE)-50))</f>
        <v>360</v>
      </c>
      <c r="AK283" s="3">
        <v>363</v>
      </c>
      <c r="AL283" s="3">
        <f>IF(ISERROR((VLOOKUP($A283,'SegEnds_NonXtal_BW#'!$A:$Z,26,FALSE)+VLOOKUP($A283,A:AL,37,FALSE)-50)),"-",(VLOOKUP($A283,'SegEnds_NonXtal_BW#'!$A:$Z,26,FALSE)+VLOOKUP($A283,A:AL,37,FALSE)-50))</f>
        <v>371</v>
      </c>
      <c r="AM283" s="28" t="str">
        <f>VLOOKUP(A283,Classification!A:B,2,FALSE)</f>
        <v>A</v>
      </c>
      <c r="AN283" s="28" t="b">
        <f t="shared" si="188"/>
        <v>1</v>
      </c>
      <c r="AO283" s="3" t="str">
        <f>IF(ISERROR(MATCH(A283,'SegEnds_Xtal_Prot#'!B:B, 0)), "NoXtal", "Xtal")</f>
        <v>NoXtal</v>
      </c>
      <c r="AP283" s="3">
        <f t="shared" si="173"/>
        <v>1</v>
      </c>
      <c r="AQ283" s="3">
        <f t="shared" si="174"/>
        <v>1</v>
      </c>
      <c r="AR283" s="3">
        <f t="shared" si="175"/>
        <v>1</v>
      </c>
      <c r="AS283" s="3">
        <f t="shared" si="176"/>
        <v>1</v>
      </c>
      <c r="AT283" s="3" t="str">
        <f t="shared" si="177"/>
        <v>-</v>
      </c>
      <c r="AU283" s="3" t="str">
        <f t="shared" si="178"/>
        <v>-</v>
      </c>
      <c r="AV283" s="3">
        <f t="shared" si="179"/>
        <v>11</v>
      </c>
      <c r="AW283" s="3">
        <f t="shared" si="180"/>
        <v>4</v>
      </c>
      <c r="AX283" s="3">
        <f t="shared" si="181"/>
        <v>4</v>
      </c>
      <c r="AY283" s="3">
        <f t="shared" si="182"/>
        <v>8</v>
      </c>
      <c r="AZ283" s="3">
        <f t="shared" si="183"/>
        <v>1</v>
      </c>
      <c r="BA283" s="3">
        <f>IF(ISERROR(LEN(VLOOKUP(A283,Seqs!A:E,2,FALSE))-AL283),"-",LEN(VLOOKUP(A283,Seqs!A:E,2,FALSE))-AL283)</f>
        <v>94</v>
      </c>
      <c r="BB283" s="16">
        <f t="shared" si="184"/>
        <v>28</v>
      </c>
      <c r="BC283" s="9" t="str">
        <f t="shared" si="185"/>
        <v>-</v>
      </c>
      <c r="BD283" s="3">
        <f t="shared" si="186"/>
        <v>28</v>
      </c>
      <c r="BE283" s="3">
        <f t="shared" si="187"/>
        <v>55</v>
      </c>
    </row>
    <row r="284" spans="1:58" s="3" customFormat="1" x14ac:dyDescent="0.2">
      <c r="A284" s="3" t="s">
        <v>320</v>
      </c>
      <c r="B284" s="3" t="str">
        <f>LOWER(VLOOKUP(A284,Xtal_Templ!A:B,2,FALSE))</f>
        <v>oprd_mouse</v>
      </c>
      <c r="C284" s="3">
        <f>VLOOKUP($A284,'SegEnds_NonXtal_BW#'!$A:$Z,3,FALSE)+D284-50</f>
        <v>29</v>
      </c>
      <c r="D284" s="3">
        <v>55</v>
      </c>
      <c r="E284" s="3">
        <f>IF(ISERROR(VLOOKUP($A284,'SegEnds_NonXtal_BW#'!$A:$Z,4,FALSE)+VLOOKUP($A284,A:AL,4,FALSE)-50),"-",(VLOOKUP($A284,'SegEnds_NonXtal_BW#'!$A:$Z,4,FALSE)+VLOOKUP($A284,A:AL,4,FALSE)-50))</f>
        <v>65</v>
      </c>
      <c r="F284" s="3">
        <f t="shared" si="192"/>
        <v>66</v>
      </c>
      <c r="G284" s="3">
        <v>68</v>
      </c>
      <c r="H284" s="3">
        <f t="shared" si="193"/>
        <v>69</v>
      </c>
      <c r="I284" s="3">
        <f t="shared" si="193"/>
        <v>70</v>
      </c>
      <c r="J284" s="3">
        <v>83</v>
      </c>
      <c r="K284" s="3">
        <f>VLOOKUP($A284,'SegEnds_NonXtal_BW#'!$A:$Z,8,FALSE)+VLOOKUP($A284,A:AL,10,FALSE)-50</f>
        <v>99</v>
      </c>
      <c r="L284" s="3">
        <f t="shared" si="194"/>
        <v>101</v>
      </c>
      <c r="M284" s="3">
        <v>102</v>
      </c>
      <c r="N284" s="3">
        <f t="shared" si="195"/>
        <v>104</v>
      </c>
      <c r="O284" s="3">
        <f t="shared" si="196"/>
        <v>105</v>
      </c>
      <c r="P284" s="3">
        <v>134</v>
      </c>
      <c r="Q284" s="3">
        <f>VLOOKUP($A284,'SegEnds_NonXtal_BW#'!$A:$Z,12,FALSE)+VLOOKUP($A284,A:AL,16,FALSE)-50</f>
        <v>140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151</v>
      </c>
      <c r="V284" s="3">
        <v>163</v>
      </c>
      <c r="W284" s="3">
        <f>IF(ISERROR(VLOOKUP($A284,'SegEnds_NonXtal_BW#'!$A:$Z,16,FALSE)+VLOOKUP($A284,A:AL,22,FALSE)-50),"-",(VLOOKUP($A284,'SegEnds_NonXtal_BW#'!$A:$Z,16,FALSE)+VLOOKUP($A284,A:AL,22,FALSE)-50))</f>
        <v>177</v>
      </c>
      <c r="X284" s="3">
        <f>IF(ISERROR(VLOOKUP($A284,'SegEnds_NonXtal_BW#'!$A:$Z,17,FALSE)+VLOOKUP($A284,A:AL,25,FALSE)-50),"-",(VLOOKUP($A284,'SegEnds_NonXtal_BW#'!$A:$Z,17,FALSE)+VLOOKUP($A284,A:AL,25,FALSE)-50))</f>
        <v>188</v>
      </c>
      <c r="Y284" s="3">
        <v>188</v>
      </c>
      <c r="Z284" s="3">
        <f t="shared" si="190"/>
        <v>190</v>
      </c>
      <c r="AA284" s="3">
        <f>IF(ISERROR(VLOOKUP($A284,'SegEnds_NonXtal_BW#'!$A:$Z,19,FALSE)+VLOOKUP($A284,A:AL,28,FALSE)-50),"-",(VLOOKUP($A284,'SegEnds_NonXtal_BW#'!$A:$Z,19,FALSE)+VLOOKUP($A284,A:AL,28,FALSE)-50))</f>
        <v>196</v>
      </c>
      <c r="AB284" s="3">
        <v>215</v>
      </c>
      <c r="AC284" s="3">
        <f>IF(ISERROR((VLOOKUP($A284,'SegEnds_NonXtal_BW#'!$A:$Z,20,FALSE)+VLOOKUP($A284,A:AL,28,FALSE)-50)),"-",(VLOOKUP($A284,'SegEnds_NonXtal_BW#'!$A:$Z,20,FALSE)+VLOOKUP($A284,A:AL,28,FALSE)-50))</f>
        <v>233</v>
      </c>
      <c r="AD284" s="3">
        <f>IF(ISERROR(VLOOKUP($A284,'SegEnds_NonXtal_BW#'!$A:$Z,21,FALSE)+VLOOKUP($A284,A:AL,31,FALSE)-50),"-",(VLOOKUP($A284,'SegEnds_NonXtal_BW#'!$A:$Z,21,FALSE)+VLOOKUP($A284,A:AL,31,FALSE)-50))</f>
        <v>239</v>
      </c>
      <c r="AE284" s="3">
        <v>266</v>
      </c>
      <c r="AF284" s="3">
        <f>IF(ISERROR((VLOOKUP($A284,'SegEnds_NonXtal_BW#'!$A:$Z,22,FALSE)+VLOOKUP($A284,A:AL,31,FALSE)-50)),"-",(VLOOKUP($A284,'SegEnds_NonXtal_BW#'!$A:$Z,22,FALSE)+VLOOKUP($A284,A:AL,31,FALSE)-50))</f>
        <v>277</v>
      </c>
      <c r="AG284" s="3">
        <f>IF(ISERROR(VLOOKUP($A284,'SegEnds_NonXtal_BW#'!$A:$Z,23,FALSE)+VLOOKUP($A284,A:AL,34,FALSE)-50),"-",(VLOOKUP($A284,'SegEnds_NonXtal_BW#'!$A:$Z,23,FALSE)+VLOOKUP($A284,A:AL,34,FALSE)-50))</f>
        <v>282</v>
      </c>
      <c r="AH284" s="3">
        <v>304</v>
      </c>
      <c r="AI284" s="3">
        <f>IF(ISERROR((VLOOKUP($A284,'SegEnds_NonXtal_BW#'!$A:$Z,24,FALSE)+VLOOKUP($A284,A:AL,34,FALSE)-50)),"-",(VLOOKUP($A284,'SegEnds_NonXtal_BW#'!$A:$Z,24,FALSE)+VLOOKUP($A284,A:AL,34,FALSE)-50))</f>
        <v>310</v>
      </c>
      <c r="AJ284" s="3">
        <f>IF(ISERROR(VLOOKUP($A284,'SegEnds_NonXtal_BW#'!$A:$Z,25,FALSE)+VLOOKUP($A284,A:AL,37,FALSE)-50),"-",(VLOOKUP($A284,'SegEnds_NonXtal_BW#'!$A:$Z,25,FALSE)+VLOOKUP($A284,A:AL,37,FALSE)-50))</f>
        <v>311</v>
      </c>
      <c r="AK284" s="3">
        <v>314</v>
      </c>
      <c r="AL284" s="3">
        <f>IF(ISERROR((VLOOKUP($A284,'SegEnds_NonXtal_BW#'!$A:$Z,26,FALSE)+VLOOKUP($A284,A:AL,37,FALSE)-50)),"-",(VLOOKUP($A284,'SegEnds_NonXtal_BW#'!$A:$Z,26,FALSE)+VLOOKUP($A284,A:AL,37,FALSE)-50))</f>
        <v>324</v>
      </c>
      <c r="AM284" s="28" t="str">
        <f>VLOOKUP(A284,Classification!A:B,2,FALSE)</f>
        <v>A</v>
      </c>
      <c r="AN284" s="28" t="b">
        <f t="shared" si="188"/>
        <v>1</v>
      </c>
      <c r="AO284" s="3" t="str">
        <f>IF(ISERROR(MATCH(A284,'SegEnds_Xtal_Prot#'!B:B, 0)), "NoXtal", "Xtal")</f>
        <v>NoXtal</v>
      </c>
      <c r="AP284" s="3">
        <f t="shared" si="173"/>
        <v>1</v>
      </c>
      <c r="AQ284" s="3">
        <f t="shared" si="174"/>
        <v>1</v>
      </c>
      <c r="AR284" s="3">
        <f t="shared" si="175"/>
        <v>2</v>
      </c>
      <c r="AS284" s="3">
        <f t="shared" si="176"/>
        <v>1</v>
      </c>
      <c r="AT284" s="3" t="str">
        <f t="shared" si="177"/>
        <v>-</v>
      </c>
      <c r="AU284" s="3" t="str">
        <f t="shared" si="178"/>
        <v>-</v>
      </c>
      <c r="AV284" s="3">
        <f t="shared" si="179"/>
        <v>11</v>
      </c>
      <c r="AW284" s="3">
        <f t="shared" si="180"/>
        <v>6</v>
      </c>
      <c r="AX284" s="3">
        <f t="shared" si="181"/>
        <v>6</v>
      </c>
      <c r="AY284" s="3">
        <f t="shared" si="182"/>
        <v>5</v>
      </c>
      <c r="AZ284" s="3">
        <f t="shared" si="183"/>
        <v>1</v>
      </c>
      <c r="BA284" s="3">
        <f>IF(ISERROR(LEN(VLOOKUP(A284,Seqs!A:E,2,FALSE))-AL284),"-",LEN(VLOOKUP(A284,Seqs!A:E,2,FALSE))-AL284)</f>
        <v>4</v>
      </c>
      <c r="BB284" s="16">
        <f t="shared" si="184"/>
        <v>28</v>
      </c>
      <c r="BC284" s="9" t="str">
        <f t="shared" si="185"/>
        <v>-</v>
      </c>
      <c r="BD284" s="3">
        <f t="shared" si="186"/>
        <v>28</v>
      </c>
      <c r="BE284" s="3">
        <f t="shared" si="187"/>
        <v>51</v>
      </c>
      <c r="BF284" s="3">
        <f>AH284-AE284</f>
        <v>38</v>
      </c>
    </row>
    <row r="285" spans="1:58" s="3" customFormat="1" x14ac:dyDescent="0.2">
      <c r="A285" s="3" t="s">
        <v>321</v>
      </c>
      <c r="B285" s="3" t="str">
        <f>LOWER(VLOOKUP(A285,Xtal_Templ!A:B,2,FALSE))</f>
        <v>oprd_human</v>
      </c>
      <c r="C285" s="3">
        <f>VLOOKUP($A285,'SegEnds_NonXtal_BW#'!$A:$Z,3,FALSE)+D285-50</f>
        <v>35</v>
      </c>
      <c r="D285" s="3">
        <v>63</v>
      </c>
      <c r="E285" s="3">
        <f>IF(ISERROR(VLOOKUP($A285,'SegEnds_NonXtal_BW#'!$A:$Z,4,FALSE)+VLOOKUP($A285,A:AL,4,FALSE)-50),"-",(VLOOKUP($A285,'SegEnds_NonXtal_BW#'!$A:$Z,4,FALSE)+VLOOKUP($A285,A:AL,4,FALSE)-50))</f>
        <v>73</v>
      </c>
      <c r="F285" s="3">
        <f t="shared" si="192"/>
        <v>74</v>
      </c>
      <c r="G285" s="3">
        <v>76</v>
      </c>
      <c r="H285" s="3">
        <f t="shared" si="193"/>
        <v>77</v>
      </c>
      <c r="I285" s="3">
        <f t="shared" si="193"/>
        <v>78</v>
      </c>
      <c r="J285" s="3">
        <v>91</v>
      </c>
      <c r="K285" s="3">
        <f>VLOOKUP($A285,'SegEnds_NonXtal_BW#'!$A:$Z,8,FALSE)+VLOOKUP($A285,A:AL,10,FALSE)-50</f>
        <v>107</v>
      </c>
      <c r="L285" s="3">
        <f t="shared" si="194"/>
        <v>109</v>
      </c>
      <c r="M285" s="3">
        <v>110</v>
      </c>
      <c r="N285" s="3">
        <f t="shared" si="195"/>
        <v>112</v>
      </c>
      <c r="O285" s="3">
        <f t="shared" si="196"/>
        <v>113</v>
      </c>
      <c r="P285" s="3">
        <v>142</v>
      </c>
      <c r="Q285" s="3">
        <f>VLOOKUP($A285,'SegEnds_NonXtal_BW#'!$A:$Z,12,FALSE)+VLOOKUP($A285,A:AL,16,FALSE)-50</f>
        <v>148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159</v>
      </c>
      <c r="V285" s="3">
        <v>171</v>
      </c>
      <c r="W285" s="3">
        <f>IF(ISERROR(VLOOKUP($A285,'SegEnds_NonXtal_BW#'!$A:$Z,16,FALSE)+VLOOKUP($A285,A:AL,22,FALSE)-50),"-",(VLOOKUP($A285,'SegEnds_NonXtal_BW#'!$A:$Z,16,FALSE)+VLOOKUP($A285,A:AL,22,FALSE)-50))</f>
        <v>185</v>
      </c>
      <c r="X285" s="3">
        <f>IF(ISERROR(VLOOKUP($A285,'SegEnds_NonXtal_BW#'!$A:$Z,17,FALSE)+VLOOKUP($A285,A:AL,25,FALSE)-50),"-",(VLOOKUP($A285,'SegEnds_NonXtal_BW#'!$A:$Z,17,FALSE)+VLOOKUP($A285,A:AL,25,FALSE)-50))</f>
        <v>197</v>
      </c>
      <c r="Y285" s="3">
        <v>197</v>
      </c>
      <c r="Z285" s="3">
        <f t="shared" si="190"/>
        <v>199</v>
      </c>
      <c r="AA285" s="3">
        <f>IF(ISERROR(VLOOKUP($A285,'SegEnds_NonXtal_BW#'!$A:$Z,19,FALSE)+VLOOKUP($A285,A:AL,28,FALSE)-50),"-",(VLOOKUP($A285,'SegEnds_NonXtal_BW#'!$A:$Z,19,FALSE)+VLOOKUP($A285,A:AL,28,FALSE)-50))</f>
        <v>205</v>
      </c>
      <c r="AB285" s="3">
        <v>224</v>
      </c>
      <c r="AC285" s="3">
        <f>IF(ISERROR((VLOOKUP($A285,'SegEnds_NonXtal_BW#'!$A:$Z,20,FALSE)+VLOOKUP($A285,A:AL,28,FALSE)-50)),"-",(VLOOKUP($A285,'SegEnds_NonXtal_BW#'!$A:$Z,20,FALSE)+VLOOKUP($A285,A:AL,28,FALSE)-50))</f>
        <v>242</v>
      </c>
      <c r="AD285" s="3">
        <f>IF(ISERROR(VLOOKUP($A285,'SegEnds_NonXtal_BW#'!$A:$Z,21,FALSE)+VLOOKUP($A285,A:AL,31,FALSE)-50),"-",(VLOOKUP($A285,'SegEnds_NonXtal_BW#'!$A:$Z,21,FALSE)+VLOOKUP($A285,A:AL,31,FALSE)-50))</f>
        <v>248</v>
      </c>
      <c r="AE285" s="3">
        <v>275</v>
      </c>
      <c r="AF285" s="3">
        <f>IF(ISERROR((VLOOKUP($A285,'SegEnds_NonXtal_BW#'!$A:$Z,22,FALSE)+VLOOKUP($A285,A:AL,31,FALSE)-50)),"-",(VLOOKUP($A285,'SegEnds_NonXtal_BW#'!$A:$Z,22,FALSE)+VLOOKUP($A285,A:AL,31,FALSE)-50))</f>
        <v>286</v>
      </c>
      <c r="AG285" s="3">
        <f>IF(ISERROR(VLOOKUP($A285,'SegEnds_NonXtal_BW#'!$A:$Z,23,FALSE)+VLOOKUP($A285,A:AL,34,FALSE)-50),"-",(VLOOKUP($A285,'SegEnds_NonXtal_BW#'!$A:$Z,23,FALSE)+VLOOKUP($A285,A:AL,34,FALSE)-50))</f>
        <v>291</v>
      </c>
      <c r="AH285" s="3">
        <v>313</v>
      </c>
      <c r="AI285" s="3">
        <f>IF(ISERROR((VLOOKUP($A285,'SegEnds_NonXtal_BW#'!$A:$Z,24,FALSE)+VLOOKUP($A285,A:AL,34,FALSE)-50)),"-",(VLOOKUP($A285,'SegEnds_NonXtal_BW#'!$A:$Z,24,FALSE)+VLOOKUP($A285,A:AL,34,FALSE)-50))</f>
        <v>319</v>
      </c>
      <c r="AJ285" s="3">
        <f>IF(ISERROR(VLOOKUP($A285,'SegEnds_NonXtal_BW#'!$A:$Z,25,FALSE)+VLOOKUP($A285,A:AL,37,FALSE)-50),"-",(VLOOKUP($A285,'SegEnds_NonXtal_BW#'!$A:$Z,25,FALSE)+VLOOKUP($A285,A:AL,37,FALSE)-50))</f>
        <v>320</v>
      </c>
      <c r="AK285" s="3">
        <v>323</v>
      </c>
      <c r="AL285" s="3">
        <f>IF(ISERROR((VLOOKUP($A285,'SegEnds_NonXtal_BW#'!$A:$Z,26,FALSE)+VLOOKUP($A285,A:AL,37,FALSE)-50)),"-",(VLOOKUP($A285,'SegEnds_NonXtal_BW#'!$A:$Z,26,FALSE)+VLOOKUP($A285,A:AL,37,FALSE)-50))</f>
        <v>333</v>
      </c>
      <c r="AM285" s="28" t="str">
        <f>VLOOKUP(A285,Classification!A:B,2,FALSE)</f>
        <v>A</v>
      </c>
      <c r="AN285" s="28" t="b">
        <f t="shared" si="188"/>
        <v>1</v>
      </c>
      <c r="AO285" s="3" t="str">
        <f>IF(ISERROR(MATCH(A285,'SegEnds_Xtal_Prot#'!B:B, 0)), "NoXtal", "Xtal")</f>
        <v>NoXtal</v>
      </c>
      <c r="AP285" s="3">
        <f t="shared" si="173"/>
        <v>1</v>
      </c>
      <c r="AQ285" s="3">
        <f t="shared" si="174"/>
        <v>1</v>
      </c>
      <c r="AR285" s="3">
        <f t="shared" si="175"/>
        <v>2</v>
      </c>
      <c r="AS285" s="3">
        <f t="shared" si="176"/>
        <v>1</v>
      </c>
      <c r="AT285" s="3" t="str">
        <f t="shared" si="177"/>
        <v>-</v>
      </c>
      <c r="AU285" s="3" t="str">
        <f t="shared" si="178"/>
        <v>-</v>
      </c>
      <c r="AV285" s="3">
        <f t="shared" si="179"/>
        <v>12</v>
      </c>
      <c r="AW285" s="3">
        <f t="shared" si="180"/>
        <v>6</v>
      </c>
      <c r="AX285" s="3">
        <f t="shared" si="181"/>
        <v>6</v>
      </c>
      <c r="AY285" s="3">
        <f t="shared" si="182"/>
        <v>5</v>
      </c>
      <c r="AZ285" s="3">
        <f t="shared" si="183"/>
        <v>1</v>
      </c>
      <c r="BA285" s="3">
        <f>IF(ISERROR(LEN(VLOOKUP(A285,Seqs!A:E,2,FALSE))-AL285),"-",LEN(VLOOKUP(A285,Seqs!A:E,2,FALSE))-AL285)</f>
        <v>0</v>
      </c>
      <c r="BB285" s="16">
        <f t="shared" si="184"/>
        <v>28</v>
      </c>
      <c r="BC285" s="9" t="str">
        <f t="shared" si="185"/>
        <v>-</v>
      </c>
      <c r="BD285" s="3">
        <f t="shared" si="186"/>
        <v>28</v>
      </c>
      <c r="BE285" s="3">
        <f t="shared" si="187"/>
        <v>51</v>
      </c>
      <c r="BF285" s="3">
        <f>AH285-AE285</f>
        <v>38</v>
      </c>
    </row>
    <row r="286" spans="1:58" s="3" customFormat="1" x14ac:dyDescent="0.2">
      <c r="A286" s="3" t="s">
        <v>322</v>
      </c>
      <c r="B286" s="3" t="str">
        <f>LOWER(VLOOKUP(A286,Xtal_Templ!A:B,2,FALSE))</f>
        <v>ox1r_human</v>
      </c>
      <c r="C286" s="3">
        <f>VLOOKUP($A286,'SegEnds_NonXtal_BW#'!$A:$Z,3,FALSE)+D286-50</f>
        <v>43</v>
      </c>
      <c r="D286" s="3">
        <v>61</v>
      </c>
      <c r="E286" s="3">
        <f>IF(ISERROR(VLOOKUP($A286,'SegEnds_NonXtal_BW#'!$A:$Z,4,FALSE)+VLOOKUP($A286,A:AL,4,FALSE)-50),"-",(VLOOKUP($A286,'SegEnds_NonXtal_BW#'!$A:$Z,4,FALSE)+VLOOKUP($A286,A:AL,4,FALSE)-50))</f>
        <v>71</v>
      </c>
      <c r="F286" s="3">
        <f t="shared" si="192"/>
        <v>72</v>
      </c>
      <c r="G286" s="3">
        <v>74</v>
      </c>
      <c r="H286" s="3">
        <f t="shared" si="193"/>
        <v>75</v>
      </c>
      <c r="I286" s="3">
        <f t="shared" si="193"/>
        <v>76</v>
      </c>
      <c r="J286" s="3">
        <v>89</v>
      </c>
      <c r="K286" s="3">
        <f>VLOOKUP($A286,'SegEnds_NonXtal_BW#'!$A:$Z,8,FALSE)+VLOOKUP($A286,A:AL,10,FALSE)-50</f>
        <v>107</v>
      </c>
      <c r="L286" s="3">
        <f t="shared" si="194"/>
        <v>108</v>
      </c>
      <c r="M286" s="3">
        <v>109</v>
      </c>
      <c r="N286" s="3">
        <f t="shared" si="195"/>
        <v>111</v>
      </c>
      <c r="O286" s="3">
        <f t="shared" si="196"/>
        <v>112</v>
      </c>
      <c r="P286" s="3">
        <v>141</v>
      </c>
      <c r="Q286" s="3">
        <f>VLOOKUP($A286,'SegEnds_NonXtal_BW#'!$A:$Z,12,FALSE)+VLOOKUP($A286,A:AL,16,FALSE)-50</f>
        <v>147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154</v>
      </c>
      <c r="V286" s="3">
        <v>166</v>
      </c>
      <c r="W286" s="3">
        <f>IF(ISERROR(VLOOKUP($A286,'SegEnds_NonXtal_BW#'!$A:$Z,16,FALSE)+VLOOKUP($A286,A:AL,22,FALSE)-50),"-",(VLOOKUP($A286,'SegEnds_NonXtal_BW#'!$A:$Z,16,FALSE)+VLOOKUP($A286,A:AL,22,FALSE)-50))</f>
        <v>180</v>
      </c>
      <c r="X286" s="3">
        <f>IF(ISERROR(VLOOKUP($A286,'SegEnds_NonXtal_BW#'!$A:$Z,17,FALSE)+VLOOKUP($A286,A:AL,25,FALSE)-50),"-",(VLOOKUP($A286,'SegEnds_NonXtal_BW#'!$A:$Z,17,FALSE)+VLOOKUP($A286,A:AL,25,FALSE)-50))</f>
        <v>203</v>
      </c>
      <c r="Y286" s="3">
        <v>203</v>
      </c>
      <c r="Z286" s="3">
        <f t="shared" si="190"/>
        <v>205</v>
      </c>
      <c r="AA286" s="3">
        <f>IF(ISERROR(VLOOKUP($A286,'SegEnds_NonXtal_BW#'!$A:$Z,19,FALSE)+VLOOKUP($A286,A:AL,28,FALSE)-50),"-",(VLOOKUP($A286,'SegEnds_NonXtal_BW#'!$A:$Z,19,FALSE)+VLOOKUP($A286,A:AL,28,FALSE)-50))</f>
        <v>211</v>
      </c>
      <c r="AB286" s="3">
        <v>228</v>
      </c>
      <c r="AC286" s="3">
        <f>IF(ISERROR((VLOOKUP($A286,'SegEnds_NonXtal_BW#'!$A:$Z,20,FALSE)+VLOOKUP($A286,A:AL,28,FALSE)-50)),"-",(VLOOKUP($A286,'SegEnds_NonXtal_BW#'!$A:$Z,20,FALSE)+VLOOKUP($A286,A:AL,28,FALSE)-50))</f>
        <v>251</v>
      </c>
      <c r="AD286" s="3">
        <f>IF(ISERROR(VLOOKUP($A286,'SegEnds_NonXtal_BW#'!$A:$Z,21,FALSE)+VLOOKUP($A286,A:AL,31,FALSE)-50),"-",(VLOOKUP($A286,'SegEnds_NonXtal_BW#'!$A:$Z,21,FALSE)+VLOOKUP($A286,A:AL,31,FALSE)-50))</f>
        <v>257</v>
      </c>
      <c r="AE286" s="3">
        <v>285</v>
      </c>
      <c r="AF286" s="3">
        <f>IF(ISERROR((VLOOKUP($A286,'SegEnds_NonXtal_BW#'!$A:$Z,22,FALSE)+VLOOKUP($A286,A:AL,31,FALSE)-50)),"-",(VLOOKUP($A286,'SegEnds_NonXtal_BW#'!$A:$Z,22,FALSE)+VLOOKUP($A286,A:AL,31,FALSE)-50))</f>
        <v>296</v>
      </c>
      <c r="AG286" s="3">
        <f>IF(ISERROR(VLOOKUP($A286,'SegEnds_NonXtal_BW#'!$A:$Z,23,FALSE)+VLOOKUP($A286,A:AL,34,FALSE)-50),"-",(VLOOKUP($A286,'SegEnds_NonXtal_BW#'!$A:$Z,23,FALSE)+VLOOKUP($A286,A:AL,34,FALSE)-50))</f>
        <v>304</v>
      </c>
      <c r="AH286" s="3">
        <v>326</v>
      </c>
      <c r="AI286" s="3">
        <f>IF(ISERROR((VLOOKUP($A286,'SegEnds_NonXtal_BW#'!$A:$Z,24,FALSE)+VLOOKUP($A286,A:AL,34,FALSE)-50)),"-",(VLOOKUP($A286,'SegEnds_NonXtal_BW#'!$A:$Z,24,FALSE)+VLOOKUP($A286,A:AL,34,FALSE)-50))</f>
        <v>332</v>
      </c>
      <c r="AJ286" s="3">
        <f>IF(ISERROR(VLOOKUP($A286,'SegEnds_NonXtal_BW#'!$A:$Z,25,FALSE)+VLOOKUP($A286,A:AL,37,FALSE)-50),"-",(VLOOKUP($A286,'SegEnds_NonXtal_BW#'!$A:$Z,25,FALSE)+VLOOKUP($A286,A:AL,37,FALSE)-50))</f>
        <v>333</v>
      </c>
      <c r="AK286" s="3">
        <v>336</v>
      </c>
      <c r="AL286" s="3">
        <f>IF(ISERROR((VLOOKUP($A286,'SegEnds_NonXtal_BW#'!$A:$Z,26,FALSE)+VLOOKUP($A286,A:AL,37,FALSE)-50)),"-",(VLOOKUP($A286,'SegEnds_NonXtal_BW#'!$A:$Z,26,FALSE)+VLOOKUP($A286,A:AL,37,FALSE)-50))</f>
        <v>349</v>
      </c>
      <c r="AM286" s="28" t="str">
        <f>VLOOKUP(A286,Classification!A:B,2,FALSE)</f>
        <v>A</v>
      </c>
      <c r="AN286" s="28" t="b">
        <f t="shared" si="188"/>
        <v>1</v>
      </c>
      <c r="AO286" s="3" t="str">
        <f>IF(ISERROR(MATCH(A286,'SegEnds_Xtal_Prot#'!B:B, 0)), "NoXtal", "Xtal")</f>
        <v>NoXtal</v>
      </c>
      <c r="AP286" s="3">
        <f t="shared" si="173"/>
        <v>1</v>
      </c>
      <c r="AQ286" s="3">
        <f t="shared" si="174"/>
        <v>1</v>
      </c>
      <c r="AR286" s="3">
        <f t="shared" si="175"/>
        <v>1</v>
      </c>
      <c r="AS286" s="3">
        <f t="shared" si="176"/>
        <v>1</v>
      </c>
      <c r="AT286" s="3" t="str">
        <f t="shared" si="177"/>
        <v>-</v>
      </c>
      <c r="AU286" s="3" t="str">
        <f t="shared" si="178"/>
        <v>-</v>
      </c>
      <c r="AV286" s="3">
        <f t="shared" si="179"/>
        <v>23</v>
      </c>
      <c r="AW286" s="3">
        <f t="shared" si="180"/>
        <v>6</v>
      </c>
      <c r="AX286" s="3">
        <f t="shared" si="181"/>
        <v>6</v>
      </c>
      <c r="AY286" s="3">
        <f t="shared" si="182"/>
        <v>8</v>
      </c>
      <c r="AZ286" s="3">
        <f t="shared" si="183"/>
        <v>1</v>
      </c>
      <c r="BA286" s="3">
        <f>IF(ISERROR(LEN(VLOOKUP(A286,Seqs!A:E,2,FALSE))-AL286),"-",LEN(VLOOKUP(A286,Seqs!A:E,2,FALSE))-AL286)</f>
        <v>81</v>
      </c>
      <c r="BB286" s="16">
        <f t="shared" si="184"/>
        <v>28</v>
      </c>
      <c r="BC286" s="9" t="str">
        <f t="shared" si="185"/>
        <v>-</v>
      </c>
      <c r="BD286" s="3">
        <f t="shared" si="186"/>
        <v>28</v>
      </c>
      <c r="BE286" s="3">
        <f t="shared" si="187"/>
        <v>57</v>
      </c>
    </row>
    <row r="287" spans="1:58" s="3" customFormat="1" x14ac:dyDescent="0.2">
      <c r="A287" s="3" t="s">
        <v>323</v>
      </c>
      <c r="B287" s="3" t="str">
        <f>LOWER(VLOOKUP(A287,Xtal_Templ!A:B,2,FALSE))</f>
        <v>ox1r_human</v>
      </c>
      <c r="C287" s="3">
        <f>VLOOKUP($A287,'SegEnds_NonXtal_BW#'!$A:$Z,3,FALSE)+D287-50</f>
        <v>147</v>
      </c>
      <c r="D287" s="3">
        <v>165</v>
      </c>
      <c r="E287" s="3">
        <f>IF(ISERROR(VLOOKUP($A287,'SegEnds_NonXtal_BW#'!$A:$Z,4,FALSE)+VLOOKUP($A287,A:AL,4,FALSE)-50),"-",(VLOOKUP($A287,'SegEnds_NonXtal_BW#'!$A:$Z,4,FALSE)+VLOOKUP($A287,A:AL,4,FALSE)-50))</f>
        <v>175</v>
      </c>
      <c r="F287" s="3">
        <f t="shared" si="192"/>
        <v>176</v>
      </c>
      <c r="G287" s="3">
        <v>178</v>
      </c>
      <c r="H287" s="3">
        <f t="shared" si="193"/>
        <v>179</v>
      </c>
      <c r="I287" s="3">
        <f t="shared" si="193"/>
        <v>180</v>
      </c>
      <c r="J287" s="3">
        <v>193</v>
      </c>
      <c r="K287" s="3">
        <f>VLOOKUP($A287,'SegEnds_NonXtal_BW#'!$A:$Z,8,FALSE)+VLOOKUP($A287,A:AL,10,FALSE)-50</f>
        <v>211</v>
      </c>
      <c r="L287" s="3">
        <f t="shared" si="194"/>
        <v>212</v>
      </c>
      <c r="M287" s="3">
        <v>213</v>
      </c>
      <c r="N287" s="3">
        <f t="shared" si="195"/>
        <v>215</v>
      </c>
      <c r="O287" s="3">
        <f t="shared" si="196"/>
        <v>216</v>
      </c>
      <c r="P287" s="3">
        <v>245</v>
      </c>
      <c r="Q287" s="3">
        <f>VLOOKUP($A287,'SegEnds_NonXtal_BW#'!$A:$Z,12,FALSE)+VLOOKUP($A287,A:AL,16,FALSE)-50</f>
        <v>251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258</v>
      </c>
      <c r="V287" s="3">
        <v>270</v>
      </c>
      <c r="W287" s="3">
        <f>IF(ISERROR(VLOOKUP($A287,'SegEnds_NonXtal_BW#'!$A:$Z,16,FALSE)+VLOOKUP($A287,A:AL,22,FALSE)-50),"-",(VLOOKUP($A287,'SegEnds_NonXtal_BW#'!$A:$Z,16,FALSE)+VLOOKUP($A287,A:AL,22,FALSE)-50))</f>
        <v>284</v>
      </c>
      <c r="X287" s="3">
        <f>IF(ISERROR(VLOOKUP($A287,'SegEnds_NonXtal_BW#'!$A:$Z,17,FALSE)+VLOOKUP($A287,A:AL,25,FALSE)-50),"-",(VLOOKUP($A287,'SegEnds_NonXtal_BW#'!$A:$Z,17,FALSE)+VLOOKUP($A287,A:AL,25,FALSE)-50))</f>
        <v>308</v>
      </c>
      <c r="Y287" s="3">
        <v>308</v>
      </c>
      <c r="Z287" s="3">
        <f t="shared" si="190"/>
        <v>310</v>
      </c>
      <c r="AA287" s="3">
        <f>IF(ISERROR(VLOOKUP($A287,'SegEnds_NonXtal_BW#'!$A:$Z,19,FALSE)+VLOOKUP($A287,A:AL,28,FALSE)-50),"-",(VLOOKUP($A287,'SegEnds_NonXtal_BW#'!$A:$Z,19,FALSE)+VLOOKUP($A287,A:AL,28,FALSE)-50))</f>
        <v>316</v>
      </c>
      <c r="AB287" s="3">
        <v>333</v>
      </c>
      <c r="AC287" s="3">
        <f>IF(ISERROR((VLOOKUP($A287,'SegEnds_NonXtal_BW#'!$A:$Z,20,FALSE)+VLOOKUP($A287,A:AL,28,FALSE)-50)),"-",(VLOOKUP($A287,'SegEnds_NonXtal_BW#'!$A:$Z,20,FALSE)+VLOOKUP($A287,A:AL,28,FALSE)-50))</f>
        <v>356</v>
      </c>
      <c r="AD287" s="3">
        <f>IF(ISERROR(VLOOKUP($A287,'SegEnds_NonXtal_BW#'!$A:$Z,21,FALSE)+VLOOKUP($A287,A:AL,31,FALSE)-50),"-",(VLOOKUP($A287,'SegEnds_NonXtal_BW#'!$A:$Z,21,FALSE)+VLOOKUP($A287,A:AL,31,FALSE)-50))</f>
        <v>365</v>
      </c>
      <c r="AE287" s="3">
        <v>391</v>
      </c>
      <c r="AF287" s="3">
        <f>IF(ISERROR((VLOOKUP($A287,'SegEnds_NonXtal_BW#'!$A:$Z,22,FALSE)+VLOOKUP($A287,A:AL,31,FALSE)-50)),"-",(VLOOKUP($A287,'SegEnds_NonXtal_BW#'!$A:$Z,22,FALSE)+VLOOKUP($A287,A:AL,31,FALSE)-50))</f>
        <v>402</v>
      </c>
      <c r="AG287" s="3">
        <f>IF(ISERROR(VLOOKUP($A287,'SegEnds_NonXtal_BW#'!$A:$Z,23,FALSE)+VLOOKUP($A287,A:AL,34,FALSE)-50),"-",(VLOOKUP($A287,'SegEnds_NonXtal_BW#'!$A:$Z,23,FALSE)+VLOOKUP($A287,A:AL,34,FALSE)-50))</f>
        <v>410</v>
      </c>
      <c r="AH287" s="3">
        <v>432</v>
      </c>
      <c r="AI287" s="3">
        <f>IF(ISERROR((VLOOKUP($A287,'SegEnds_NonXtal_BW#'!$A:$Z,24,FALSE)+VLOOKUP($A287,A:AL,34,FALSE)-50)),"-",(VLOOKUP($A287,'SegEnds_NonXtal_BW#'!$A:$Z,24,FALSE)+VLOOKUP($A287,A:AL,34,FALSE)-50))</f>
        <v>438</v>
      </c>
      <c r="AJ287" s="3">
        <f>IF(ISERROR(VLOOKUP($A287,'SegEnds_NonXtal_BW#'!$A:$Z,25,FALSE)+VLOOKUP($A287,A:AL,37,FALSE)-50),"-",(VLOOKUP($A287,'SegEnds_NonXtal_BW#'!$A:$Z,25,FALSE)+VLOOKUP($A287,A:AL,37,FALSE)-50))</f>
        <v>439</v>
      </c>
      <c r="AK287" s="3">
        <v>442</v>
      </c>
      <c r="AL287" s="3">
        <f>IF(ISERROR((VLOOKUP($A287,'SegEnds_NonXtal_BW#'!$A:$Z,26,FALSE)+VLOOKUP($A287,A:AL,37,FALSE)-50)),"-",(VLOOKUP($A287,'SegEnds_NonXtal_BW#'!$A:$Z,26,FALSE)+VLOOKUP($A287,A:AL,37,FALSE)-50))</f>
        <v>455</v>
      </c>
      <c r="AM287" s="28" t="str">
        <f>VLOOKUP(A287,Classification!A:B,2,FALSE)</f>
        <v>A</v>
      </c>
      <c r="AN287" s="28" t="b">
        <f t="shared" si="188"/>
        <v>1</v>
      </c>
      <c r="AO287" s="3" t="str">
        <f>IF(ISERROR(MATCH(A287,'SegEnds_Xtal_Prot#'!B:B, 0)), "NoXtal", "Xtal")</f>
        <v>NoXtal</v>
      </c>
      <c r="AP287" s="3">
        <f t="shared" si="173"/>
        <v>1</v>
      </c>
      <c r="AQ287" s="3">
        <f t="shared" si="174"/>
        <v>1</v>
      </c>
      <c r="AR287" s="3">
        <f t="shared" si="175"/>
        <v>1</v>
      </c>
      <c r="AS287" s="3">
        <f t="shared" si="176"/>
        <v>1</v>
      </c>
      <c r="AT287" s="3" t="str">
        <f t="shared" si="177"/>
        <v>-</v>
      </c>
      <c r="AU287" s="3" t="str">
        <f t="shared" si="178"/>
        <v>-</v>
      </c>
      <c r="AV287" s="3">
        <f t="shared" si="179"/>
        <v>24</v>
      </c>
      <c r="AW287" s="3">
        <f t="shared" si="180"/>
        <v>6</v>
      </c>
      <c r="AX287" s="3">
        <f t="shared" si="181"/>
        <v>9</v>
      </c>
      <c r="AY287" s="3">
        <f t="shared" si="182"/>
        <v>8</v>
      </c>
      <c r="AZ287" s="3">
        <f t="shared" si="183"/>
        <v>1</v>
      </c>
      <c r="BA287" s="3">
        <f>IF(ISERROR(LEN(VLOOKUP(A287,Seqs!A:E,2,FALSE))-AL287),"-",LEN(VLOOKUP(A287,Seqs!A:E,2,FALSE))-AL287)</f>
        <v>67</v>
      </c>
      <c r="BB287" s="16">
        <f t="shared" si="184"/>
        <v>28</v>
      </c>
      <c r="BC287" s="9" t="str">
        <f t="shared" si="185"/>
        <v>-</v>
      </c>
      <c r="BD287" s="3">
        <f t="shared" si="186"/>
        <v>28</v>
      </c>
      <c r="BE287" s="3">
        <f t="shared" si="187"/>
        <v>58</v>
      </c>
    </row>
    <row r="288" spans="1:58" s="3" customFormat="1" x14ac:dyDescent="0.2">
      <c r="A288" s="3" t="s">
        <v>325</v>
      </c>
      <c r="B288" s="3" t="str">
        <f>LOWER(VLOOKUP(A288,Xtal_Templ!A:B,2,FALSE))</f>
        <v>npy1r_human</v>
      </c>
      <c r="C288" s="3">
        <f>VLOOKUP($A288,'SegEnds_NonXtal_BW#'!$A:$Z,3,FALSE)+D288-50</f>
        <v>36</v>
      </c>
      <c r="D288" s="3">
        <v>58</v>
      </c>
      <c r="E288" s="3">
        <f>IF(ISERROR(VLOOKUP($A288,'SegEnds_NonXtal_BW#'!$A:$Z,4,FALSE)+VLOOKUP($A288,A:AL,4,FALSE)-50),"-",(VLOOKUP($A288,'SegEnds_NonXtal_BW#'!$A:$Z,4,FALSE)+VLOOKUP($A288,A:AL,4,FALSE)-50))</f>
        <v>68</v>
      </c>
      <c r="F288" s="3">
        <f t="shared" si="192"/>
        <v>69</v>
      </c>
      <c r="G288" s="3">
        <v>71</v>
      </c>
      <c r="H288" s="3">
        <f t="shared" si="193"/>
        <v>72</v>
      </c>
      <c r="I288" s="3">
        <f t="shared" si="193"/>
        <v>73</v>
      </c>
      <c r="J288" s="3">
        <v>86</v>
      </c>
      <c r="K288" s="3">
        <f>VLOOKUP($A288,'SegEnds_NonXtal_BW#'!$A:$Z,8,FALSE)+VLOOKUP($A288,A:AL,10,FALSE)-50</f>
        <v>104</v>
      </c>
      <c r="L288" s="3">
        <f t="shared" si="194"/>
        <v>105</v>
      </c>
      <c r="M288" s="3">
        <v>106</v>
      </c>
      <c r="N288" s="3">
        <f t="shared" si="195"/>
        <v>108</v>
      </c>
      <c r="O288" s="3">
        <f t="shared" si="196"/>
        <v>109</v>
      </c>
      <c r="P288" s="3">
        <v>138</v>
      </c>
      <c r="Q288" s="3">
        <f>VLOOKUP($A288,'SegEnds_NonXtal_BW#'!$A:$Z,12,FALSE)+VLOOKUP($A288,A:AL,16,FALSE)-50</f>
        <v>144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151</v>
      </c>
      <c r="V288" s="3">
        <v>163</v>
      </c>
      <c r="W288" s="3">
        <f>IF(ISERROR(VLOOKUP($A288,'SegEnds_NonXtal_BW#'!$A:$Z,16,FALSE)+VLOOKUP($A288,A:AL,22,FALSE)-50),"-",(VLOOKUP($A288,'SegEnds_NonXtal_BW#'!$A:$Z,16,FALSE)+VLOOKUP($A288,A:AL,22,FALSE)-50))</f>
        <v>177</v>
      </c>
      <c r="X288" s="3">
        <f>IF(ISERROR(VLOOKUP($A288,'SegEnds_NonXtal_BW#'!$A:$Z,17,FALSE)+VLOOKUP($A288,A:AL,25,FALSE)-50),"-",(VLOOKUP($A288,'SegEnds_NonXtal_BW#'!$A:$Z,17,FALSE)+VLOOKUP($A288,A:AL,25,FALSE)-50))</f>
        <v>198</v>
      </c>
      <c r="Y288" s="3">
        <v>198</v>
      </c>
      <c r="Z288" s="3">
        <f t="shared" si="190"/>
        <v>200</v>
      </c>
      <c r="AA288" s="3">
        <f>IF(ISERROR(VLOOKUP($A288,'SegEnds_NonXtal_BW#'!$A:$Z,19,FALSE)+VLOOKUP($A288,A:AL,28,FALSE)-50),"-",(VLOOKUP($A288,'SegEnds_NonXtal_BW#'!$A:$Z,19,FALSE)+VLOOKUP($A288,A:AL,28,FALSE)-50))</f>
        <v>204</v>
      </c>
      <c r="AB288" s="3">
        <v>223</v>
      </c>
      <c r="AC288" s="3">
        <f>IF(ISERROR((VLOOKUP($A288,'SegEnds_NonXtal_BW#'!$A:$Z,20,FALSE)+VLOOKUP($A288,A:AL,28,FALSE)-50)),"-",(VLOOKUP($A288,'SegEnds_NonXtal_BW#'!$A:$Z,20,FALSE)+VLOOKUP($A288,A:AL,28,FALSE)-50))</f>
        <v>246</v>
      </c>
      <c r="AD288" s="3">
        <f>IF(ISERROR(VLOOKUP($A288,'SegEnds_NonXtal_BW#'!$A:$Z,21,FALSE)+VLOOKUP($A288,A:AL,31,FALSE)-50),"-",(VLOOKUP($A288,'SegEnds_NonXtal_BW#'!$A:$Z,21,FALSE)+VLOOKUP($A288,A:AL,31,FALSE)-50))</f>
        <v>250</v>
      </c>
      <c r="AE288" s="3">
        <v>278</v>
      </c>
      <c r="AF288" s="3">
        <f>IF(ISERROR((VLOOKUP($A288,'SegEnds_NonXtal_BW#'!$A:$Z,22,FALSE)+VLOOKUP($A288,A:AL,31,FALSE)-50)),"-",(VLOOKUP($A288,'SegEnds_NonXtal_BW#'!$A:$Z,22,FALSE)+VLOOKUP($A288,A:AL,31,FALSE)-50))</f>
        <v>289</v>
      </c>
      <c r="AG288" s="3">
        <f>IF(ISERROR(VLOOKUP($A288,'SegEnds_NonXtal_BW#'!$A:$Z,23,FALSE)+VLOOKUP($A288,A:AL,34,FALSE)-50),"-",(VLOOKUP($A288,'SegEnds_NonXtal_BW#'!$A:$Z,23,FALSE)+VLOOKUP($A288,A:AL,34,FALSE)-50))</f>
        <v>295</v>
      </c>
      <c r="AH288" s="3">
        <v>317</v>
      </c>
      <c r="AI288" s="3">
        <f>IF(ISERROR((VLOOKUP($A288,'SegEnds_NonXtal_BW#'!$A:$Z,24,FALSE)+VLOOKUP($A288,A:AL,34,FALSE)-50)),"-",(VLOOKUP($A288,'SegEnds_NonXtal_BW#'!$A:$Z,24,FALSE)+VLOOKUP($A288,A:AL,34,FALSE)-50))</f>
        <v>323</v>
      </c>
      <c r="AJ288" s="3">
        <f>IF(ISERROR(VLOOKUP($A288,'SegEnds_NonXtal_BW#'!$A:$Z,25,FALSE)+VLOOKUP($A288,A:AL,37,FALSE)-50),"-",(VLOOKUP($A288,'SegEnds_NonXtal_BW#'!$A:$Z,25,FALSE)+VLOOKUP($A288,A:AL,37,FALSE)-50))</f>
        <v>324</v>
      </c>
      <c r="AK288" s="3">
        <v>327</v>
      </c>
      <c r="AL288" s="3">
        <f>IF(ISERROR((VLOOKUP($A288,'SegEnds_NonXtal_BW#'!$A:$Z,26,FALSE)+VLOOKUP($A288,A:AL,37,FALSE)-50)),"-",(VLOOKUP($A288,'SegEnds_NonXtal_BW#'!$A:$Z,26,FALSE)+VLOOKUP($A288,A:AL,37,FALSE)-50))</f>
        <v>335</v>
      </c>
      <c r="AM288" s="28" t="str">
        <f>VLOOKUP(A288,Classification!A:B,2,FALSE)</f>
        <v>A</v>
      </c>
      <c r="AN288" s="28" t="b">
        <f t="shared" si="188"/>
        <v>1</v>
      </c>
      <c r="AO288" s="3" t="str">
        <f>IF(ISERROR(MATCH(A288,'SegEnds_Xtal_Prot#'!B:B, 0)), "NoXtal", "Xtal")</f>
        <v>Xtal</v>
      </c>
      <c r="AP288" s="3">
        <f t="shared" si="173"/>
        <v>1</v>
      </c>
      <c r="AQ288" s="3">
        <f t="shared" si="174"/>
        <v>1</v>
      </c>
      <c r="AR288" s="3">
        <f t="shared" si="175"/>
        <v>1</v>
      </c>
      <c r="AS288" s="3">
        <f t="shared" si="176"/>
        <v>1</v>
      </c>
      <c r="AT288" s="3" t="str">
        <f t="shared" si="177"/>
        <v>-</v>
      </c>
      <c r="AU288" s="3" t="str">
        <f t="shared" si="178"/>
        <v>-</v>
      </c>
      <c r="AV288" s="3">
        <f t="shared" si="179"/>
        <v>21</v>
      </c>
      <c r="AW288" s="3">
        <f t="shared" si="180"/>
        <v>4</v>
      </c>
      <c r="AX288" s="3">
        <f t="shared" si="181"/>
        <v>4</v>
      </c>
      <c r="AY288" s="3">
        <f t="shared" si="182"/>
        <v>6</v>
      </c>
      <c r="AZ288" s="3">
        <f t="shared" si="183"/>
        <v>1</v>
      </c>
      <c r="BA288" s="3">
        <f>IF(ISERROR(LEN(VLOOKUP(A288,Seqs!A:E,2,FALSE))-AL288),"-",LEN(VLOOKUP(A288,Seqs!A:E,2,FALSE))-AL288)</f>
        <v>49</v>
      </c>
      <c r="BB288" s="16">
        <f t="shared" si="184"/>
        <v>28</v>
      </c>
      <c r="BC288" s="9" t="str">
        <f t="shared" si="185"/>
        <v>-</v>
      </c>
      <c r="BD288" s="3">
        <f t="shared" si="186"/>
        <v>28</v>
      </c>
      <c r="BE288" s="3">
        <f t="shared" si="187"/>
        <v>55</v>
      </c>
    </row>
    <row r="289" spans="1:59" s="3" customFormat="1" x14ac:dyDescent="0.2">
      <c r="A289" s="3" t="s">
        <v>326</v>
      </c>
      <c r="B289" s="3" t="str">
        <f>LOWER(VLOOKUP(A289,Xtal_Templ!A:B,2,FALSE))</f>
        <v>npy1r_human</v>
      </c>
      <c r="C289" s="3">
        <f>VLOOKUP($A289,'SegEnds_NonXtal_BW#'!$A:$Z,3,FALSE)+D289-50</f>
        <v>46</v>
      </c>
      <c r="D289" s="3">
        <v>68</v>
      </c>
      <c r="E289" s="3">
        <f>IF(ISERROR(VLOOKUP($A289,'SegEnds_NonXtal_BW#'!$A:$Z,4,FALSE)+VLOOKUP($A289,A:AL,4,FALSE)-50),"-",(VLOOKUP($A289,'SegEnds_NonXtal_BW#'!$A:$Z,4,FALSE)+VLOOKUP($A289,A:AL,4,FALSE)-50))</f>
        <v>78</v>
      </c>
      <c r="F289" s="3">
        <f t="shared" si="192"/>
        <v>79</v>
      </c>
      <c r="G289" s="3">
        <v>81</v>
      </c>
      <c r="H289" s="3">
        <f t="shared" si="193"/>
        <v>82</v>
      </c>
      <c r="I289" s="3">
        <f t="shared" si="193"/>
        <v>83</v>
      </c>
      <c r="J289" s="3">
        <v>96</v>
      </c>
      <c r="K289" s="3">
        <f>VLOOKUP($A289,'SegEnds_NonXtal_BW#'!$A:$Z,8,FALSE)+VLOOKUP($A289,A:AL,10,FALSE)-50</f>
        <v>114</v>
      </c>
      <c r="L289" s="3">
        <f t="shared" si="194"/>
        <v>115</v>
      </c>
      <c r="M289" s="3">
        <v>116</v>
      </c>
      <c r="N289" s="3">
        <f t="shared" si="195"/>
        <v>118</v>
      </c>
      <c r="O289" s="3">
        <f t="shared" si="196"/>
        <v>119</v>
      </c>
      <c r="P289" s="3">
        <v>148</v>
      </c>
      <c r="Q289" s="3">
        <f>VLOOKUP($A289,'SegEnds_NonXtal_BW#'!$A:$Z,12,FALSE)+VLOOKUP($A289,A:AL,16,FALSE)-50</f>
        <v>154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161</v>
      </c>
      <c r="V289" s="3">
        <v>173</v>
      </c>
      <c r="W289" s="3">
        <f>IF(ISERROR(VLOOKUP($A289,'SegEnds_NonXtal_BW#'!$A:$Z,16,FALSE)+VLOOKUP($A289,A:AL,22,FALSE)-50),"-",(VLOOKUP($A289,'SegEnds_NonXtal_BW#'!$A:$Z,16,FALSE)+VLOOKUP($A289,A:AL,22,FALSE)-50))</f>
        <v>187</v>
      </c>
      <c r="X289" s="3">
        <f>IF(ISERROR(VLOOKUP($A289,'SegEnds_NonXtal_BW#'!$A:$Z,17,FALSE)+VLOOKUP($A289,A:AL,25,FALSE)-50),"-",(VLOOKUP($A289,'SegEnds_NonXtal_BW#'!$A:$Z,17,FALSE)+VLOOKUP($A289,A:AL,25,FALSE)-50))</f>
        <v>203</v>
      </c>
      <c r="Y289" s="3">
        <v>203</v>
      </c>
      <c r="Z289" s="3">
        <f t="shared" si="190"/>
        <v>205</v>
      </c>
      <c r="AA289" s="3">
        <f>IF(ISERROR(VLOOKUP($A289,'SegEnds_NonXtal_BW#'!$A:$Z,19,FALSE)+VLOOKUP($A289,A:AL,28,FALSE)-50),"-",(VLOOKUP($A289,'SegEnds_NonXtal_BW#'!$A:$Z,19,FALSE)+VLOOKUP($A289,A:AL,28,FALSE)-50))</f>
        <v>212</v>
      </c>
      <c r="AB289" s="3">
        <v>231</v>
      </c>
      <c r="AC289" s="3">
        <f>IF(ISERROR((VLOOKUP($A289,'SegEnds_NonXtal_BW#'!$A:$Z,20,FALSE)+VLOOKUP($A289,A:AL,28,FALSE)-50)),"-",(VLOOKUP($A289,'SegEnds_NonXtal_BW#'!$A:$Z,20,FALSE)+VLOOKUP($A289,A:AL,28,FALSE)-50))</f>
        <v>253</v>
      </c>
      <c r="AD289" s="3">
        <f>IF(ISERROR(VLOOKUP($A289,'SegEnds_NonXtal_BW#'!$A:$Z,21,FALSE)+VLOOKUP($A289,A:AL,31,FALSE)-50),"-",(VLOOKUP($A289,'SegEnds_NonXtal_BW#'!$A:$Z,21,FALSE)+VLOOKUP($A289,A:AL,31,FALSE)-50))</f>
        <v>256</v>
      </c>
      <c r="AE289" s="3">
        <v>283</v>
      </c>
      <c r="AF289" s="3">
        <f>IF(ISERROR((VLOOKUP($A289,'SegEnds_NonXtal_BW#'!$A:$Z,22,FALSE)+VLOOKUP($A289,A:AL,31,FALSE)-50)),"-",(VLOOKUP($A289,'SegEnds_NonXtal_BW#'!$A:$Z,22,FALSE)+VLOOKUP($A289,A:AL,31,FALSE)-50))</f>
        <v>294</v>
      </c>
      <c r="AG289" s="3">
        <f>IF(ISERROR(VLOOKUP($A289,'SegEnds_NonXtal_BW#'!$A:$Z,23,FALSE)+VLOOKUP($A289,A:AL,34,FALSE)-50),"-",(VLOOKUP($A289,'SegEnds_NonXtal_BW#'!$A:$Z,23,FALSE)+VLOOKUP($A289,A:AL,34,FALSE)-50))</f>
        <v>300</v>
      </c>
      <c r="AH289" s="3">
        <v>322</v>
      </c>
      <c r="AI289" s="3">
        <f>IF(ISERROR((VLOOKUP($A289,'SegEnds_NonXtal_BW#'!$A:$Z,24,FALSE)+VLOOKUP($A289,A:AL,34,FALSE)-50)),"-",(VLOOKUP($A289,'SegEnds_NonXtal_BW#'!$A:$Z,24,FALSE)+VLOOKUP($A289,A:AL,34,FALSE)-50))</f>
        <v>328</v>
      </c>
      <c r="AJ289" s="3">
        <f>IF(ISERROR(VLOOKUP($A289,'SegEnds_NonXtal_BW#'!$A:$Z,25,FALSE)+VLOOKUP($A289,A:AL,37,FALSE)-50),"-",(VLOOKUP($A289,'SegEnds_NonXtal_BW#'!$A:$Z,25,FALSE)+VLOOKUP($A289,A:AL,37,FALSE)-50))</f>
        <v>329</v>
      </c>
      <c r="AK289" s="3">
        <v>332</v>
      </c>
      <c r="AL289" s="3">
        <f>IF(ISERROR((VLOOKUP($A289,'SegEnds_NonXtal_BW#'!$A:$Z,26,FALSE)+VLOOKUP($A289,A:AL,37,FALSE)-50)),"-",(VLOOKUP($A289,'SegEnds_NonXtal_BW#'!$A:$Z,26,FALSE)+VLOOKUP($A289,A:AL,37,FALSE)-50))</f>
        <v>340</v>
      </c>
      <c r="AM289" s="28" t="str">
        <f>VLOOKUP(A289,Classification!A:B,2,FALSE)</f>
        <v>A</v>
      </c>
      <c r="AN289" s="28" t="b">
        <f t="shared" si="188"/>
        <v>1</v>
      </c>
      <c r="AO289" s="3" t="str">
        <f>IF(ISERROR(MATCH(A289,'SegEnds_Xtal_Prot#'!B:B, 0)), "NoXtal", "Xtal")</f>
        <v>NoXtal</v>
      </c>
      <c r="AP289" s="3">
        <f t="shared" si="173"/>
        <v>1</v>
      </c>
      <c r="AQ289" s="3">
        <f t="shared" si="174"/>
        <v>1</v>
      </c>
      <c r="AR289" s="3">
        <f t="shared" si="175"/>
        <v>1</v>
      </c>
      <c r="AS289" s="3">
        <f t="shared" si="176"/>
        <v>1</v>
      </c>
      <c r="AT289" s="3" t="str">
        <f t="shared" si="177"/>
        <v>-</v>
      </c>
      <c r="AU289" s="3" t="str">
        <f t="shared" si="178"/>
        <v>-</v>
      </c>
      <c r="AV289" s="3">
        <f t="shared" si="179"/>
        <v>16</v>
      </c>
      <c r="AW289" s="3">
        <f t="shared" si="180"/>
        <v>7</v>
      </c>
      <c r="AX289" s="3">
        <f t="shared" si="181"/>
        <v>3</v>
      </c>
      <c r="AY289" s="3">
        <f t="shared" si="182"/>
        <v>6</v>
      </c>
      <c r="AZ289" s="3">
        <f t="shared" si="183"/>
        <v>1</v>
      </c>
      <c r="BA289" s="3">
        <f>IF(ISERROR(LEN(VLOOKUP(A289,Seqs!A:E,2,FALSE))-AL289),"-",LEN(VLOOKUP(A289,Seqs!A:E,2,FALSE))-AL289)</f>
        <v>41</v>
      </c>
      <c r="BB289" s="16">
        <f t="shared" si="184"/>
        <v>28</v>
      </c>
      <c r="BC289" s="9" t="str">
        <f t="shared" si="185"/>
        <v>-</v>
      </c>
      <c r="BD289" s="3">
        <f t="shared" si="186"/>
        <v>28</v>
      </c>
      <c r="BE289" s="3">
        <f t="shared" si="187"/>
        <v>52</v>
      </c>
    </row>
    <row r="290" spans="1:59" s="3" customFormat="1" x14ac:dyDescent="0.2">
      <c r="A290" s="3" t="s">
        <v>327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92"/>
        <v>70</v>
      </c>
      <c r="G290" s="3">
        <v>72</v>
      </c>
      <c r="H290" s="3">
        <f t="shared" si="193"/>
        <v>73</v>
      </c>
      <c r="I290" s="3">
        <f t="shared" si="193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94"/>
        <v>106</v>
      </c>
      <c r="M290" s="3">
        <v>107</v>
      </c>
      <c r="N290" s="3">
        <f t="shared" si="195"/>
        <v>109</v>
      </c>
      <c r="O290" s="3">
        <f t="shared" si="196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201</v>
      </c>
      <c r="Y290" s="3">
        <v>201</v>
      </c>
      <c r="Z290" s="3">
        <f t="shared" si="190"/>
        <v>203</v>
      </c>
      <c r="AA290" s="3">
        <f>IF(ISERROR(VLOOKUP($A290,'SegEnds_NonXtal_BW#'!$A:$Z,19,FALSE)+VLOOKUP($A290,A:AL,28,FALSE)-50),"-",(VLOOKUP($A290,'SegEnds_NonXtal_BW#'!$A:$Z,19,FALSE)+VLOOKUP($A290,A:AL,28,FALSE)-50))</f>
        <v>207</v>
      </c>
      <c r="AB290" s="3">
        <v>226</v>
      </c>
      <c r="AC290" s="3">
        <f>IF(ISERROR((VLOOKUP($A290,'SegEnds_NonXtal_BW#'!$A:$Z,20,FALSE)+VLOOKUP($A290,A:AL,28,FALSE)-50)),"-",(VLOOKUP($A290,'SegEnds_NonXtal_BW#'!$A:$Z,20,FALSE)+VLOOKUP($A290,A:AL,28,FALSE)-50))</f>
        <v>248</v>
      </c>
      <c r="AD290" s="3">
        <f>IF(ISERROR(VLOOKUP($A290,'SegEnds_NonXtal_BW#'!$A:$Z,21,FALSE)+VLOOKUP($A290,A:AL,31,FALSE)-50),"-",(VLOOKUP($A290,'SegEnds_NonXtal_BW#'!$A:$Z,21,FALSE)+VLOOKUP($A290,A:AL,31,FALSE)-50))</f>
        <v>254</v>
      </c>
      <c r="AE290" s="3">
        <v>280</v>
      </c>
      <c r="AF290" s="3">
        <f>IF(ISERROR((VLOOKUP($A290,'SegEnds_NonXtal_BW#'!$A:$Z,22,FALSE)+VLOOKUP($A290,A:AL,31,FALSE)-50)),"-",(VLOOKUP($A290,'SegEnds_NonXtal_BW#'!$A:$Z,22,FALSE)+VLOOKUP($A290,A:AL,31,FALSE)-50))</f>
        <v>291</v>
      </c>
      <c r="AG290" s="3">
        <f>IF(ISERROR(VLOOKUP($A290,'SegEnds_NonXtal_BW#'!$A:$Z,23,FALSE)+VLOOKUP($A290,A:AL,34,FALSE)-50),"-",(VLOOKUP($A290,'SegEnds_NonXtal_BW#'!$A:$Z,23,FALSE)+VLOOKUP($A290,A:AL,34,FALSE)-50))</f>
        <v>297</v>
      </c>
      <c r="AH290" s="3">
        <v>319</v>
      </c>
      <c r="AI290" s="3">
        <f>IF(ISERROR((VLOOKUP($A290,'SegEnds_NonXtal_BW#'!$A:$Z,24,FALSE)+VLOOKUP($A290,A:AL,34,FALSE)-50)),"-",(VLOOKUP($A290,'SegEnds_NonXtal_BW#'!$A:$Z,24,FALSE)+VLOOKUP($A290,A:AL,34,FALSE)-50))</f>
        <v>325</v>
      </c>
      <c r="AJ290" s="3">
        <f>IF(ISERROR(VLOOKUP($A290,'SegEnds_NonXtal_BW#'!$A:$Z,25,FALSE)+VLOOKUP($A290,A:AL,37,FALSE)-50),"-",(VLOOKUP($A290,'SegEnds_NonXtal_BW#'!$A:$Z,25,FALSE)+VLOOKUP($A290,A:AL,37,FALSE)-50))</f>
        <v>326</v>
      </c>
      <c r="AK290" s="3">
        <v>329</v>
      </c>
      <c r="AL290" s="3">
        <f>IF(ISERROR((VLOOKUP($A290,'SegEnds_NonXtal_BW#'!$A:$Z,26,FALSE)+VLOOKUP($A290,A:AL,37,FALSE)-50)),"-",(VLOOKUP($A290,'SegEnds_NonXtal_BW#'!$A:$Z,26,FALSE)+VLOOKUP($A290,A:AL,37,FALSE)-50))</f>
        <v>337</v>
      </c>
      <c r="AM290" s="28" t="str">
        <f>VLOOKUP(A290,Classification!A:B,2,FALSE)</f>
        <v>A</v>
      </c>
      <c r="AN290" s="28" t="b">
        <f t="shared" si="188"/>
        <v>1</v>
      </c>
      <c r="AO290" s="3" t="str">
        <f>IF(ISERROR(MATCH(A290,'SegEnds_Xtal_Prot#'!B:B, 0)), "NoXtal", "Xtal")</f>
        <v>NoXtal</v>
      </c>
      <c r="AP290" s="3">
        <f t="shared" si="173"/>
        <v>1</v>
      </c>
      <c r="AQ290" s="3">
        <f t="shared" si="174"/>
        <v>1</v>
      </c>
      <c r="AR290" s="3">
        <f t="shared" si="175"/>
        <v>1</v>
      </c>
      <c r="AS290" s="3">
        <f t="shared" si="176"/>
        <v>1</v>
      </c>
      <c r="AT290" s="3" t="str">
        <f t="shared" si="177"/>
        <v>-</v>
      </c>
      <c r="AU290" s="3" t="str">
        <f t="shared" si="178"/>
        <v>-</v>
      </c>
      <c r="AV290" s="3">
        <f t="shared" si="179"/>
        <v>23</v>
      </c>
      <c r="AW290" s="3">
        <f t="shared" si="180"/>
        <v>4</v>
      </c>
      <c r="AX290" s="3">
        <f t="shared" si="181"/>
        <v>6</v>
      </c>
      <c r="AY290" s="3">
        <f t="shared" si="182"/>
        <v>6</v>
      </c>
      <c r="AZ290" s="3">
        <f t="shared" si="183"/>
        <v>1</v>
      </c>
      <c r="BA290" s="3">
        <f>IF(ISERROR(LEN(VLOOKUP(A290,Seqs!A:E,2,FALSE))-AL290),"-",LEN(VLOOKUP(A290,Seqs!A:E,2,FALSE))-AL290)</f>
        <v>38</v>
      </c>
      <c r="BB290" s="16">
        <f t="shared" si="184"/>
        <v>28</v>
      </c>
      <c r="BC290" s="9" t="str">
        <f t="shared" si="185"/>
        <v>-</v>
      </c>
      <c r="BD290" s="3">
        <f t="shared" si="186"/>
        <v>28</v>
      </c>
      <c r="BE290" s="3">
        <f t="shared" si="187"/>
        <v>54</v>
      </c>
    </row>
    <row r="291" spans="1:59" s="3" customFormat="1" x14ac:dyDescent="0.2">
      <c r="A291" s="3" t="s">
        <v>328</v>
      </c>
      <c r="B291" s="3" t="str">
        <f>LOWER(VLOOKUP(A291,Xtal_Templ!A:B,2,FALSE))</f>
        <v>npy1r_human</v>
      </c>
      <c r="C291" s="3">
        <f>VLOOKUP($A291,'SegEnds_NonXtal_BW#'!$A:$Z,3,FALSE)+D291-50</f>
        <v>37</v>
      </c>
      <c r="D291" s="3">
        <v>59</v>
      </c>
      <c r="E291" s="3">
        <f>IF(ISERROR(VLOOKUP($A291,'SegEnds_NonXtal_BW#'!$A:$Z,4,FALSE)+VLOOKUP($A291,A:AL,4,FALSE)-50),"-",(VLOOKUP($A291,'SegEnds_NonXtal_BW#'!$A:$Z,4,FALSE)+VLOOKUP($A291,A:AL,4,FALSE)-50))</f>
        <v>69</v>
      </c>
      <c r="F291" s="3">
        <f t="shared" si="192"/>
        <v>70</v>
      </c>
      <c r="G291" s="3">
        <v>72</v>
      </c>
      <c r="H291" s="3">
        <f t="shared" si="193"/>
        <v>73</v>
      </c>
      <c r="I291" s="3">
        <f t="shared" si="193"/>
        <v>74</v>
      </c>
      <c r="J291" s="3">
        <v>87</v>
      </c>
      <c r="K291" s="3">
        <f>VLOOKUP($A291,'SegEnds_NonXtal_BW#'!$A:$Z,8,FALSE)+VLOOKUP($A291,A:AL,10,FALSE)-50</f>
        <v>105</v>
      </c>
      <c r="L291" s="3">
        <f t="shared" si="194"/>
        <v>106</v>
      </c>
      <c r="M291" s="3">
        <v>107</v>
      </c>
      <c r="N291" s="3">
        <f t="shared" si="195"/>
        <v>109</v>
      </c>
      <c r="O291" s="3">
        <f t="shared" si="196"/>
        <v>110</v>
      </c>
      <c r="P291" s="3">
        <v>139</v>
      </c>
      <c r="Q291" s="3">
        <f>VLOOKUP($A291,'SegEnds_NonXtal_BW#'!$A:$Z,12,FALSE)+VLOOKUP($A291,A:AL,16,FALSE)-50</f>
        <v>145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152</v>
      </c>
      <c r="V291" s="3">
        <v>164</v>
      </c>
      <c r="W291" s="3">
        <f>IF(ISERROR(VLOOKUP($A291,'SegEnds_NonXtal_BW#'!$A:$Z,16,FALSE)+VLOOKUP($A291,A:AL,22,FALSE)-50),"-",(VLOOKUP($A291,'SegEnds_NonXtal_BW#'!$A:$Z,16,FALSE)+VLOOKUP($A291,A:AL,22,FALSE)-50))</f>
        <v>178</v>
      </c>
      <c r="X291" s="3">
        <f>IF(ISERROR(VLOOKUP($A291,'SegEnds_NonXtal_BW#'!$A:$Z,17,FALSE)+VLOOKUP($A291,A:AL,25,FALSE)-50),"-",(VLOOKUP($A291,'SegEnds_NonXtal_BW#'!$A:$Z,17,FALSE)+VLOOKUP($A291,A:AL,25,FALSE)-50))</f>
        <v>198</v>
      </c>
      <c r="Y291" s="3">
        <v>198</v>
      </c>
      <c r="Z291" s="3">
        <f t="shared" si="190"/>
        <v>200</v>
      </c>
      <c r="AA291" s="3">
        <f>IF(ISERROR(VLOOKUP($A291,'SegEnds_NonXtal_BW#'!$A:$Z,19,FALSE)+VLOOKUP($A291,A:AL,28,FALSE)-50),"-",(VLOOKUP($A291,'SegEnds_NonXtal_BW#'!$A:$Z,19,FALSE)+VLOOKUP($A291,A:AL,28,FALSE)-50))</f>
        <v>204</v>
      </c>
      <c r="AB291" s="3">
        <v>223</v>
      </c>
      <c r="AC291" s="3">
        <f>IF(ISERROR((VLOOKUP($A291,'SegEnds_NonXtal_BW#'!$A:$Z,20,FALSE)+VLOOKUP($A291,A:AL,28,FALSE)-50)),"-",(VLOOKUP($A291,'SegEnds_NonXtal_BW#'!$A:$Z,20,FALSE)+VLOOKUP($A291,A:AL,28,FALSE)-50))</f>
        <v>249</v>
      </c>
      <c r="AD291" s="3">
        <f>IF(ISERROR(VLOOKUP($A291,'SegEnds_NonXtal_BW#'!$A:$Z,21,FALSE)+VLOOKUP($A291,A:AL,31,FALSE)-50),"-",(VLOOKUP($A291,'SegEnds_NonXtal_BW#'!$A:$Z,21,FALSE)+VLOOKUP($A291,A:AL,31,FALSE)-50))</f>
        <v>357</v>
      </c>
      <c r="AE291" s="3">
        <v>383</v>
      </c>
      <c r="AF291" s="3">
        <f>IF(ISERROR((VLOOKUP($A291,'SegEnds_NonXtal_BW#'!$A:$Z,22,FALSE)+VLOOKUP($A291,A:AL,31,FALSE)-50)),"-",(VLOOKUP($A291,'SegEnds_NonXtal_BW#'!$A:$Z,22,FALSE)+VLOOKUP($A291,A:AL,31,FALSE)-50))</f>
        <v>394</v>
      </c>
      <c r="AG291" s="3">
        <f>IF(ISERROR(VLOOKUP($A291,'SegEnds_NonXtal_BW#'!$A:$Z,23,FALSE)+VLOOKUP($A291,A:AL,34,FALSE)-50),"-",(VLOOKUP($A291,'SegEnds_NonXtal_BW#'!$A:$Z,23,FALSE)+VLOOKUP($A291,A:AL,34,FALSE)-50))</f>
        <v>400</v>
      </c>
      <c r="AH291" s="3">
        <v>422</v>
      </c>
      <c r="AI291" s="3">
        <f>IF(ISERROR((VLOOKUP($A291,'SegEnds_NonXtal_BW#'!$A:$Z,24,FALSE)+VLOOKUP($A291,A:AL,34,FALSE)-50)),"-",(VLOOKUP($A291,'SegEnds_NonXtal_BW#'!$A:$Z,24,FALSE)+VLOOKUP($A291,A:AL,34,FALSE)-50))</f>
        <v>428</v>
      </c>
      <c r="AJ291" s="3">
        <f>IF(ISERROR(VLOOKUP($A291,'SegEnds_NonXtal_BW#'!$A:$Z,25,FALSE)+VLOOKUP($A291,A:AL,37,FALSE)-50),"-",(VLOOKUP($A291,'SegEnds_NonXtal_BW#'!$A:$Z,25,FALSE)+VLOOKUP($A291,A:AL,37,FALSE)-50))</f>
        <v>429</v>
      </c>
      <c r="AK291" s="3">
        <v>432</v>
      </c>
      <c r="AL291" s="3">
        <f>IF(ISERROR((VLOOKUP($A291,'SegEnds_NonXtal_BW#'!$A:$Z,26,FALSE)+VLOOKUP($A291,A:AL,37,FALSE)-50)),"-",(VLOOKUP($A291,'SegEnds_NonXtal_BW#'!$A:$Z,26,FALSE)+VLOOKUP($A291,A:AL,37,FALSE)-50))</f>
        <v>440</v>
      </c>
      <c r="AM291" s="28" t="str">
        <f>VLOOKUP(A291,Classification!A:B,2,FALSE)</f>
        <v>A</v>
      </c>
      <c r="AN291" s="28" t="b">
        <f t="shared" si="188"/>
        <v>1</v>
      </c>
      <c r="AO291" s="3" t="str">
        <f>IF(ISERROR(MATCH(A291,'SegEnds_Xtal_Prot#'!B:B, 0)), "NoXtal", "Xtal")</f>
        <v>NoXtal</v>
      </c>
      <c r="AP291" s="3">
        <f t="shared" si="173"/>
        <v>1</v>
      </c>
      <c r="AQ291" s="3">
        <f t="shared" si="174"/>
        <v>1</v>
      </c>
      <c r="AR291" s="3">
        <f t="shared" si="175"/>
        <v>1</v>
      </c>
      <c r="AS291" s="3">
        <f t="shared" si="176"/>
        <v>1</v>
      </c>
      <c r="AT291" s="3" t="str">
        <f t="shared" si="177"/>
        <v>-</v>
      </c>
      <c r="AU291" s="3" t="str">
        <f t="shared" si="178"/>
        <v>-</v>
      </c>
      <c r="AV291" s="3">
        <f t="shared" si="179"/>
        <v>20</v>
      </c>
      <c r="AW291" s="3">
        <f t="shared" si="180"/>
        <v>4</v>
      </c>
      <c r="AX291" s="3">
        <f t="shared" si="181"/>
        <v>108</v>
      </c>
      <c r="AY291" s="3">
        <f t="shared" si="182"/>
        <v>6</v>
      </c>
      <c r="AZ291" s="3">
        <f t="shared" si="183"/>
        <v>1</v>
      </c>
      <c r="BA291" s="3">
        <f>IF(ISERROR(LEN(VLOOKUP(A291,Seqs!A:E,2,FALSE))-AL291),"-",LEN(VLOOKUP(A291,Seqs!A:E,2,FALSE))-AL291)</f>
        <v>5</v>
      </c>
      <c r="BB291" s="16">
        <f t="shared" si="184"/>
        <v>28</v>
      </c>
      <c r="BC291" s="9" t="str">
        <f t="shared" si="185"/>
        <v>-</v>
      </c>
      <c r="BD291" s="3">
        <f t="shared" si="186"/>
        <v>28</v>
      </c>
      <c r="BE291" s="3">
        <f t="shared" si="187"/>
        <v>160</v>
      </c>
      <c r="BF291" s="3">
        <f>AH291-AE291</f>
        <v>39</v>
      </c>
    </row>
    <row r="292" spans="1:59" s="3" customFormat="1" x14ac:dyDescent="0.2">
      <c r="A292" s="3" t="s">
        <v>329</v>
      </c>
      <c r="B292" s="3" t="str">
        <f>LOWER(VLOOKUP(A292,Xtal_Templ!A:B,2,FALSE))</f>
        <v>npy1r_human</v>
      </c>
      <c r="C292" s="3">
        <f>VLOOKUP($A292,'SegEnds_NonXtal_BW#'!$A:$Z,3,FALSE)+D292-50</f>
        <v>31</v>
      </c>
      <c r="D292" s="3">
        <v>53</v>
      </c>
      <c r="E292" s="3">
        <f>IF(ISERROR(VLOOKUP($A292,'SegEnds_NonXtal_BW#'!$A:$Z,4,FALSE)+VLOOKUP($A292,A:AL,4,FALSE)-50),"-",(VLOOKUP($A292,'SegEnds_NonXtal_BW#'!$A:$Z,4,FALSE)+VLOOKUP($A292,A:AL,4,FALSE)-50))</f>
        <v>63</v>
      </c>
      <c r="F292" s="3">
        <f t="shared" si="192"/>
        <v>65</v>
      </c>
      <c r="G292" s="3">
        <v>67</v>
      </c>
      <c r="H292" s="3">
        <f t="shared" si="193"/>
        <v>68</v>
      </c>
      <c r="I292" s="3">
        <f t="shared" si="193"/>
        <v>69</v>
      </c>
      <c r="J292" s="3">
        <v>82</v>
      </c>
      <c r="K292" s="3">
        <f>VLOOKUP($A292,'SegEnds_NonXtal_BW#'!$A:$Z,8,FALSE)+VLOOKUP($A292,A:AL,10,FALSE)-50</f>
        <v>100</v>
      </c>
      <c r="L292" s="3">
        <f t="shared" si="194"/>
        <v>101</v>
      </c>
      <c r="M292" s="3">
        <v>102</v>
      </c>
      <c r="N292" s="3">
        <f t="shared" si="195"/>
        <v>104</v>
      </c>
      <c r="O292" s="3">
        <f t="shared" si="196"/>
        <v>105</v>
      </c>
      <c r="P292" s="3">
        <v>134</v>
      </c>
      <c r="Q292" s="3">
        <f>VLOOKUP($A292,'SegEnds_NonXtal_BW#'!$A:$Z,12,FALSE)+VLOOKUP($A292,A:AL,16,FALSE)-50</f>
        <v>140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147</v>
      </c>
      <c r="V292" s="3">
        <v>159</v>
      </c>
      <c r="W292" s="3">
        <f>IF(ISERROR(VLOOKUP($A292,'SegEnds_NonXtal_BW#'!$A:$Z,16,FALSE)+VLOOKUP($A292,A:AL,22,FALSE)-50),"-",(VLOOKUP($A292,'SegEnds_NonXtal_BW#'!$A:$Z,16,FALSE)+VLOOKUP($A292,A:AL,22,FALSE)-50))</f>
        <v>173</v>
      </c>
      <c r="X292" s="3" t="str">
        <f>IF(ISERROR(VLOOKUP($A292,'SegEnds_NonXtal_BW#'!$A:$Z,17,FALSE)+VLOOKUP($A292,A:AL,25,FALSE)-50),"-",(VLOOKUP($A292,'SegEnds_NonXtal_BW#'!$A:$Z,17,FALSE)+VLOOKUP($A292,A:AL,25,FALSE)-50))</f>
        <v>-</v>
      </c>
      <c r="Y292" s="3" t="s">
        <v>23</v>
      </c>
      <c r="Z292" s="3" t="str">
        <f>IF(ISERROR(VLOOKUP($A292,'SegEnds_NonXtal_BW#'!$A:$Z,18,FALSE)+VLOOKUP($A292,A:AL,25,FALSE)-50),"-",(VLOOKUP($A292,'SegEnds_NonXtal_BW#'!$A:$Z,18,FALSE)+VLOOKUP($A292,A:AL,25,FALSE)-50))</f>
        <v>-</v>
      </c>
      <c r="AA292" s="3">
        <f>IF(ISERROR(VLOOKUP($A292,'SegEnds_NonXtal_BW#'!$A:$Z,19,FALSE)+VLOOKUP($A292,A:AL,28,FALSE)-50),"-",(VLOOKUP($A292,'SegEnds_NonXtal_BW#'!$A:$Z,19,FALSE)+VLOOKUP($A292,A:AL,28,FALSE)-50))</f>
        <v>202</v>
      </c>
      <c r="AB292" s="3">
        <v>221</v>
      </c>
      <c r="AC292" s="3">
        <f>IF(ISERROR((VLOOKUP($A292,'SegEnds_NonXtal_BW#'!$A:$Z,20,FALSE)+VLOOKUP($A292,A:AL,28,FALSE)-50)),"-",(VLOOKUP($A292,'SegEnds_NonXtal_BW#'!$A:$Z,20,FALSE)+VLOOKUP($A292,A:AL,28,FALSE)-50))</f>
        <v>244</v>
      </c>
      <c r="AD292" s="3">
        <f>IF(ISERROR(VLOOKUP($A292,'SegEnds_NonXtal_BW#'!$A:$Z,21,FALSE)+VLOOKUP($A292,A:AL,31,FALSE)-50),"-",(VLOOKUP($A292,'SegEnds_NonXtal_BW#'!$A:$Z,21,FALSE)+VLOOKUP($A292,A:AL,31,FALSE)-50))</f>
        <v>248</v>
      </c>
      <c r="AE292" s="3">
        <v>276</v>
      </c>
      <c r="AF292" s="3">
        <f>IF(ISERROR((VLOOKUP($A292,'SegEnds_NonXtal_BW#'!$A:$Z,22,FALSE)+VLOOKUP($A292,A:AL,31,FALSE)-50)),"-",(VLOOKUP($A292,'SegEnds_NonXtal_BW#'!$A:$Z,22,FALSE)+VLOOKUP($A292,A:AL,31,FALSE)-50))</f>
        <v>287</v>
      </c>
      <c r="AG292" s="3" t="str">
        <f>IF(ISERROR(VLOOKUP($A292,'SegEnds_NonXtal_BW#'!$A:$Z,23,FALSE)+VLOOKUP($A292,A:AL,34,FALSE)-50),"-",(VLOOKUP($A292,'SegEnds_NonXtal_BW#'!$A:$Z,23,FALSE)+VLOOKUP($A292,A:AL,34,FALSE)-50))</f>
        <v>-</v>
      </c>
      <c r="AH292" s="3" t="s">
        <v>23</v>
      </c>
      <c r="AI292" s="3" t="str">
        <f>IF(ISERROR((VLOOKUP($A292,'SegEnds_NonXtal_BW#'!$A:$Z,24,FALSE)+VLOOKUP($A292,A:AL,34,FALSE)-50)),"-",(VLOOKUP($A292,'SegEnds_NonXtal_BW#'!$A:$Z,24,FALSE)+VLOOKUP($A292,A:AL,34,FALSE)-50))</f>
        <v>-</v>
      </c>
      <c r="AJ292" s="3" t="str">
        <f>IF(ISERROR(VLOOKUP($A292,'SegEnds_NonXtal_BW#'!$A:$Z,25,FALSE)+VLOOKUP($A292,A:AL,37,FALSE)-50),"-",(VLOOKUP($A292,'SegEnds_NonXtal_BW#'!$A:$Z,25,FALSE)+VLOOKUP($A292,A:AL,37,FALSE)-50))</f>
        <v>-</v>
      </c>
      <c r="AK292" s="3" t="s">
        <v>23</v>
      </c>
      <c r="AL292" s="3" t="str">
        <f>IF(ISERROR((VLOOKUP($A292,'SegEnds_NonXtal_BW#'!$A:$Z,26,FALSE)+VLOOKUP($A292,A:AL,37,FALSE)-50)),"-",(VLOOKUP($A292,'SegEnds_NonXtal_BW#'!$A:$Z,26,FALSE)+VLOOKUP($A292,A:AL,37,FALSE)-50))</f>
        <v>-</v>
      </c>
      <c r="AM292" s="28" t="str">
        <f>VLOOKUP(A292,Classification!A:B,2,FALSE)</f>
        <v>A</v>
      </c>
      <c r="AN292" s="28" t="e">
        <f t="shared" si="188"/>
        <v>#VALUE!</v>
      </c>
      <c r="AO292" s="3" t="str">
        <f>IF(ISERROR(MATCH(A292,'SegEnds_Xtal_Prot#'!B:B, 0)), "NoXtal", "Xtal")</f>
        <v>NoXtal</v>
      </c>
      <c r="AP292" s="3">
        <f t="shared" si="173"/>
        <v>2</v>
      </c>
      <c r="AQ292" s="3">
        <f t="shared" si="174"/>
        <v>1</v>
      </c>
      <c r="AR292" s="3">
        <f t="shared" si="175"/>
        <v>1</v>
      </c>
      <c r="AS292" s="3">
        <f t="shared" si="176"/>
        <v>1</v>
      </c>
      <c r="AT292" s="3" t="str">
        <f t="shared" si="177"/>
        <v>-</v>
      </c>
      <c r="AU292" s="3" t="str">
        <f t="shared" si="178"/>
        <v>-</v>
      </c>
      <c r="AV292" s="3" t="str">
        <f t="shared" si="179"/>
        <v>-</v>
      </c>
      <c r="AW292" s="3" t="str">
        <f t="shared" si="180"/>
        <v>-</v>
      </c>
      <c r="AX292" s="3">
        <f t="shared" si="181"/>
        <v>4</v>
      </c>
      <c r="AY292" s="3" t="str">
        <f t="shared" si="182"/>
        <v>-</v>
      </c>
      <c r="AZ292" s="3" t="str">
        <f t="shared" si="183"/>
        <v>-</v>
      </c>
      <c r="BA292" s="3" t="str">
        <f>IF(ISERROR(LEN(VLOOKUP(A292,Seqs!A:E,2,FALSE))-AL292),"-",LEN(VLOOKUP(A292,Seqs!A:E,2,FALSE))-AL292)</f>
        <v>-</v>
      </c>
      <c r="BB292" s="16">
        <f t="shared" si="184"/>
        <v>29</v>
      </c>
      <c r="BC292" s="9" t="str">
        <f t="shared" si="185"/>
        <v>-</v>
      </c>
      <c r="BD292" s="3">
        <f t="shared" si="186"/>
        <v>29</v>
      </c>
      <c r="BE292" s="3">
        <f t="shared" si="187"/>
        <v>55</v>
      </c>
      <c r="BG292" s="3" t="s">
        <v>1306</v>
      </c>
    </row>
    <row r="293" spans="1:59" s="3" customFormat="1" x14ac:dyDescent="0.2">
      <c r="A293" s="3" t="s">
        <v>332</v>
      </c>
      <c r="B293" s="3" t="str">
        <f>LOWER(VLOOKUP(A293,Xtal_Templ!A:B,2,FALSE))</f>
        <v>opsd_bovin</v>
      </c>
      <c r="C293" s="3">
        <f>VLOOKUP($A293,'SegEnds_NonXtal_BW#'!$A:$Z,3,FALSE)+D293-50</f>
        <v>37</v>
      </c>
      <c r="D293" s="3">
        <v>59</v>
      </c>
      <c r="E293" s="3">
        <f>IF(ISERROR(VLOOKUP($A293,'SegEnds_NonXtal_BW#'!$A:$Z,4,FALSE)+VLOOKUP($A293,A:AL,4,FALSE)-50),"-",(VLOOKUP($A293,'SegEnds_NonXtal_BW#'!$A:$Z,4,FALSE)+VLOOKUP($A293,A:AL,4,FALSE)-50))</f>
        <v>69</v>
      </c>
      <c r="F293" s="3">
        <f t="shared" si="192"/>
        <v>70</v>
      </c>
      <c r="G293" s="3">
        <v>72</v>
      </c>
      <c r="H293" s="3">
        <f t="shared" si="193"/>
        <v>73</v>
      </c>
      <c r="I293" s="3">
        <f t="shared" si="193"/>
        <v>74</v>
      </c>
      <c r="J293" s="3">
        <v>87</v>
      </c>
      <c r="K293" s="3">
        <f>VLOOKUP($A293,'SegEnds_NonXtal_BW#'!$A:$Z,8,FALSE)+VLOOKUP($A293,A:AL,10,FALSE)-50</f>
        <v>104</v>
      </c>
      <c r="L293" s="3">
        <f t="shared" si="194"/>
        <v>106</v>
      </c>
      <c r="M293" s="3">
        <v>107</v>
      </c>
      <c r="N293" s="3">
        <f t="shared" si="195"/>
        <v>109</v>
      </c>
      <c r="O293" s="3">
        <f t="shared" si="196"/>
        <v>110</v>
      </c>
      <c r="P293" s="3">
        <v>139</v>
      </c>
      <c r="Q293" s="3">
        <f>VLOOKUP($A293,'SegEnds_NonXtal_BW#'!$A:$Z,12,FALSE)+VLOOKUP($A293,A:AL,16,FALSE)-50</f>
        <v>145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150</v>
      </c>
      <c r="V293" s="3">
        <v>162</v>
      </c>
      <c r="W293" s="3">
        <f>IF(ISERROR(VLOOKUP($A293,'SegEnds_NonXtal_BW#'!$A:$Z,16,FALSE)+VLOOKUP($A293,A:AL,22,FALSE)-50),"-",(VLOOKUP($A293,'SegEnds_NonXtal_BW#'!$A:$Z,16,FALSE)+VLOOKUP($A293,A:AL,22,FALSE)-50))</f>
        <v>174</v>
      </c>
      <c r="X293" s="3">
        <f>IF(ISERROR(VLOOKUP($A293,'SegEnds_NonXtal_BW#'!$A:$Z,17,FALSE)+VLOOKUP($A293,A:AL,25,FALSE)-50),"-",(VLOOKUP($A293,'SegEnds_NonXtal_BW#'!$A:$Z,17,FALSE)+VLOOKUP($A293,A:AL,25,FALSE)-50))</f>
        <v>188</v>
      </c>
      <c r="Y293" s="3">
        <v>188</v>
      </c>
      <c r="Z293" s="3">
        <f t="shared" ref="Z293:Z325" si="197">Y293+2</f>
        <v>190</v>
      </c>
      <c r="AA293" s="3">
        <f>IF(ISERROR(VLOOKUP($A293,'SegEnds_NonXtal_BW#'!$A:$Z,19,FALSE)+VLOOKUP($A293,A:AL,28,FALSE)-50),"-",(VLOOKUP($A293,'SegEnds_NonXtal_BW#'!$A:$Z,19,FALSE)+VLOOKUP($A293,A:AL,28,FALSE)-50))</f>
        <v>198</v>
      </c>
      <c r="AB293" s="3">
        <v>214</v>
      </c>
      <c r="AC293" s="3">
        <f>IF(ISERROR((VLOOKUP($A293,'SegEnds_NonXtal_BW#'!$A:$Z,20,FALSE)+VLOOKUP($A293,A:AL,28,FALSE)-50)),"-",(VLOOKUP($A293,'SegEnds_NonXtal_BW#'!$A:$Z,20,FALSE)+VLOOKUP($A293,A:AL,28,FALSE)-50))</f>
        <v>237</v>
      </c>
      <c r="AD293" s="3">
        <f>IF(ISERROR(VLOOKUP($A293,'SegEnds_NonXtal_BW#'!$A:$Z,21,FALSE)+VLOOKUP($A293,A:AL,31,FALSE)-50),"-",(VLOOKUP($A293,'SegEnds_NonXtal_BW#'!$A:$Z,21,FALSE)+VLOOKUP($A293,A:AL,31,FALSE)-50))</f>
        <v>242</v>
      </c>
      <c r="AE293" s="3">
        <v>270</v>
      </c>
      <c r="AF293" s="3">
        <f>IF(ISERROR((VLOOKUP($A293,'SegEnds_NonXtal_BW#'!$A:$Z,22,FALSE)+VLOOKUP($A293,A:AL,31,FALSE)-50)),"-",(VLOOKUP($A293,'SegEnds_NonXtal_BW#'!$A:$Z,22,FALSE)+VLOOKUP($A293,A:AL,31,FALSE)-50))</f>
        <v>281</v>
      </c>
      <c r="AG293" s="3">
        <f>IF(ISERROR(VLOOKUP($A293,'SegEnds_NonXtal_BW#'!$A:$Z,23,FALSE)+VLOOKUP($A293,A:AL,34,FALSE)-50),"-",(VLOOKUP($A293,'SegEnds_NonXtal_BW#'!$A:$Z,23,FALSE)+VLOOKUP($A293,A:AL,34,FALSE)-50))</f>
        <v>287</v>
      </c>
      <c r="AH293" s="3">
        <v>306</v>
      </c>
      <c r="AI293" s="3">
        <f>IF(ISERROR((VLOOKUP($A293,'SegEnds_NonXtal_BW#'!$A:$Z,24,FALSE)+VLOOKUP($A293,A:AL,34,FALSE)-50)),"-",(VLOOKUP($A293,'SegEnds_NonXtal_BW#'!$A:$Z,24,FALSE)+VLOOKUP($A293,A:AL,34,FALSE)-50))</f>
        <v>312</v>
      </c>
      <c r="AJ293" s="3">
        <f>IF(ISERROR(VLOOKUP($A293,'SegEnds_NonXtal_BW#'!$A:$Z,25,FALSE)+VLOOKUP($A293,A:AL,37,FALSE)-50),"-",(VLOOKUP($A293,'SegEnds_NonXtal_BW#'!$A:$Z,25,FALSE)+VLOOKUP($A293,A:AL,37,FALSE)-50))</f>
        <v>313</v>
      </c>
      <c r="AK293" s="3">
        <v>316</v>
      </c>
      <c r="AL293" s="3">
        <f>IF(ISERROR((VLOOKUP($A293,'SegEnds_NonXtal_BW#'!$A:$Z,26,FALSE)+VLOOKUP($A293,A:AL,37,FALSE)-50)),"-",(VLOOKUP($A293,'SegEnds_NonXtal_BW#'!$A:$Z,26,FALSE)+VLOOKUP($A293,A:AL,37,FALSE)-50))</f>
        <v>325</v>
      </c>
      <c r="AM293" s="28" t="str">
        <f>VLOOKUP(A293,Classification!A:B,2,FALSE)</f>
        <v>A</v>
      </c>
      <c r="AN293" s="28" t="b">
        <f t="shared" si="188"/>
        <v>1</v>
      </c>
      <c r="AO293" s="3" t="str">
        <f>IF(ISERROR(MATCH(A293,'SegEnds_Xtal_Prot#'!B:B, 0)), "NoXtal", "Xtal")</f>
        <v>NoXtal</v>
      </c>
      <c r="AP293" s="3">
        <f t="shared" si="173"/>
        <v>1</v>
      </c>
      <c r="AQ293" s="3">
        <f t="shared" si="174"/>
        <v>1</v>
      </c>
      <c r="AR293" s="3">
        <f t="shared" si="175"/>
        <v>2</v>
      </c>
      <c r="AS293" s="3">
        <f t="shared" si="176"/>
        <v>1</v>
      </c>
      <c r="AT293" s="3" t="str">
        <f t="shared" si="177"/>
        <v>-</v>
      </c>
      <c r="AU293" s="3" t="str">
        <f t="shared" si="178"/>
        <v>-</v>
      </c>
      <c r="AV293" s="3">
        <f t="shared" si="179"/>
        <v>14</v>
      </c>
      <c r="AW293" s="3">
        <f t="shared" si="180"/>
        <v>8</v>
      </c>
      <c r="AX293" s="3">
        <f t="shared" si="181"/>
        <v>5</v>
      </c>
      <c r="AY293" s="3">
        <f t="shared" si="182"/>
        <v>6</v>
      </c>
      <c r="AZ293" s="3">
        <f t="shared" si="183"/>
        <v>1</v>
      </c>
      <c r="BA293" s="3">
        <f>IF(ISERROR(LEN(VLOOKUP(A293,Seqs!A:E,2,FALSE))-AL293),"-",LEN(VLOOKUP(A293,Seqs!A:E,2,FALSE))-AL293)</f>
        <v>77</v>
      </c>
      <c r="BB293" s="16">
        <f t="shared" si="184"/>
        <v>28</v>
      </c>
      <c r="BC293" s="9" t="str">
        <f t="shared" si="185"/>
        <v>-</v>
      </c>
      <c r="BD293" s="3">
        <f t="shared" si="186"/>
        <v>28</v>
      </c>
      <c r="BE293" s="3">
        <f t="shared" si="187"/>
        <v>56</v>
      </c>
    </row>
    <row r="294" spans="1:59" s="3" customFormat="1" x14ac:dyDescent="0.2">
      <c r="A294" s="3" t="s">
        <v>344</v>
      </c>
      <c r="B294" s="3" t="str">
        <f>LOWER(VLOOKUP(A294,Xtal_Templ!A:B,2,FALSE))</f>
        <v>ox1r_human</v>
      </c>
      <c r="C294" s="3">
        <f>VLOOKUP($A294,'SegEnds_NonXtal_BW#'!$A:$Z,3,FALSE)+D294-50</f>
        <v>39</v>
      </c>
      <c r="D294" s="3">
        <v>57</v>
      </c>
      <c r="E294" s="3">
        <f>IF(ISERROR(VLOOKUP($A294,'SegEnds_NonXtal_BW#'!$A:$Z,4,FALSE)+VLOOKUP($A294,A:AL,4,FALSE)-50),"-",(VLOOKUP($A294,'SegEnds_NonXtal_BW#'!$A:$Z,4,FALSE)+VLOOKUP($A294,A:AL,4,FALSE)-50))</f>
        <v>67</v>
      </c>
      <c r="F294" s="3">
        <f t="shared" si="192"/>
        <v>68</v>
      </c>
      <c r="G294" s="3">
        <v>70</v>
      </c>
      <c r="H294" s="3">
        <f t="shared" si="193"/>
        <v>71</v>
      </c>
      <c r="I294" s="3">
        <f t="shared" si="193"/>
        <v>72</v>
      </c>
      <c r="J294" s="3">
        <v>85</v>
      </c>
      <c r="K294" s="3">
        <f>VLOOKUP($A294,'SegEnds_NonXtal_BW#'!$A:$Z,8,FALSE)+VLOOKUP($A294,A:AL,10,FALSE)-50</f>
        <v>101</v>
      </c>
      <c r="L294" s="3">
        <f t="shared" si="194"/>
        <v>102</v>
      </c>
      <c r="M294" s="3">
        <v>103</v>
      </c>
      <c r="N294" s="3">
        <f t="shared" si="195"/>
        <v>105</v>
      </c>
      <c r="O294" s="3">
        <f t="shared" si="196"/>
        <v>106</v>
      </c>
      <c r="P294" s="3">
        <v>137</v>
      </c>
      <c r="Q294" s="3">
        <f>VLOOKUP($A294,'SegEnds_NonXtal_BW#'!$A:$Z,12,FALSE)+VLOOKUP($A294,A:AL,16,FALSE)-50</f>
        <v>143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149</v>
      </c>
      <c r="V294" s="3">
        <v>161</v>
      </c>
      <c r="W294" s="3">
        <f>IF(ISERROR(VLOOKUP($A294,'SegEnds_NonXtal_BW#'!$A:$Z,16,FALSE)+VLOOKUP($A294,A:AL,22,FALSE)-50),"-",(VLOOKUP($A294,'SegEnds_NonXtal_BW#'!$A:$Z,16,FALSE)+VLOOKUP($A294,A:AL,22,FALSE)-50))</f>
        <v>175</v>
      </c>
      <c r="X294" s="3">
        <f>IF(ISERROR(VLOOKUP($A294,'SegEnds_NonXtal_BW#'!$A:$Z,17,FALSE)+VLOOKUP($A294,A:AL,25,FALSE)-50),"-",(VLOOKUP($A294,'SegEnds_NonXtal_BW#'!$A:$Z,17,FALSE)+VLOOKUP($A294,A:AL,25,FALSE)-50))</f>
        <v>187</v>
      </c>
      <c r="Y294" s="3">
        <v>187</v>
      </c>
      <c r="Z294" s="3">
        <f t="shared" si="197"/>
        <v>189</v>
      </c>
      <c r="AA294" s="3">
        <f>IF(ISERROR(VLOOKUP($A294,'SegEnds_NonXtal_BW#'!$A:$Z,19,FALSE)+VLOOKUP($A294,A:AL,28,FALSE)-50),"-",(VLOOKUP($A294,'SegEnds_NonXtal_BW#'!$A:$Z,19,FALSE)+VLOOKUP($A294,A:AL,28,FALSE)-50))</f>
        <v>195</v>
      </c>
      <c r="AB294" s="3">
        <v>212</v>
      </c>
      <c r="AC294" s="3">
        <f>IF(ISERROR((VLOOKUP($A294,'SegEnds_NonXtal_BW#'!$A:$Z,20,FALSE)+VLOOKUP($A294,A:AL,28,FALSE)-50)),"-",(VLOOKUP($A294,'SegEnds_NonXtal_BW#'!$A:$Z,20,FALSE)+VLOOKUP($A294,A:AL,28,FALSE)-50))</f>
        <v>238</v>
      </c>
      <c r="AD294" s="3">
        <f>IF(ISERROR(VLOOKUP($A294,'SegEnds_NonXtal_BW#'!$A:$Z,21,FALSE)+VLOOKUP($A294,A:AL,31,FALSE)-50),"-",(VLOOKUP($A294,'SegEnds_NonXtal_BW#'!$A:$Z,21,FALSE)+VLOOKUP($A294,A:AL,31,FALSE)-50))</f>
        <v>264</v>
      </c>
      <c r="AE294" s="3">
        <v>290</v>
      </c>
      <c r="AF294" s="3">
        <f>IF(ISERROR((VLOOKUP($A294,'SegEnds_NonXtal_BW#'!$A:$Z,22,FALSE)+VLOOKUP($A294,A:AL,31,FALSE)-50)),"-",(VLOOKUP($A294,'SegEnds_NonXtal_BW#'!$A:$Z,22,FALSE)+VLOOKUP($A294,A:AL,31,FALSE)-50))</f>
        <v>301</v>
      </c>
      <c r="AG294" s="3">
        <f>IF(ISERROR(VLOOKUP($A294,'SegEnds_NonXtal_BW#'!$A:$Z,23,FALSE)+VLOOKUP($A294,A:AL,34,FALSE)-50),"-",(VLOOKUP($A294,'SegEnds_NonXtal_BW#'!$A:$Z,23,FALSE)+VLOOKUP($A294,A:AL,34,FALSE)-50))</f>
        <v>307</v>
      </c>
      <c r="AH294" s="3">
        <v>326</v>
      </c>
      <c r="AI294" s="3">
        <f>IF(ISERROR((VLOOKUP($A294,'SegEnds_NonXtal_BW#'!$A:$Z,24,FALSE)+VLOOKUP($A294,A:AL,34,FALSE)-50)),"-",(VLOOKUP($A294,'SegEnds_NonXtal_BW#'!$A:$Z,24,FALSE)+VLOOKUP($A294,A:AL,34,FALSE)-50))</f>
        <v>332</v>
      </c>
      <c r="AJ294" s="3">
        <f>IF(ISERROR(VLOOKUP($A294,'SegEnds_NonXtal_BW#'!$A:$Z,25,FALSE)+VLOOKUP($A294,A:AL,37,FALSE)-50),"-",(VLOOKUP($A294,'SegEnds_NonXtal_BW#'!$A:$Z,25,FALSE)+VLOOKUP($A294,A:AL,37,FALSE)-50))</f>
        <v>333</v>
      </c>
      <c r="AK294" s="3">
        <v>336</v>
      </c>
      <c r="AL294" s="3">
        <f>IF(ISERROR((VLOOKUP($A294,'SegEnds_NonXtal_BW#'!$A:$Z,26,FALSE)+VLOOKUP($A294,A:AL,37,FALSE)-50)),"-",(VLOOKUP($A294,'SegEnds_NonXtal_BW#'!$A:$Z,26,FALSE)+VLOOKUP($A294,A:AL,37,FALSE)-50))</f>
        <v>349</v>
      </c>
      <c r="AM294" s="28" t="str">
        <f>VLOOKUP(A294,Classification!A:B,2,FALSE)</f>
        <v>A</v>
      </c>
      <c r="AN294" s="28" t="b">
        <f t="shared" si="188"/>
        <v>1</v>
      </c>
      <c r="AO294" s="3" t="str">
        <f>IF(ISERROR(MATCH(A294,'SegEnds_Xtal_Prot#'!B:B, 0)), "NoXtal", "Xtal")</f>
        <v>NoXtal</v>
      </c>
      <c r="AP294" s="3">
        <f t="shared" si="173"/>
        <v>1</v>
      </c>
      <c r="AQ294" s="3">
        <f t="shared" si="174"/>
        <v>1</v>
      </c>
      <c r="AR294" s="3">
        <f t="shared" si="175"/>
        <v>1</v>
      </c>
      <c r="AS294" s="3">
        <f t="shared" si="176"/>
        <v>1</v>
      </c>
      <c r="AT294" s="3" t="str">
        <f t="shared" si="177"/>
        <v>-</v>
      </c>
      <c r="AU294" s="3" t="str">
        <f t="shared" si="178"/>
        <v>-</v>
      </c>
      <c r="AV294" s="3">
        <f t="shared" si="179"/>
        <v>12</v>
      </c>
      <c r="AW294" s="3">
        <f t="shared" si="180"/>
        <v>6</v>
      </c>
      <c r="AX294" s="3">
        <f t="shared" si="181"/>
        <v>26</v>
      </c>
      <c r="AY294" s="3">
        <f t="shared" si="182"/>
        <v>6</v>
      </c>
      <c r="AZ294" s="3">
        <f t="shared" si="183"/>
        <v>1</v>
      </c>
      <c r="BA294" s="3">
        <f>IF(ISERROR(LEN(VLOOKUP(A294,Seqs!A:E,2,FALSE))-AL294),"-",LEN(VLOOKUP(A294,Seqs!A:E,2,FALSE))-AL294)</f>
        <v>40</v>
      </c>
      <c r="BB294" s="16">
        <f t="shared" si="184"/>
        <v>28</v>
      </c>
      <c r="BC294" s="9" t="str">
        <f t="shared" si="185"/>
        <v>-</v>
      </c>
      <c r="BD294" s="3">
        <f t="shared" si="186"/>
        <v>28</v>
      </c>
      <c r="BE294" s="3">
        <f t="shared" si="187"/>
        <v>78</v>
      </c>
    </row>
    <row r="295" spans="1:59" s="3" customFormat="1" x14ac:dyDescent="0.2">
      <c r="A295" s="3" t="s">
        <v>367</v>
      </c>
      <c r="B295" s="3" t="str">
        <f>LOWER(VLOOKUP(A295,Xtal_Templ!A:B,2,FALSE))</f>
        <v>ox1r_human</v>
      </c>
      <c r="C295" s="3">
        <f>VLOOKUP($A295,'SegEnds_NonXtal_BW#'!$A:$Z,3,FALSE)+D295-50</f>
        <v>62</v>
      </c>
      <c r="D295" s="3">
        <v>80</v>
      </c>
      <c r="E295" s="3">
        <f>IF(ISERROR(VLOOKUP($A295,'SegEnds_NonXtal_BW#'!$A:$Z,4,FALSE)+VLOOKUP($A295,A:AL,4,FALSE)-50),"-",(VLOOKUP($A295,'SegEnds_NonXtal_BW#'!$A:$Z,4,FALSE)+VLOOKUP($A295,A:AL,4,FALSE)-50))</f>
        <v>90</v>
      </c>
      <c r="F295" s="3">
        <f t="shared" si="192"/>
        <v>91</v>
      </c>
      <c r="G295" s="3">
        <v>93</v>
      </c>
      <c r="H295" s="3">
        <f t="shared" si="193"/>
        <v>94</v>
      </c>
      <c r="I295" s="3">
        <f t="shared" si="193"/>
        <v>95</v>
      </c>
      <c r="J295" s="3">
        <v>108</v>
      </c>
      <c r="K295" s="3">
        <f>VLOOKUP($A295,'SegEnds_NonXtal_BW#'!$A:$Z,8,FALSE)+VLOOKUP($A295,A:AL,10,FALSE)-50</f>
        <v>126</v>
      </c>
      <c r="L295" s="3">
        <f t="shared" si="194"/>
        <v>129</v>
      </c>
      <c r="M295" s="3">
        <v>130</v>
      </c>
      <c r="N295" s="3">
        <f t="shared" si="195"/>
        <v>132</v>
      </c>
      <c r="O295" s="3">
        <f t="shared" si="196"/>
        <v>133</v>
      </c>
      <c r="P295" s="3">
        <v>162</v>
      </c>
      <c r="Q295" s="3">
        <f>VLOOKUP($A295,'SegEnds_NonXtal_BW#'!$A:$Z,12,FALSE)+VLOOKUP($A295,A:AL,16,FALSE)-50</f>
        <v>168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175</v>
      </c>
      <c r="V295" s="3">
        <v>187</v>
      </c>
      <c r="W295" s="3">
        <f>IF(ISERROR(VLOOKUP($A295,'SegEnds_NonXtal_BW#'!$A:$Z,16,FALSE)+VLOOKUP($A295,A:AL,22,FALSE)-50),"-",(VLOOKUP($A295,'SegEnds_NonXtal_BW#'!$A:$Z,16,FALSE)+VLOOKUP($A295,A:AL,22,FALSE)-50))</f>
        <v>201</v>
      </c>
      <c r="X295" s="3">
        <f>IF(ISERROR(VLOOKUP($A295,'SegEnds_NonXtal_BW#'!$A:$Z,17,FALSE)+VLOOKUP($A295,A:AL,25,FALSE)-50),"-",(VLOOKUP($A295,'SegEnds_NonXtal_BW#'!$A:$Z,17,FALSE)+VLOOKUP($A295,A:AL,25,FALSE)-50))</f>
        <v>217</v>
      </c>
      <c r="Y295" s="3">
        <v>217</v>
      </c>
      <c r="Z295" s="3">
        <f t="shared" si="197"/>
        <v>219</v>
      </c>
      <c r="AA295" s="3">
        <f>IF(ISERROR(VLOOKUP($A295,'SegEnds_NonXtal_BW#'!$A:$Z,19,FALSE)+VLOOKUP($A295,A:AL,28,FALSE)-50),"-",(VLOOKUP($A295,'SegEnds_NonXtal_BW#'!$A:$Z,19,FALSE)+VLOOKUP($A295,A:AL,28,FALSE)-50))</f>
        <v>227</v>
      </c>
      <c r="AB295" s="3">
        <v>244</v>
      </c>
      <c r="AC295" s="3">
        <f>IF(ISERROR((VLOOKUP($A295,'SegEnds_NonXtal_BW#'!$A:$Z,20,FALSE)+VLOOKUP($A295,A:AL,28,FALSE)-50)),"-",(VLOOKUP($A295,'SegEnds_NonXtal_BW#'!$A:$Z,20,FALSE)+VLOOKUP($A295,A:AL,28,FALSE)-50))</f>
        <v>267</v>
      </c>
      <c r="AD295" s="3">
        <f>IF(ISERROR(VLOOKUP($A295,'SegEnds_NonXtal_BW#'!$A:$Z,21,FALSE)+VLOOKUP($A295,A:AL,31,FALSE)-50),"-",(VLOOKUP($A295,'SegEnds_NonXtal_BW#'!$A:$Z,21,FALSE)+VLOOKUP($A295,A:AL,31,FALSE)-50))</f>
        <v>271</v>
      </c>
      <c r="AE295" s="3">
        <v>299</v>
      </c>
      <c r="AF295" s="3">
        <f>IF(ISERROR((VLOOKUP($A295,'SegEnds_NonXtal_BW#'!$A:$Z,22,FALSE)+VLOOKUP($A295,A:AL,31,FALSE)-50)),"-",(VLOOKUP($A295,'SegEnds_NonXtal_BW#'!$A:$Z,22,FALSE)+VLOOKUP($A295,A:AL,31,FALSE)-50))</f>
        <v>310</v>
      </c>
      <c r="AG295" s="3">
        <f>IF(ISERROR(VLOOKUP($A295,'SegEnds_NonXtal_BW#'!$A:$Z,23,FALSE)+VLOOKUP($A295,A:AL,34,FALSE)-50),"-",(VLOOKUP($A295,'SegEnds_NonXtal_BW#'!$A:$Z,23,FALSE)+VLOOKUP($A295,A:AL,34,FALSE)-50))</f>
        <v>317</v>
      </c>
      <c r="AH295" s="3">
        <v>339</v>
      </c>
      <c r="AI295" s="3">
        <f>IF(ISERROR((VLOOKUP($A295,'SegEnds_NonXtal_BW#'!$A:$Z,24,FALSE)+VLOOKUP($A295,A:AL,34,FALSE)-50)),"-",(VLOOKUP($A295,'SegEnds_NonXtal_BW#'!$A:$Z,24,FALSE)+VLOOKUP($A295,A:AL,34,FALSE)-50))</f>
        <v>345</v>
      </c>
      <c r="AJ295" s="3">
        <v>347</v>
      </c>
      <c r="AK295" s="3">
        <v>350</v>
      </c>
      <c r="AL295" s="3">
        <v>358</v>
      </c>
      <c r="AM295" s="28" t="str">
        <f>VLOOKUP(A295,Classification!A:B,2,FALSE)</f>
        <v>A</v>
      </c>
      <c r="AN295" s="28" t="b">
        <f t="shared" si="188"/>
        <v>1</v>
      </c>
      <c r="AO295" s="3" t="str">
        <f>IF(ISERROR(MATCH(A295,'SegEnds_Xtal_Prot#'!B:B, 0)), "NoXtal", "Xtal")</f>
        <v>NoXtal</v>
      </c>
      <c r="AP295" s="3">
        <f t="shared" si="173"/>
        <v>1</v>
      </c>
      <c r="AQ295" s="3">
        <f t="shared" si="174"/>
        <v>1</v>
      </c>
      <c r="AR295" s="3">
        <f t="shared" si="175"/>
        <v>3</v>
      </c>
      <c r="AS295" s="3">
        <f t="shared" si="176"/>
        <v>1</v>
      </c>
      <c r="AT295" s="3" t="str">
        <f t="shared" si="177"/>
        <v>-</v>
      </c>
      <c r="AU295" s="3" t="str">
        <f t="shared" si="178"/>
        <v>-</v>
      </c>
      <c r="AV295" s="3">
        <f t="shared" si="179"/>
        <v>16</v>
      </c>
      <c r="AW295" s="3">
        <f t="shared" si="180"/>
        <v>8</v>
      </c>
      <c r="AX295" s="3">
        <f t="shared" si="181"/>
        <v>4</v>
      </c>
      <c r="AY295" s="3">
        <f t="shared" si="182"/>
        <v>7</v>
      </c>
      <c r="AZ295" s="3">
        <f t="shared" si="183"/>
        <v>2</v>
      </c>
      <c r="BA295" s="3">
        <f>IF(ISERROR(LEN(VLOOKUP(A295,Seqs!A:E,2,FALSE))-AL295),"-",LEN(VLOOKUP(A295,Seqs!A:E,2,FALSE))-AL295)</f>
        <v>35</v>
      </c>
      <c r="BB295" s="16">
        <f t="shared" si="184"/>
        <v>28</v>
      </c>
      <c r="BC295" s="9" t="str">
        <f t="shared" si="185"/>
        <v>-</v>
      </c>
      <c r="BD295" s="3">
        <f t="shared" si="186"/>
        <v>28</v>
      </c>
      <c r="BE295" s="3">
        <f t="shared" si="187"/>
        <v>55</v>
      </c>
    </row>
    <row r="296" spans="1:59" s="3" customFormat="1" x14ac:dyDescent="0.2">
      <c r="A296" s="3" t="s">
        <v>368</v>
      </c>
      <c r="B296" s="3" t="str">
        <f>LOWER(VLOOKUP(A296,Xtal_Templ!A:B,2,FALSE))</f>
        <v>ox2r_human</v>
      </c>
      <c r="C296" s="3">
        <f>VLOOKUP($A296,'SegEnds_NonXtal_BW#'!$A:$Z,3,FALSE)+D296-50</f>
        <v>52</v>
      </c>
      <c r="D296" s="3">
        <v>71</v>
      </c>
      <c r="E296" s="3">
        <f>IF(ISERROR(VLOOKUP($A296,'SegEnds_NonXtal_BW#'!$A:$Z,4,FALSE)+VLOOKUP($A296,A:AL,4,FALSE)-50),"-",(VLOOKUP($A296,'SegEnds_NonXtal_BW#'!$A:$Z,4,FALSE)+VLOOKUP($A296,A:AL,4,FALSE)-50))</f>
        <v>81</v>
      </c>
      <c r="F296" s="3">
        <f t="shared" si="192"/>
        <v>82</v>
      </c>
      <c r="G296" s="3">
        <v>84</v>
      </c>
      <c r="H296" s="3">
        <f t="shared" si="193"/>
        <v>85</v>
      </c>
      <c r="I296" s="3">
        <f t="shared" si="193"/>
        <v>86</v>
      </c>
      <c r="J296" s="3">
        <v>99</v>
      </c>
      <c r="K296" s="3">
        <f>VLOOKUP($A296,'SegEnds_NonXtal_BW#'!$A:$Z,8,FALSE)+VLOOKUP($A296,A:AL,10,FALSE)-50</f>
        <v>117</v>
      </c>
      <c r="L296" s="3">
        <f t="shared" si="194"/>
        <v>120</v>
      </c>
      <c r="M296" s="3">
        <v>121</v>
      </c>
      <c r="N296" s="3">
        <f t="shared" si="195"/>
        <v>123</v>
      </c>
      <c r="O296" s="3">
        <f t="shared" si="196"/>
        <v>124</v>
      </c>
      <c r="P296" s="3">
        <v>153</v>
      </c>
      <c r="Q296" s="3">
        <f>VLOOKUP($A296,'SegEnds_NonXtal_BW#'!$A:$Z,12,FALSE)+VLOOKUP($A296,A:AL,16,FALSE)-50</f>
        <v>159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166</v>
      </c>
      <c r="V296" s="3">
        <v>178</v>
      </c>
      <c r="W296" s="3">
        <f>IF(ISERROR(VLOOKUP($A296,'SegEnds_NonXtal_BW#'!$A:$Z,16,FALSE)+VLOOKUP($A296,A:AL,22,FALSE)-50),"-",(VLOOKUP($A296,'SegEnds_NonXtal_BW#'!$A:$Z,16,FALSE)+VLOOKUP($A296,A:AL,22,FALSE)-50))</f>
        <v>192</v>
      </c>
      <c r="X296" s="3">
        <f>IF(ISERROR(VLOOKUP($A296,'SegEnds_NonXtal_BW#'!$A:$Z,17,FALSE)+VLOOKUP($A296,A:AL,25,FALSE)-50),"-",(VLOOKUP($A296,'SegEnds_NonXtal_BW#'!$A:$Z,17,FALSE)+VLOOKUP($A296,A:AL,25,FALSE)-50))</f>
        <v>208</v>
      </c>
      <c r="Y296" s="3">
        <v>208</v>
      </c>
      <c r="Z296" s="3">
        <f t="shared" si="197"/>
        <v>210</v>
      </c>
      <c r="AA296" s="3">
        <f>IF(ISERROR(VLOOKUP($A296,'SegEnds_NonXtal_BW#'!$A:$Z,19,FALSE)+VLOOKUP($A296,A:AL,28,FALSE)-50),"-",(VLOOKUP($A296,'SegEnds_NonXtal_BW#'!$A:$Z,19,FALSE)+VLOOKUP($A296,A:AL,28,FALSE)-50))</f>
        <v>218</v>
      </c>
      <c r="AB296" s="3">
        <v>235</v>
      </c>
      <c r="AC296" s="3">
        <f>IF(ISERROR((VLOOKUP($A296,'SegEnds_NonXtal_BW#'!$A:$Z,20,FALSE)+VLOOKUP($A296,A:AL,28,FALSE)-50)),"-",(VLOOKUP($A296,'SegEnds_NonXtal_BW#'!$A:$Z,20,FALSE)+VLOOKUP($A296,A:AL,28,FALSE)-50))</f>
        <v>258</v>
      </c>
      <c r="AD296" s="3">
        <f>IF(ISERROR(VLOOKUP($A296,'SegEnds_NonXtal_BW#'!$A:$Z,21,FALSE)+VLOOKUP($A296,A:AL,31,FALSE)-50),"-",(VLOOKUP($A296,'SegEnds_NonXtal_BW#'!$A:$Z,21,FALSE)+VLOOKUP($A296,A:AL,31,FALSE)-50))</f>
        <v>262</v>
      </c>
      <c r="AE296" s="3">
        <v>290</v>
      </c>
      <c r="AF296" s="3">
        <f>IF(ISERROR((VLOOKUP($A296,'SegEnds_NonXtal_BW#'!$A:$Z,22,FALSE)+VLOOKUP($A296,A:AL,31,FALSE)-50)),"-",(VLOOKUP($A296,'SegEnds_NonXtal_BW#'!$A:$Z,22,FALSE)+VLOOKUP($A296,A:AL,31,FALSE)-50))</f>
        <v>301</v>
      </c>
      <c r="AG296" s="3">
        <f>IF(ISERROR(VLOOKUP($A296,'SegEnds_NonXtal_BW#'!$A:$Z,23,FALSE)+VLOOKUP($A296,A:AL,34,FALSE)-50),"-",(VLOOKUP($A296,'SegEnds_NonXtal_BW#'!$A:$Z,23,FALSE)+VLOOKUP($A296,A:AL,34,FALSE)-50))</f>
        <v>308</v>
      </c>
      <c r="AH296" s="3">
        <v>330</v>
      </c>
      <c r="AI296" s="3">
        <f>IF(ISERROR((VLOOKUP($A296,'SegEnds_NonXtal_BW#'!$A:$Z,24,FALSE)+VLOOKUP($A296,A:AL,34,FALSE)-50)),"-",(VLOOKUP($A296,'SegEnds_NonXtal_BW#'!$A:$Z,24,FALSE)+VLOOKUP($A296,A:AL,34,FALSE)-50))</f>
        <v>336</v>
      </c>
      <c r="AJ296" s="3">
        <v>338</v>
      </c>
      <c r="AK296" s="3">
        <v>341</v>
      </c>
      <c r="AL296" s="3">
        <v>349</v>
      </c>
      <c r="AM296" s="28" t="str">
        <f>VLOOKUP(A296,Classification!A:B,2,FALSE)</f>
        <v>A</v>
      </c>
      <c r="AN296" s="28" t="b">
        <f t="shared" si="188"/>
        <v>1</v>
      </c>
      <c r="AO296" s="3" t="str">
        <f>IF(ISERROR(MATCH(A296,'SegEnds_Xtal_Prot#'!B:B, 0)), "NoXtal", "Xtal")</f>
        <v>NoXtal</v>
      </c>
      <c r="AP296" s="3">
        <f t="shared" si="173"/>
        <v>1</v>
      </c>
      <c r="AQ296" s="3">
        <f t="shared" si="174"/>
        <v>1</v>
      </c>
      <c r="AR296" s="3">
        <f t="shared" si="175"/>
        <v>3</v>
      </c>
      <c r="AS296" s="3">
        <f t="shared" si="176"/>
        <v>1</v>
      </c>
      <c r="AT296" s="3" t="str">
        <f t="shared" si="177"/>
        <v>-</v>
      </c>
      <c r="AU296" s="3" t="str">
        <f t="shared" si="178"/>
        <v>-</v>
      </c>
      <c r="AV296" s="3">
        <f t="shared" si="179"/>
        <v>16</v>
      </c>
      <c r="AW296" s="3">
        <f t="shared" si="180"/>
        <v>8</v>
      </c>
      <c r="AX296" s="3">
        <f t="shared" si="181"/>
        <v>4</v>
      </c>
      <c r="AY296" s="3">
        <f t="shared" si="182"/>
        <v>7</v>
      </c>
      <c r="AZ296" s="3">
        <f t="shared" si="183"/>
        <v>2</v>
      </c>
      <c r="BA296" s="3">
        <f>IF(ISERROR(LEN(VLOOKUP(A296,Seqs!A:E,2,FALSE))-AL296),"-",LEN(VLOOKUP(A296,Seqs!A:E,2,FALSE))-AL296)</f>
        <v>35</v>
      </c>
      <c r="BB296" s="16">
        <f t="shared" si="184"/>
        <v>28</v>
      </c>
      <c r="BC296" s="9" t="str">
        <f t="shared" si="185"/>
        <v>-</v>
      </c>
      <c r="BD296" s="3">
        <f t="shared" si="186"/>
        <v>28</v>
      </c>
      <c r="BE296" s="3">
        <f t="shared" si="187"/>
        <v>55</v>
      </c>
    </row>
    <row r="297" spans="1:59" s="3" customFormat="1" x14ac:dyDescent="0.2">
      <c r="A297" s="3" t="s">
        <v>373</v>
      </c>
      <c r="B297" s="3" t="str">
        <f>LOWER(VLOOKUP(A297,Xtal_Templ!A:B,2,FALSE))</f>
        <v>agtr1_human</v>
      </c>
      <c r="C297" s="3">
        <f>VLOOKUP($A297,'SegEnds_NonXtal_BW#'!$A:$Z,3,FALSE)+D297-50</f>
        <v>77</v>
      </c>
      <c r="D297" s="3">
        <v>99</v>
      </c>
      <c r="E297" s="3">
        <f>IF(ISERROR(VLOOKUP($A297,'SegEnds_NonXtal_BW#'!$A:$Z,4,FALSE)+VLOOKUP($A297,A:AL,4,FALSE)-50),"-",(VLOOKUP($A297,'SegEnds_NonXtal_BW#'!$A:$Z,4,FALSE)+VLOOKUP($A297,A:AL,4,FALSE)-50))</f>
        <v>109</v>
      </c>
      <c r="F297" s="3">
        <f t="shared" si="192"/>
        <v>110</v>
      </c>
      <c r="G297" s="3">
        <v>112</v>
      </c>
      <c r="H297" s="3">
        <f t="shared" si="193"/>
        <v>113</v>
      </c>
      <c r="I297" s="3">
        <f t="shared" si="193"/>
        <v>114</v>
      </c>
      <c r="J297" s="3">
        <v>128</v>
      </c>
      <c r="K297" s="3">
        <f>VLOOKUP($A297,'SegEnds_NonXtal_BW#'!$A:$Z,8,FALSE)+VLOOKUP($A297,A:AL,10,FALSE)-50</f>
        <v>144</v>
      </c>
      <c r="L297" s="3">
        <f t="shared" si="194"/>
        <v>147</v>
      </c>
      <c r="M297" s="3">
        <v>148</v>
      </c>
      <c r="N297" s="3">
        <f t="shared" si="195"/>
        <v>150</v>
      </c>
      <c r="O297" s="3">
        <f t="shared" si="196"/>
        <v>151</v>
      </c>
      <c r="P297" s="3">
        <v>180</v>
      </c>
      <c r="Q297" s="3">
        <f>VLOOKUP($A297,'SegEnds_NonXtal_BW#'!$A:$Z,12,FALSE)+VLOOKUP($A297,A:AL,16,FALSE)-50</f>
        <v>186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210</v>
      </c>
      <c r="V297" s="3">
        <v>222</v>
      </c>
      <c r="W297" s="3">
        <f>IF(ISERROR(VLOOKUP($A297,'SegEnds_NonXtal_BW#'!$A:$Z,16,FALSE)+VLOOKUP($A297,A:AL,22,FALSE)-50),"-",(VLOOKUP($A297,'SegEnds_NonXtal_BW#'!$A:$Z,16,FALSE)+VLOOKUP($A297,A:AL,22,FALSE)-50))</f>
        <v>236</v>
      </c>
      <c r="X297" s="3">
        <f>IF(ISERROR(VLOOKUP($A297,'SegEnds_NonXtal_BW#'!$A:$Z,17,FALSE)+VLOOKUP($A297,A:AL,25,FALSE)-50),"-",(VLOOKUP($A297,'SegEnds_NonXtal_BW#'!$A:$Z,17,FALSE)+VLOOKUP($A297,A:AL,25,FALSE)-50))</f>
        <v>247</v>
      </c>
      <c r="Y297" s="3">
        <v>247</v>
      </c>
      <c r="Z297" s="3">
        <f t="shared" si="197"/>
        <v>249</v>
      </c>
      <c r="AA297" s="3">
        <f>IF(ISERROR(VLOOKUP($A297,'SegEnds_NonXtal_BW#'!$A:$Z,19,FALSE)+VLOOKUP($A297,A:AL,28,FALSE)-50),"-",(VLOOKUP($A297,'SegEnds_NonXtal_BW#'!$A:$Z,19,FALSE)+VLOOKUP($A297,A:AL,28,FALSE)-50))</f>
        <v>263</v>
      </c>
      <c r="AB297" s="3">
        <v>279</v>
      </c>
      <c r="AC297" s="3">
        <f>IF(ISERROR((VLOOKUP($A297,'SegEnds_NonXtal_BW#'!$A:$Z,20,FALSE)+VLOOKUP($A297,A:AL,28,FALSE)-50)),"-",(VLOOKUP($A297,'SegEnds_NonXtal_BW#'!$A:$Z,20,FALSE)+VLOOKUP($A297,A:AL,28,FALSE)-50))</f>
        <v>303</v>
      </c>
      <c r="AD297" s="3">
        <f>IF(ISERROR(VLOOKUP($A297,'SegEnds_NonXtal_BW#'!$A:$Z,21,FALSE)+VLOOKUP($A297,A:AL,31,FALSE)-50),"-",(VLOOKUP($A297,'SegEnds_NonXtal_BW#'!$A:$Z,21,FALSE)+VLOOKUP($A297,A:AL,31,FALSE)-50))</f>
        <v>312</v>
      </c>
      <c r="AE297" s="3">
        <v>341</v>
      </c>
      <c r="AF297" s="3">
        <f>IF(ISERROR((VLOOKUP($A297,'SegEnds_NonXtal_BW#'!$A:$Z,22,FALSE)+VLOOKUP($A297,A:AL,31,FALSE)-50)),"-",(VLOOKUP($A297,'SegEnds_NonXtal_BW#'!$A:$Z,22,FALSE)+VLOOKUP($A297,A:AL,31,FALSE)-50))</f>
        <v>355</v>
      </c>
      <c r="AG297" s="3">
        <f>IF(ISERROR(VLOOKUP($A297,'SegEnds_NonXtal_BW#'!$A:$Z,23,FALSE)+VLOOKUP($A297,A:AL,34,FALSE)-50),"-",(VLOOKUP($A297,'SegEnds_NonXtal_BW#'!$A:$Z,23,FALSE)+VLOOKUP($A297,A:AL,34,FALSE)-50))</f>
        <v>360</v>
      </c>
      <c r="AH297" s="3">
        <v>386</v>
      </c>
      <c r="AI297" s="3">
        <f>IF(ISERROR((VLOOKUP($A297,'SegEnds_NonXtal_BW#'!$A:$Z,24,FALSE)+VLOOKUP($A297,A:AL,34,FALSE)-50)),"-",(VLOOKUP($A297,'SegEnds_NonXtal_BW#'!$A:$Z,24,FALSE)+VLOOKUP($A297,A:AL,34,FALSE)-50))</f>
        <v>392</v>
      </c>
      <c r="AJ297" s="3">
        <f>IF(ISERROR(VLOOKUP($A297,'SegEnds_NonXtal_BW#'!$A:$Z,25,FALSE)+VLOOKUP($A297,A:AL,37,FALSE)-50),"-",(VLOOKUP($A297,'SegEnds_NonXtal_BW#'!$A:$Z,25,FALSE)+VLOOKUP($A297,A:AL,37,FALSE)-50))</f>
        <v>393</v>
      </c>
      <c r="AK297" s="3">
        <v>396</v>
      </c>
      <c r="AL297" s="3">
        <f>IF(ISERROR((VLOOKUP($A297,'SegEnds_NonXtal_BW#'!$A:$Z,26,FALSE)+VLOOKUP($A297,A:AL,37,FALSE)-50)),"-",(VLOOKUP($A297,'SegEnds_NonXtal_BW#'!$A:$Z,26,FALSE)+VLOOKUP($A297,A:AL,37,FALSE)-50))</f>
        <v>407</v>
      </c>
      <c r="AM297" s="28" t="str">
        <f>VLOOKUP(A297,Classification!A:B,2,FALSE)</f>
        <v>A</v>
      </c>
      <c r="AN297" s="28" t="b">
        <f t="shared" si="188"/>
        <v>1</v>
      </c>
      <c r="AO297" s="3" t="str">
        <f>IF(ISERROR(MATCH(A297,'SegEnds_Xtal_Prot#'!B:B, 0)), "NoXtal", "Xtal")</f>
        <v>NoXtal</v>
      </c>
      <c r="AP297" s="3">
        <f t="shared" si="173"/>
        <v>1</v>
      </c>
      <c r="AQ297" s="3">
        <f t="shared" si="174"/>
        <v>1</v>
      </c>
      <c r="AR297" s="3">
        <f t="shared" si="175"/>
        <v>3</v>
      </c>
      <c r="AS297" s="3">
        <f t="shared" si="176"/>
        <v>1</v>
      </c>
      <c r="AT297" s="3" t="str">
        <f t="shared" si="177"/>
        <v>-</v>
      </c>
      <c r="AU297" s="3" t="str">
        <f t="shared" si="178"/>
        <v>-</v>
      </c>
      <c r="AV297" s="3">
        <f t="shared" si="179"/>
        <v>11</v>
      </c>
      <c r="AW297" s="3">
        <f t="shared" si="180"/>
        <v>14</v>
      </c>
      <c r="AX297" s="3">
        <f t="shared" si="181"/>
        <v>9</v>
      </c>
      <c r="AY297" s="3">
        <f t="shared" si="182"/>
        <v>5</v>
      </c>
      <c r="AZ297" s="3">
        <f t="shared" si="183"/>
        <v>1</v>
      </c>
      <c r="BA297" s="3">
        <f>IF(ISERROR(LEN(VLOOKUP(A297,Seqs!A:E,2,FALSE))-AL297),"-",LEN(VLOOKUP(A297,Seqs!A:E,2,FALSE))-AL297)</f>
        <v>62</v>
      </c>
      <c r="BB297" s="16">
        <f t="shared" si="184"/>
        <v>29</v>
      </c>
      <c r="BC297" s="9" t="str">
        <f t="shared" si="185"/>
        <v>-</v>
      </c>
      <c r="BD297" s="3">
        <f t="shared" si="186"/>
        <v>29</v>
      </c>
      <c r="BE297" s="3">
        <f t="shared" si="187"/>
        <v>62</v>
      </c>
    </row>
    <row r="298" spans="1:59" s="3" customFormat="1" x14ac:dyDescent="0.2">
      <c r="A298" s="3" t="s">
        <v>923</v>
      </c>
      <c r="B298" s="3" t="str">
        <f>LOWER(VLOOKUP(A298,Xtal_Templ!A:B,2,FALSE))</f>
        <v>us28_hcmva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92"/>
        <v>62</v>
      </c>
      <c r="G298" s="3">
        <v>64</v>
      </c>
      <c r="H298" s="3">
        <f t="shared" ref="H298:I315" si="198">G298+1</f>
        <v>65</v>
      </c>
      <c r="I298" s="3">
        <f t="shared" si="198"/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 t="shared" si="197"/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 t="shared" si="188"/>
        <v>1</v>
      </c>
      <c r="AO298" s="3" t="str">
        <f>IF(ISERROR(MATCH(A298,'SegEnds_Xtal_Prot#'!B:B, 0)), "NoXtal", "Xtal")</f>
        <v>Xtal</v>
      </c>
      <c r="AP298" s="3">
        <f t="shared" si="173"/>
        <v>1</v>
      </c>
      <c r="AQ298" s="3">
        <f t="shared" si="174"/>
        <v>1</v>
      </c>
      <c r="AR298" s="3" t="str">
        <f t="shared" si="175"/>
        <v>-</v>
      </c>
      <c r="AS298" s="3" t="str">
        <f t="shared" si="176"/>
        <v>-</v>
      </c>
      <c r="AT298" s="3" t="str">
        <f t="shared" si="177"/>
        <v>-</v>
      </c>
      <c r="AU298" s="3" t="str">
        <f t="shared" si="178"/>
        <v>-</v>
      </c>
      <c r="AV298" s="3">
        <f t="shared" si="179"/>
        <v>9</v>
      </c>
      <c r="AW298" s="3">
        <f t="shared" si="180"/>
        <v>8</v>
      </c>
      <c r="AX298" s="3">
        <f t="shared" si="181"/>
        <v>4</v>
      </c>
      <c r="AY298" s="3">
        <f t="shared" si="182"/>
        <v>5</v>
      </c>
      <c r="AZ298" s="3">
        <f t="shared" si="183"/>
        <v>1</v>
      </c>
      <c r="BA298" s="3">
        <f>IF(ISERROR(LEN(VLOOKUP(A298,Seqs!A:E,2,FALSE))-AL298),"-",LEN(VLOOKUP(A298,Seqs!A:E,2,FALSE))-AL298)</f>
        <v>44</v>
      </c>
      <c r="BB298" s="16">
        <f t="shared" si="184"/>
        <v>28</v>
      </c>
      <c r="BC298" s="9" t="str">
        <f t="shared" si="185"/>
        <v>-</v>
      </c>
      <c r="BD298" s="3">
        <f t="shared" si="186"/>
        <v>28</v>
      </c>
      <c r="BE298" s="3">
        <f t="shared" si="187"/>
        <v>43</v>
      </c>
    </row>
    <row r="299" spans="1:59" s="3" customFormat="1" x14ac:dyDescent="0.2">
      <c r="A299" s="3" t="s">
        <v>1507</v>
      </c>
      <c r="B299" s="3" t="str">
        <f>LOWER(VLOOKUP(A299,Xtal_Templ!A:B,2,FALSE))</f>
        <v>q80km9_hcmv</v>
      </c>
      <c r="C299" s="3">
        <f>VLOOKUP($A299,'SegEnds_NonXtal_BW#'!$A:$Z,3,FALSE)+D299-50</f>
        <v>25</v>
      </c>
      <c r="D299" s="3">
        <v>51</v>
      </c>
      <c r="E299" s="3">
        <f>IF(ISERROR(VLOOKUP($A299,'SegEnds_NonXtal_BW#'!$A:$Z,4,FALSE)+VLOOKUP($A299,A:AL,4,FALSE)-50),"-",(VLOOKUP($A299,'SegEnds_NonXtal_BW#'!$A:$Z,4,FALSE)+VLOOKUP($A299,A:AL,4,FALSE)-50))</f>
        <v>61</v>
      </c>
      <c r="F299" s="3">
        <f t="shared" si="192"/>
        <v>62</v>
      </c>
      <c r="G299" s="3">
        <v>64</v>
      </c>
      <c r="H299" s="3">
        <f>G299+1</f>
        <v>65</v>
      </c>
      <c r="I299" s="3">
        <f>H299+1</f>
        <v>66</v>
      </c>
      <c r="J299" s="3">
        <v>79</v>
      </c>
      <c r="K299" s="3">
        <f>VLOOKUP($A299,'SegEnds_NonXtal_BW#'!$A:$Z,8,FALSE)+VLOOKUP($A299,A:AL,10,FALSE)-50</f>
        <v>95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100</v>
      </c>
      <c r="P299" s="3">
        <v>129</v>
      </c>
      <c r="Q299" s="3">
        <f>VLOOKUP($A299,'SegEnds_NonXtal_BW#'!$A:$Z,12,FALSE)+VLOOKUP($A299,A:AL,16,FALSE)-50</f>
        <v>134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140</v>
      </c>
      <c r="V299" s="3">
        <v>152</v>
      </c>
      <c r="W299" s="3">
        <f>IF(ISERROR(VLOOKUP($A299,'SegEnds_NonXtal_BW#'!$A:$Z,16,FALSE)+VLOOKUP($A299,A:AL,22,FALSE)-50),"-",(VLOOKUP($A299,'SegEnds_NonXtal_BW#'!$A:$Z,16,FALSE)+VLOOKUP($A299,A:AL,22,FALSE)-50))</f>
        <v>164</v>
      </c>
      <c r="X299" s="3">
        <f>IF(ISERROR(VLOOKUP($A299,'SegEnds_NonXtal_BW#'!$A:$Z,17,FALSE)+VLOOKUP($A299,A:AL,25,FALSE)-50),"-",(VLOOKUP($A299,'SegEnds_NonXtal_BW#'!$A:$Z,17,FALSE)+VLOOKUP($A299,A:AL,25,FALSE)-50))</f>
        <v>173</v>
      </c>
      <c r="Y299" s="3">
        <v>173</v>
      </c>
      <c r="Z299" s="3">
        <f>Y299+2</f>
        <v>175</v>
      </c>
      <c r="AA299" s="3">
        <f>IF(ISERROR(VLOOKUP($A299,'SegEnds_NonXtal_BW#'!$A:$Z,19,FALSE)+VLOOKUP($A299,A:AL,28,FALSE)-50),"-",(VLOOKUP($A299,'SegEnds_NonXtal_BW#'!$A:$Z,19,FALSE)+VLOOKUP($A299,A:AL,28,FALSE)-50))</f>
        <v>183</v>
      </c>
      <c r="AB299" s="3">
        <v>200</v>
      </c>
      <c r="AC299" s="3">
        <f>IF(ISERROR((VLOOKUP($A299,'SegEnds_NonXtal_BW#'!$A:$Z,20,FALSE)+VLOOKUP($A299,A:AL,28,FALSE)-50)),"-",(VLOOKUP($A299,'SegEnds_NonXtal_BW#'!$A:$Z,20,FALSE)+VLOOKUP($A299,A:AL,28,FALSE)-50))</f>
        <v>218</v>
      </c>
      <c r="AD299" s="3">
        <f>IF(ISERROR(VLOOKUP($A299,'SegEnds_NonXtal_BW#'!$A:$Z,21,FALSE)+VLOOKUP($A299,A:AL,31,FALSE)-50),"-",(VLOOKUP($A299,'SegEnds_NonXtal_BW#'!$A:$Z,21,FALSE)+VLOOKUP($A299,A:AL,31,FALSE)-50))</f>
        <v>222</v>
      </c>
      <c r="AE299" s="3">
        <v>243</v>
      </c>
      <c r="AF299" s="3">
        <f>IF(ISERROR((VLOOKUP($A299,'SegEnds_NonXtal_BW#'!$A:$Z,22,FALSE)+VLOOKUP($A299,A:AL,31,FALSE)-50)),"-",(VLOOKUP($A299,'SegEnds_NonXtal_BW#'!$A:$Z,22,FALSE)+VLOOKUP($A299,A:AL,31,FALSE)-50))</f>
        <v>257</v>
      </c>
      <c r="AG299" s="3">
        <f>IF(ISERROR(VLOOKUP($A299,'SegEnds_NonXtal_BW#'!$A:$Z,23,FALSE)+VLOOKUP($A299,A:AL,34,FALSE)-50),"-",(VLOOKUP($A299,'SegEnds_NonXtal_BW#'!$A:$Z,23,FALSE)+VLOOKUP($A299,A:AL,34,FALSE)-50))</f>
        <v>262</v>
      </c>
      <c r="AH299" s="3">
        <v>288</v>
      </c>
      <c r="AI299" s="3">
        <f>IF(ISERROR((VLOOKUP($A299,'SegEnds_NonXtal_BW#'!$A:$Z,24,FALSE)+VLOOKUP($A299,A:AL,34,FALSE)-50)),"-",(VLOOKUP($A299,'SegEnds_NonXtal_BW#'!$A:$Z,24,FALSE)+VLOOKUP($A299,A:AL,34,FALSE)-50))</f>
        <v>294</v>
      </c>
      <c r="AJ299" s="3">
        <f>IF(ISERROR(VLOOKUP($A299,'SegEnds_NonXtal_BW#'!$A:$Z,25,FALSE)+VLOOKUP($A299,A:AL,37,FALSE)-50),"-",(VLOOKUP($A299,'SegEnds_NonXtal_BW#'!$A:$Z,25,FALSE)+VLOOKUP($A299,A:AL,37,FALSE)-50))</f>
        <v>295</v>
      </c>
      <c r="AK299" s="3">
        <v>298</v>
      </c>
      <c r="AL299" s="3">
        <f>IF(ISERROR((VLOOKUP($A299,'SegEnds_NonXtal_BW#'!$A:$Z,26,FALSE)+VLOOKUP($A299,A:AL,37,FALSE)-50)),"-",(VLOOKUP($A299,'SegEnds_NonXtal_BW#'!$A:$Z,26,FALSE)+VLOOKUP($A299,A:AL,37,FALSE)-50))</f>
        <v>310</v>
      </c>
      <c r="AM299" s="28" t="str">
        <f>VLOOKUP(A299,Classification!A:B,2,FALSE)</f>
        <v>A</v>
      </c>
      <c r="AN299" s="28" t="b">
        <f>AND(IF(Y299="-",IF(AA299-W299&gt;3,TRUE,FALSE),TRUE),IF(M299="-",IF(O299-K299&gt;3,TRUE,FALSE),TRUE),IF(AG299-AF299&gt;1,TRUE,FALSE),C299&lt;E299,OR(E299&lt;F299,F299="-"),OR(F299&lt;H299,F299="-"),OR(H299&lt;I299,H299="-"),I299&lt;K299,OR(K299&lt;L299,L299="-"),OR(L299&lt;N299,L299="-"),OR(N299&lt;O299,N299="-"),O299&lt;Q299,OR(Q299&lt;R299,R299="-"),OR(R299&lt;T299,R299="-"),OR(T299&lt;U299,T299="-"),U299&lt;W299,OR(W299&lt;X299,X299="-"),OR(X299&lt;Z299,X299="-"),OR(Z299&lt;AA299,Z299="-"),AA299&lt;AC299,AC299&lt;AD299,AD299&lt;AF299,AF299&lt;AG299,AG299&lt;AI299,OR(AI299&lt;AJ299,AJ299="-"),OR(AJ299&lt;AL299,AJ299="-"))</f>
        <v>1</v>
      </c>
      <c r="AO299" s="3" t="str">
        <f>IF(ISERROR(MATCH(A299,'SegEnds_Xtal_Prot#'!B:B, 0)), "NoXtal", "Xtal")</f>
        <v>Xtal</v>
      </c>
      <c r="AP299" s="3">
        <f>IF(ISERROR(F299-E299),"-",F299-E299)</f>
        <v>1</v>
      </c>
      <c r="AQ299" s="3">
        <f>IF(ISERROR(I299-H299),"-",I299-H299)</f>
        <v>1</v>
      </c>
      <c r="AR299" s="3" t="str">
        <f>IF(ISERROR(L299-K299),"-",L299-K299)</f>
        <v>-</v>
      </c>
      <c r="AS299" s="3" t="str">
        <f>IF(ISERROR(O299-N299),"-",O299-N299)</f>
        <v>-</v>
      </c>
      <c r="AT299" s="3" t="str">
        <f>IF(ISERROR(R299-Q299),"-",R299-Q299)</f>
        <v>-</v>
      </c>
      <c r="AU299" s="3" t="str">
        <f>IF(ISERROR(U299-T299),"-",U299-T299)</f>
        <v>-</v>
      </c>
      <c r="AV299" s="3">
        <f>IF(ISERROR(X299-W299),"-",X299-W299)</f>
        <v>9</v>
      </c>
      <c r="AW299" s="3">
        <f>IF(ISERROR(AA299-Z299),"-",AA299-Z299)</f>
        <v>8</v>
      </c>
      <c r="AX299" s="3">
        <f>IF(ISERROR(AD299-AC299),"-",AD299-AC299)</f>
        <v>4</v>
      </c>
      <c r="AY299" s="3">
        <f>IF(ISERROR(AG299-AF299),"-",AG299-AF299)</f>
        <v>5</v>
      </c>
      <c r="AZ299" s="3">
        <f>IF(ISERROR(AJ299-AI299),"-",AJ299-AI299)</f>
        <v>1</v>
      </c>
      <c r="BA299" s="3">
        <f>IF(ISERROR(LEN(VLOOKUP(A299,Seqs!A:E,2,FALSE))-AL299),"-",LEN(VLOOKUP(A299,Seqs!A:E,2,FALSE))-AL299)</f>
        <v>44</v>
      </c>
      <c r="BB299" s="16">
        <f>J299-D299</f>
        <v>28</v>
      </c>
      <c r="BC299" s="9" t="str">
        <f>IF(ISERROR(V299-S299),"-",V299-S299)</f>
        <v>-</v>
      </c>
      <c r="BD299" s="3">
        <f>J299-D299</f>
        <v>28</v>
      </c>
      <c r="BE299" s="3">
        <f>AE299-AB299</f>
        <v>43</v>
      </c>
    </row>
    <row r="300" spans="1:59" s="3" customFormat="1" x14ac:dyDescent="0.2">
      <c r="A300" s="3" t="s">
        <v>401</v>
      </c>
      <c r="B300" s="3" t="str">
        <f>LOWER(VLOOKUP(A300,Xtal_Templ!A:B,2,FALSE))</f>
        <v>calcr_human</v>
      </c>
      <c r="C300" s="3">
        <f>VLOOKUP($A300,'SegEnds_NonXtal_BW#'!$A:$Z,3,FALSE)+D300-50</f>
        <v>132</v>
      </c>
      <c r="D300" s="3">
        <v>163</v>
      </c>
      <c r="E300" s="3">
        <f>IF(ISERROR(VLOOKUP($A300,'SegEnds_NonXtal_BW#'!$A:$Z,4,FALSE)+VLOOKUP($A300,A:AL,4,FALSE)-50),"-",(VLOOKUP($A300,'SegEnds_NonXtal_BW#'!$A:$Z,4,FALSE)+VLOOKUP($A300,A:AL,4,FALSE)-50))</f>
        <v>173</v>
      </c>
      <c r="F300" s="3">
        <f t="shared" si="192"/>
        <v>174</v>
      </c>
      <c r="G300" s="3">
        <v>176</v>
      </c>
      <c r="H300" s="3">
        <f t="shared" si="198"/>
        <v>177</v>
      </c>
      <c r="I300" s="3">
        <f t="shared" si="198"/>
        <v>178</v>
      </c>
      <c r="J300" s="3">
        <v>191</v>
      </c>
      <c r="K300" s="3">
        <f>VLOOKUP($A300,'SegEnds_NonXtal_BW#'!$A:$Z,8,FALSE)+VLOOKUP($A300,A:AL,10,FALSE)-50</f>
        <v>205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217</v>
      </c>
      <c r="P300" s="3">
        <v>244</v>
      </c>
      <c r="Q300" s="3">
        <f>VLOOKUP($A300,'SegEnds_NonXtal_BW#'!$A:$Z,12,FALSE)+VLOOKUP($A300,A:AL,16,FALSE)-50</f>
        <v>250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258</v>
      </c>
      <c r="V300" s="3">
        <v>267</v>
      </c>
      <c r="W300" s="3">
        <f>IF(ISERROR(VLOOKUP($A300,'SegEnds_NonXtal_BW#'!$A:$Z,16,FALSE)+VLOOKUP($A300,A:AL,22,FALSE)-50),"-",(VLOOKUP($A300,'SegEnds_NonXtal_BW#'!$A:$Z,16,FALSE)+VLOOKUP($A300,A:AL,22,FALSE)-50))</f>
        <v>285</v>
      </c>
      <c r="X300" s="3">
        <f>IF(ISERROR(VLOOKUP($A300,'SegEnds_NonXtal_BW#'!$A:$Z,17,FALSE)+VLOOKUP($A300,A:AL,25,FALSE)-50),"-",(VLOOKUP($A300,'SegEnds_NonXtal_BW#'!$A:$Z,17,FALSE)+VLOOKUP($A300,A:AL,25,FALSE)-50))</f>
        <v>289</v>
      </c>
      <c r="Y300" s="3">
        <v>289</v>
      </c>
      <c r="Z300" s="3">
        <f t="shared" si="197"/>
        <v>291</v>
      </c>
      <c r="AA300" s="3">
        <f>IF(ISERROR(VLOOKUP($A300,'SegEnds_NonXtal_BW#'!$A:$Z,19,FALSE)+VLOOKUP($A300,A:AL,28,FALSE)-50),"-",(VLOOKUP($A300,'SegEnds_NonXtal_BW#'!$A:$Z,19,FALSE)+VLOOKUP($A300,A:AL,28,FALSE)-50))</f>
        <v>298</v>
      </c>
      <c r="AB300" s="3">
        <v>308</v>
      </c>
      <c r="AC300" s="3">
        <f>IF(ISERROR((VLOOKUP($A300,'SegEnds_NonXtal_BW#'!$A:$Z,20,FALSE)+VLOOKUP($A300,A:AL,28,FALSE)-50)),"-",(VLOOKUP($A300,'SegEnds_NonXtal_BW#'!$A:$Z,20,FALSE)+VLOOKUP($A300,A:AL,28,FALSE)-50))</f>
        <v>328</v>
      </c>
      <c r="AD300" s="3">
        <f>IF(ISERROR(VLOOKUP($A300,'SegEnds_NonXtal_BW#'!$A:$Z,21,FALSE)+VLOOKUP($A300,A:AL,31,FALSE)-50),"-",(VLOOKUP($A300,'SegEnds_NonXtal_BW#'!$A:$Z,21,FALSE)+VLOOKUP($A300,A:AL,31,FALSE)-50))</f>
        <v>338</v>
      </c>
      <c r="AE300" s="3">
        <v>358</v>
      </c>
      <c r="AF300" s="3">
        <f>IF(ISERROR((VLOOKUP($A300,'SegEnds_NonXtal_BW#'!$A:$Z,22,FALSE)+VLOOKUP($A300,A:AL,31,FALSE)-50)),"-",(VLOOKUP($A300,'SegEnds_NonXtal_BW#'!$A:$Z,22,FALSE)+VLOOKUP($A300,A:AL,31,FALSE)-50))</f>
        <v>361</v>
      </c>
      <c r="AG300" s="3">
        <f>IF(ISERROR(VLOOKUP($A300,'SegEnds_NonXtal_BW#'!$A:$Z,23,FALSE)+VLOOKUP($A300,A:AL,34,FALSE)-50),"-",(VLOOKUP($A300,'SegEnds_NonXtal_BW#'!$A:$Z,23,FALSE)+VLOOKUP($A300,A:AL,34,FALSE)-50))</f>
        <v>366</v>
      </c>
      <c r="AH300" s="3">
        <v>388</v>
      </c>
      <c r="AI300" s="3">
        <f>IF(ISERROR((VLOOKUP($A300,'SegEnds_NonXtal_BW#'!$A:$Z,24,FALSE)+VLOOKUP($A300,A:AL,34,FALSE)-50)),"-",(VLOOKUP($A300,'SegEnds_NonXtal_BW#'!$A:$Z,24,FALSE)+VLOOKUP($A300,A:AL,34,FALSE)-50))</f>
        <v>394</v>
      </c>
      <c r="AJ300" s="3">
        <f>IF(ISERROR(VLOOKUP($A300,'SegEnds_NonXtal_BW#'!$A:$Z,25,FALSE)+VLOOKUP($A300,A:AL,37,FALSE)-50),"-",(VLOOKUP($A300,'SegEnds_NonXtal_BW#'!$A:$Z,25,FALSE)+VLOOKUP($A300,A:AL,37,FALSE)-50))</f>
        <v>395</v>
      </c>
      <c r="AK300" s="3">
        <v>398</v>
      </c>
      <c r="AL300" s="3">
        <f>IF(ISERROR((VLOOKUP($A300,'SegEnds_NonXtal_BW#'!$A:$Z,26,FALSE)+VLOOKUP($A300,A:AL,37,FALSE)-50)),"-",(VLOOKUP($A300,'SegEnds_NonXtal_BW#'!$A:$Z,26,FALSE)+VLOOKUP($A300,A:AL,37,FALSE)-50))</f>
        <v>420</v>
      </c>
      <c r="AM300" s="28" t="str">
        <f>VLOOKUP(A300,Classification!A:B,2,FALSE)</f>
        <v>B1</v>
      </c>
      <c r="AN300" s="28" t="b">
        <f t="shared" si="188"/>
        <v>1</v>
      </c>
      <c r="AO300" s="3" t="str">
        <f>IF(ISERROR(MATCH(A300,'SegEnds_Xtal_Prot#'!B:B, 0)), "NoXtal", "Xtal")</f>
        <v>Xtal</v>
      </c>
      <c r="AP300" s="3">
        <f t="shared" si="173"/>
        <v>1</v>
      </c>
      <c r="AQ300" s="3">
        <f t="shared" si="174"/>
        <v>1</v>
      </c>
      <c r="AR300" s="3" t="str">
        <f t="shared" si="175"/>
        <v>-</v>
      </c>
      <c r="AS300" s="3" t="str">
        <f t="shared" si="176"/>
        <v>-</v>
      </c>
      <c r="AT300" s="3" t="str">
        <f t="shared" si="177"/>
        <v>-</v>
      </c>
      <c r="AU300" s="3" t="str">
        <f t="shared" si="178"/>
        <v>-</v>
      </c>
      <c r="AV300" s="3">
        <f t="shared" si="179"/>
        <v>4</v>
      </c>
      <c r="AW300" s="3">
        <f t="shared" si="180"/>
        <v>7</v>
      </c>
      <c r="AX300" s="3">
        <f t="shared" si="181"/>
        <v>10</v>
      </c>
      <c r="AY300" s="3">
        <f t="shared" si="182"/>
        <v>5</v>
      </c>
      <c r="AZ300" s="3">
        <f t="shared" si="183"/>
        <v>1</v>
      </c>
      <c r="BA300" s="3">
        <f>IF(ISERROR(LEN(VLOOKUP(A300,Seqs!A:E,2,FALSE))-AL300),"-",LEN(VLOOKUP(A300,Seqs!A:E,2,FALSE))-AL300)</f>
        <v>54</v>
      </c>
      <c r="BB300" s="16">
        <f t="shared" si="184"/>
        <v>28</v>
      </c>
      <c r="BC300" s="9" t="str">
        <f t="shared" si="185"/>
        <v>-</v>
      </c>
      <c r="BD300" s="3">
        <f t="shared" si="186"/>
        <v>28</v>
      </c>
      <c r="BE300" s="3">
        <f t="shared" si="187"/>
        <v>50</v>
      </c>
    </row>
    <row r="301" spans="1:59" s="3" customFormat="1" ht="17" customHeight="1" x14ac:dyDescent="0.2">
      <c r="A301" s="3" t="s">
        <v>402</v>
      </c>
      <c r="B301" s="3" t="str">
        <f>LOWER(VLOOKUP(A301,Xtal_Templ!A:B,2,FALSE))</f>
        <v>calrl_human</v>
      </c>
      <c r="C301" s="3">
        <f>VLOOKUP($A301,'SegEnds_NonXtal_BW#'!$A:$Z,3,FALSE)+D301-50</f>
        <v>130</v>
      </c>
      <c r="D301" s="3">
        <v>156</v>
      </c>
      <c r="E301" s="3">
        <f>IF(ISERROR(VLOOKUP($A301,'SegEnds_NonXtal_BW#'!$A:$Z,4,FALSE)+VLOOKUP($A301,A:AL,4,FALSE)-50),"-",(VLOOKUP($A301,'SegEnds_NonXtal_BW#'!$A:$Z,4,FALSE)+VLOOKUP($A301,A:AL,4,FALSE)-50))</f>
        <v>166</v>
      </c>
      <c r="F301" s="3">
        <f t="shared" si="192"/>
        <v>167</v>
      </c>
      <c r="G301" s="3">
        <v>169</v>
      </c>
      <c r="H301" s="3">
        <f t="shared" si="198"/>
        <v>170</v>
      </c>
      <c r="I301" s="3">
        <f t="shared" si="198"/>
        <v>171</v>
      </c>
      <c r="J301" s="3">
        <v>184</v>
      </c>
      <c r="K301" s="3">
        <f>VLOOKUP($A301,'SegEnds_NonXtal_BW#'!$A:$Z,8,FALSE)+VLOOKUP($A301,A:AL,10,FALSE)-50</f>
        <v>198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210</v>
      </c>
      <c r="P301" s="3">
        <v>237</v>
      </c>
      <c r="Q301" s="3">
        <f>VLOOKUP($A301,'SegEnds_NonXtal_BW#'!$A:$Z,12,FALSE)+VLOOKUP($A301,A:AL,16,FALSE)-50</f>
        <v>243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251</v>
      </c>
      <c r="V301" s="3">
        <v>260</v>
      </c>
      <c r="W301" s="3">
        <f>IF(ISERROR(VLOOKUP($A301,'SegEnds_NonXtal_BW#'!$A:$Z,16,FALSE)+VLOOKUP($A301,A:AL,22,FALSE)-50),"-",(VLOOKUP($A301,'SegEnds_NonXtal_BW#'!$A:$Z,16,FALSE)+VLOOKUP($A301,A:AL,22,FALSE)-50))</f>
        <v>277</v>
      </c>
      <c r="X301" s="3">
        <f>IF(ISERROR(VLOOKUP($A301,'SegEnds_NonXtal_BW#'!$A:$Z,17,FALSE)+VLOOKUP($A301,A:AL,25,FALSE)-50),"-",(VLOOKUP($A301,'SegEnds_NonXtal_BW#'!$A:$Z,17,FALSE)+VLOOKUP($A301,A:AL,25,FALSE)-50))</f>
        <v>282</v>
      </c>
      <c r="Y301" s="3">
        <v>282</v>
      </c>
      <c r="Z301" s="3">
        <f t="shared" si="197"/>
        <v>284</v>
      </c>
      <c r="AA301" s="3">
        <f>IF(ISERROR(VLOOKUP($A301,'SegEnds_NonXtal_BW#'!$A:$Z,19,FALSE)+VLOOKUP($A301,A:AL,28,FALSE)-50),"-",(VLOOKUP($A301,'SegEnds_NonXtal_BW#'!$A:$Z,19,FALSE)+VLOOKUP($A301,A:AL,28,FALSE)-50))</f>
        <v>290</v>
      </c>
      <c r="AB301" s="3">
        <v>301</v>
      </c>
      <c r="AC301" s="3">
        <f>IF(ISERROR((VLOOKUP($A301,'SegEnds_NonXtal_BW#'!$A:$Z,20,FALSE)+VLOOKUP($A301,A:AL,28,FALSE)-50)),"-",(VLOOKUP($A301,'SegEnds_NonXtal_BW#'!$A:$Z,20,FALSE)+VLOOKUP($A301,A:AL,28,FALSE)-50))</f>
        <v>321</v>
      </c>
      <c r="AD301" s="3">
        <f>IF(ISERROR(VLOOKUP($A301,'SegEnds_NonXtal_BW#'!$A:$Z,21,FALSE)+VLOOKUP($A301,A:AL,31,FALSE)-50),"-",(VLOOKUP($A301,'SegEnds_NonXtal_BW#'!$A:$Z,21,FALSE)+VLOOKUP($A301,A:AL,31,FALSE)-50))</f>
        <v>331</v>
      </c>
      <c r="AE301" s="3">
        <v>351</v>
      </c>
      <c r="AF301" s="3">
        <f>IF(ISERROR((VLOOKUP($A301,'SegEnds_NonXtal_BW#'!$A:$Z,22,FALSE)+VLOOKUP($A301,A:AL,31,FALSE)-50)),"-",(VLOOKUP($A301,'SegEnds_NonXtal_BW#'!$A:$Z,22,FALSE)+VLOOKUP($A301,A:AL,31,FALSE)-50))</f>
        <v>354</v>
      </c>
      <c r="AG301" s="3">
        <f>IF(ISERROR(VLOOKUP($A301,'SegEnds_NonXtal_BW#'!$A:$Z,23,FALSE)+VLOOKUP($A301,A:AL,34,FALSE)-50),"-",(VLOOKUP($A301,'SegEnds_NonXtal_BW#'!$A:$Z,23,FALSE)+VLOOKUP($A301,A:AL,34,FALSE)-50))</f>
        <v>359</v>
      </c>
      <c r="AH301" s="3">
        <v>381</v>
      </c>
      <c r="AI301" s="3">
        <f>IF(ISERROR((VLOOKUP($A301,'SegEnds_NonXtal_BW#'!$A:$Z,24,FALSE)+VLOOKUP($A301,A:AL,34,FALSE)-50)),"-",(VLOOKUP($A301,'SegEnds_NonXtal_BW#'!$A:$Z,24,FALSE)+VLOOKUP($A301,A:AL,34,FALSE)-50))</f>
        <v>387</v>
      </c>
      <c r="AJ301" s="3">
        <f>IF(ISERROR(VLOOKUP($A301,'SegEnds_NonXtal_BW#'!$A:$Z,25,FALSE)+VLOOKUP($A301,A:AL,37,FALSE)-50),"-",(VLOOKUP($A301,'SegEnds_NonXtal_BW#'!$A:$Z,25,FALSE)+VLOOKUP($A301,A:AL,37,FALSE)-50))</f>
        <v>388</v>
      </c>
      <c r="AK301" s="3">
        <v>391</v>
      </c>
      <c r="AL301" s="3">
        <f>IF(ISERROR((VLOOKUP($A301,'SegEnds_NonXtal_BW#'!$A:$Z,26,FALSE)+VLOOKUP($A301,A:AL,37,FALSE)-50)),"-",(VLOOKUP($A301,'SegEnds_NonXtal_BW#'!$A:$Z,26,FALSE)+VLOOKUP($A301,A:AL,37,FALSE)-50))</f>
        <v>413</v>
      </c>
      <c r="AM301" s="28" t="str">
        <f>VLOOKUP(A301,Classification!A:B,2,FALSE)</f>
        <v>B1</v>
      </c>
      <c r="AN301" s="28" t="b">
        <f t="shared" si="188"/>
        <v>1</v>
      </c>
      <c r="AO301" s="3" t="str">
        <f>IF(ISERROR(MATCH(A301,'SegEnds_Xtal_Prot#'!B:B, 0)), "NoXtal", "Xtal")</f>
        <v>Xtal</v>
      </c>
      <c r="AP301" s="3">
        <f t="shared" si="173"/>
        <v>1</v>
      </c>
      <c r="AQ301" s="3">
        <f t="shared" si="174"/>
        <v>1</v>
      </c>
      <c r="AR301" s="3" t="str">
        <f t="shared" si="175"/>
        <v>-</v>
      </c>
      <c r="AS301" s="3" t="str">
        <f t="shared" si="176"/>
        <v>-</v>
      </c>
      <c r="AT301" s="3" t="str">
        <f t="shared" si="177"/>
        <v>-</v>
      </c>
      <c r="AU301" s="3" t="str">
        <f t="shared" si="178"/>
        <v>-</v>
      </c>
      <c r="AV301" s="3">
        <f t="shared" si="179"/>
        <v>5</v>
      </c>
      <c r="AW301" s="3">
        <f t="shared" si="180"/>
        <v>6</v>
      </c>
      <c r="AX301" s="3">
        <f t="shared" si="181"/>
        <v>10</v>
      </c>
      <c r="AY301" s="3">
        <f t="shared" si="182"/>
        <v>5</v>
      </c>
      <c r="AZ301" s="3">
        <f t="shared" si="183"/>
        <v>1</v>
      </c>
      <c r="BA301" s="3">
        <f>IF(ISERROR(LEN(VLOOKUP(A301,Seqs!A:E,2,FALSE))-AL301),"-",LEN(VLOOKUP(A301,Seqs!A:E,2,FALSE))-AL301)</f>
        <v>48</v>
      </c>
      <c r="BB301" s="16">
        <f t="shared" si="184"/>
        <v>28</v>
      </c>
      <c r="BC301" s="9" t="str">
        <f t="shared" si="185"/>
        <v>-</v>
      </c>
      <c r="BD301" s="3">
        <f t="shared" si="186"/>
        <v>28</v>
      </c>
      <c r="BE301" s="3">
        <f t="shared" si="187"/>
        <v>50</v>
      </c>
    </row>
    <row r="302" spans="1:59" s="3" customFormat="1" x14ac:dyDescent="0.2">
      <c r="A302" s="3" t="s">
        <v>38</v>
      </c>
      <c r="B302" s="3" t="str">
        <f>LOWER(VLOOKUP(A302,Xtal_Templ!A:B,2,FALSE))</f>
        <v>crfr1_human</v>
      </c>
      <c r="C302" s="3">
        <f>VLOOKUP($A302,'SegEnds_NonXtal_BW#'!$A:$Z,3,FALSE)+D302-50</f>
        <v>103</v>
      </c>
      <c r="D302" s="3">
        <v>134</v>
      </c>
      <c r="E302" s="3">
        <f>IF(ISERROR(VLOOKUP($A302,'SegEnds_NonXtal_BW#'!$A:$Z,4,FALSE)+VLOOKUP($A302,A:AL,4,FALSE)-50),"-",(VLOOKUP($A302,'SegEnds_NonXtal_BW#'!$A:$Z,4,FALSE)+VLOOKUP($A302,A:AL,4,FALSE)-50))</f>
        <v>144</v>
      </c>
      <c r="F302" s="3">
        <f t="shared" si="192"/>
        <v>145</v>
      </c>
      <c r="G302" s="3">
        <v>147</v>
      </c>
      <c r="H302" s="3">
        <f t="shared" si="198"/>
        <v>148</v>
      </c>
      <c r="I302" s="3">
        <f t="shared" si="198"/>
        <v>149</v>
      </c>
      <c r="J302" s="3">
        <v>162</v>
      </c>
      <c r="K302" s="3">
        <f>VLOOKUP($A302,'SegEnds_NonXtal_BW#'!$A:$Z,8,FALSE)+VLOOKUP($A302,A:AL,10,FALSE)-50</f>
        <v>175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185</v>
      </c>
      <c r="P302" s="3">
        <v>213</v>
      </c>
      <c r="Q302" s="3">
        <f>VLOOKUP($A302,'SegEnds_NonXtal_BW#'!$A:$Z,12,FALSE)+VLOOKUP($A302,A:AL,16,FALSE)-50</f>
        <v>219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226</v>
      </c>
      <c r="V302" s="3">
        <v>236</v>
      </c>
      <c r="W302" s="3">
        <f>IF(ISERROR(VLOOKUP($A302,'SegEnds_NonXtal_BW#'!$A:$Z,16,FALSE)+VLOOKUP($A302,A:AL,22,FALSE)-50),"-",(VLOOKUP($A302,'SegEnds_NonXtal_BW#'!$A:$Z,16,FALSE)+VLOOKUP($A302,A:AL,22,FALSE)-50))</f>
        <v>254</v>
      </c>
      <c r="X302" s="3">
        <f>IF(ISERROR(VLOOKUP($A302,'SegEnds_NonXtal_BW#'!$A:$Z,17,FALSE)+VLOOKUP($A302,A:AL,25,FALSE)-50),"-",(VLOOKUP($A302,'SegEnds_NonXtal_BW#'!$A:$Z,17,FALSE)+VLOOKUP($A302,A:AL,25,FALSE)-50))</f>
        <v>258</v>
      </c>
      <c r="Y302" s="3">
        <v>258</v>
      </c>
      <c r="Z302" s="3">
        <f t="shared" si="197"/>
        <v>260</v>
      </c>
      <c r="AA302" s="3">
        <f>IF(ISERROR(VLOOKUP($A302,'SegEnds_NonXtal_BW#'!$A:$Z,19,FALSE)+AB302-50),"-",(VLOOKUP($A302,'SegEnds_NonXtal_BW#'!$A:$Z,19,FALSE)+AB302-50))</f>
        <v>268</v>
      </c>
      <c r="AB302" s="3">
        <v>279</v>
      </c>
      <c r="AC302" s="3">
        <f>IF(ISERROR((VLOOKUP($A302,'SegEnds_NonXtal_BW#'!$A:$Z,20,FALSE)+VLOOKUP($A302,A:AL,28,FALSE)-50)),"-",(VLOOKUP($A302,'SegEnds_NonXtal_BW#'!$A:$Z,20,FALSE)+VLOOKUP($A302,A:AL,28,FALSE)-50))</f>
        <v>298</v>
      </c>
      <c r="AD302" s="3">
        <f>IF(ISERROR(VLOOKUP($A302,'SegEnds_NonXtal_BW#'!$A:$Z,21,FALSE)+AE302-50),"-",(VLOOKUP($A302,'SegEnds_NonXtal_BW#'!$A:$Z,21,FALSE)+AE302-50))</f>
        <v>304</v>
      </c>
      <c r="AE302" s="3">
        <v>329</v>
      </c>
      <c r="AF302" s="3">
        <f>IF(ISERROR((VLOOKUP($A302,'SegEnds_NonXtal_BW#'!$A:$Z,22,FALSE)+AE302-50)),"-",(VLOOKUP($A302,'SegEnds_NonXtal_BW#'!$A:$Z,22,FALSE)+AE302-50))</f>
        <v>332</v>
      </c>
      <c r="AG302" s="3">
        <f>IF(ISERROR(VLOOKUP($A302,'SegEnds_NonXtal_BW#'!$A:$Z,23,FALSE)+VLOOKUP($A302,A:AL,34,FALSE)-50),"-",(VLOOKUP($A302,'SegEnds_NonXtal_BW#'!$A:$Z,23,FALSE)+VLOOKUP($A302,A:AL,34,FALSE)-50))</f>
        <v>339</v>
      </c>
      <c r="AH302" s="3">
        <v>360</v>
      </c>
      <c r="AI302" s="3">
        <f>IF(ISERROR((VLOOKUP($A302,'SegEnds_NonXtal_BW#'!$A:$Z,24,FALSE)+VLOOKUP($A302,A:AL,34,FALSE)-50)),"-",(VLOOKUP($A302,'SegEnds_NonXtal_BW#'!$A:$Z,24,FALSE)+VLOOKUP($A302,A:AL,34,FALSE)-50))</f>
        <v>366</v>
      </c>
      <c r="AJ302" s="3">
        <f>IF(ISERROR(VLOOKUP($A302,'SegEnds_NonXtal_BW#'!$A:$Z,25,FALSE)+VLOOKUP($A302,A:AL,37,FALSE)-50),"-",(VLOOKUP($A302,'SegEnds_NonXtal_BW#'!$A:$Z,25,FALSE)+VLOOKUP($A302,A:AL,37,FALSE)-50))</f>
        <v>367</v>
      </c>
      <c r="AK302" s="3">
        <v>370</v>
      </c>
      <c r="AL302" s="3">
        <f>IF(ISERROR((VLOOKUP($A302,'SegEnds_NonXtal_BW#'!$A:$Z,26,FALSE)+VLOOKUP($A302,A:AL,37,FALSE)-50)),"-",(VLOOKUP($A302,'SegEnds_NonXtal_BW#'!$A:$Z,26,FALSE)+VLOOKUP($A302,A:AL,37,FALSE)-50))</f>
        <v>392</v>
      </c>
      <c r="AM302" s="28" t="str">
        <f>VLOOKUP(A302,Classification!A:B,2,FALSE)</f>
        <v>B1</v>
      </c>
      <c r="AN302" s="28" t="b">
        <f t="shared" si="188"/>
        <v>1</v>
      </c>
      <c r="AO302" s="3" t="str">
        <f>IF(ISERROR(MATCH(A302,'SegEnds_Xtal_Prot#'!B:B, 0)), "NoXtal", "Xtal")</f>
        <v>Xtal</v>
      </c>
      <c r="AP302" s="3">
        <f t="shared" si="173"/>
        <v>1</v>
      </c>
      <c r="AQ302" s="3">
        <f t="shared" si="174"/>
        <v>1</v>
      </c>
      <c r="AR302" s="3" t="str">
        <f t="shared" si="175"/>
        <v>-</v>
      </c>
      <c r="AS302" s="3" t="str">
        <f t="shared" si="176"/>
        <v>-</v>
      </c>
      <c r="AT302" s="3" t="str">
        <f t="shared" si="177"/>
        <v>-</v>
      </c>
      <c r="AU302" s="3" t="str">
        <f t="shared" si="178"/>
        <v>-</v>
      </c>
      <c r="AV302" s="3">
        <f t="shared" si="179"/>
        <v>4</v>
      </c>
      <c r="AW302" s="3">
        <f t="shared" si="180"/>
        <v>8</v>
      </c>
      <c r="AX302" s="3">
        <f t="shared" si="181"/>
        <v>6</v>
      </c>
      <c r="AY302" s="3">
        <f t="shared" si="182"/>
        <v>7</v>
      </c>
      <c r="AZ302" s="3">
        <f t="shared" si="183"/>
        <v>1</v>
      </c>
      <c r="BA302" s="3">
        <f>IF(ISERROR(LEN(VLOOKUP(A302,Seqs!A:E,2,FALSE))-AL302),"-",LEN(VLOOKUP(A302,Seqs!A:E,2,FALSE))-AL302)</f>
        <v>23</v>
      </c>
      <c r="BB302" s="16">
        <f t="shared" si="184"/>
        <v>28</v>
      </c>
      <c r="BC302" s="9" t="str">
        <f t="shared" si="185"/>
        <v>-</v>
      </c>
      <c r="BD302" s="3">
        <f t="shared" si="186"/>
        <v>28</v>
      </c>
      <c r="BE302" s="3">
        <f t="shared" si="187"/>
        <v>50</v>
      </c>
      <c r="BF302" s="3">
        <f>AH302-AE302</f>
        <v>31</v>
      </c>
    </row>
    <row r="303" spans="1:59" s="3" customFormat="1" x14ac:dyDescent="0.2">
      <c r="A303" s="3" t="s">
        <v>403</v>
      </c>
      <c r="B303" s="3" t="str">
        <f>LOWER(VLOOKUP(A303,Xtal_Templ!A:B,2,FALSE))</f>
        <v>crfr1_human</v>
      </c>
      <c r="C303" s="3">
        <f>VLOOKUP($A303,'SegEnds_NonXtal_BW#'!$A:$Z,3,FALSE)+D303-50</f>
        <v>100</v>
      </c>
      <c r="D303" s="3">
        <v>131</v>
      </c>
      <c r="E303" s="3">
        <f>IF(ISERROR(VLOOKUP($A303,'SegEnds_NonXtal_BW#'!$A:$Z,4,FALSE)+VLOOKUP($A303,A:AL,4,FALSE)-50),"-",(VLOOKUP($A303,'SegEnds_NonXtal_BW#'!$A:$Z,4,FALSE)+VLOOKUP($A303,A:AL,4,FALSE)-50))</f>
        <v>141</v>
      </c>
      <c r="F303" s="3">
        <f t="shared" si="192"/>
        <v>142</v>
      </c>
      <c r="G303" s="3">
        <v>144</v>
      </c>
      <c r="H303" s="3">
        <f t="shared" si="198"/>
        <v>145</v>
      </c>
      <c r="I303" s="3">
        <f t="shared" si="198"/>
        <v>146</v>
      </c>
      <c r="J303" s="3">
        <v>159</v>
      </c>
      <c r="K303" s="3">
        <f>VLOOKUP($A303,'SegEnds_NonXtal_BW#'!$A:$Z,8,FALSE)+VLOOKUP($A303,A:AL,10,FALSE)-50</f>
        <v>172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181</v>
      </c>
      <c r="P303" s="3">
        <v>209</v>
      </c>
      <c r="Q303" s="3">
        <f>VLOOKUP($A303,'SegEnds_NonXtal_BW#'!$A:$Z,12,FALSE)+VLOOKUP($A303,A:AL,16,FALSE)-50</f>
        <v>215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222</v>
      </c>
      <c r="V303" s="3">
        <v>232</v>
      </c>
      <c r="W303" s="3">
        <f>IF(ISERROR(VLOOKUP($A303,'SegEnds_NonXtal_BW#'!$A:$Z,16,FALSE)+VLOOKUP($A303,A:AL,22,FALSE)-50),"-",(VLOOKUP($A303,'SegEnds_NonXtal_BW#'!$A:$Z,16,FALSE)+VLOOKUP($A303,A:AL,22,FALSE)-50))</f>
        <v>250</v>
      </c>
      <c r="X303" s="3">
        <f>IF(ISERROR(VLOOKUP($A303,'SegEnds_NonXtal_BW#'!$A:$Z,17,FALSE)+VLOOKUP($A303,A:AL,25,FALSE)-50),"-",(VLOOKUP($A303,'SegEnds_NonXtal_BW#'!$A:$Z,17,FALSE)+VLOOKUP($A303,A:AL,25,FALSE)-50))</f>
        <v>254</v>
      </c>
      <c r="Y303" s="3">
        <v>254</v>
      </c>
      <c r="Z303" s="3">
        <f t="shared" si="197"/>
        <v>256</v>
      </c>
      <c r="AA303" s="3">
        <f>IF(ISERROR(VLOOKUP($A303,'SegEnds_NonXtal_BW#'!$A:$Z,19,FALSE)+VLOOKUP($A303,A:AL,28,FALSE)-50),"-",(VLOOKUP($A303,'SegEnds_NonXtal_BW#'!$A:$Z,19,FALSE)+VLOOKUP($A303,A:AL,28,FALSE)-50))</f>
        <v>264</v>
      </c>
      <c r="AB303" s="3">
        <v>275</v>
      </c>
      <c r="AC303" s="3">
        <f>IF(ISERROR((VLOOKUP($A303,'SegEnds_NonXtal_BW#'!$A:$Z,20,FALSE)+VLOOKUP($A303,A:AL,28,FALSE)-50)),"-",(VLOOKUP($A303,'SegEnds_NonXtal_BW#'!$A:$Z,20,FALSE)+VLOOKUP($A303,A:AL,28,FALSE)-50))</f>
        <v>294</v>
      </c>
      <c r="AD303" s="3">
        <f>IF(ISERROR(VLOOKUP($A303,'SegEnds_NonXtal_BW#'!$A:$Z,21,FALSE)+VLOOKUP($A303,A:AL,31,FALSE)-50),"-",(VLOOKUP($A303,'SegEnds_NonXtal_BW#'!$A:$Z,21,FALSE)+VLOOKUP($A303,A:AL,31,FALSE)-50))</f>
        <v>300</v>
      </c>
      <c r="AE303" s="3">
        <v>325</v>
      </c>
      <c r="AF303" s="3">
        <f>IF(ISERROR((VLOOKUP($A303,'SegEnds_NonXtal_BW#'!$A:$Z,22,FALSE)+VLOOKUP($A303,A:AL,31,FALSE)-50)),"-",(VLOOKUP($A303,'SegEnds_NonXtal_BW#'!$A:$Z,22,FALSE)+VLOOKUP($A303,A:AL,31,FALSE)-50))</f>
        <v>328</v>
      </c>
      <c r="AG303" s="3">
        <f>IF(ISERROR(VLOOKUP($A303,'SegEnds_NonXtal_BW#'!$A:$Z,23,FALSE)+VLOOKUP($A303,A:AL,34,FALSE)-50),"-",(VLOOKUP($A303,'SegEnds_NonXtal_BW#'!$A:$Z,23,FALSE)+VLOOKUP($A303,A:AL,34,FALSE)-50))</f>
        <v>335</v>
      </c>
      <c r="AH303" s="3">
        <v>356</v>
      </c>
      <c r="AI303" s="3">
        <f>IF(ISERROR((VLOOKUP($A303,'SegEnds_NonXtal_BW#'!$A:$Z,24,FALSE)+VLOOKUP($A303,A:AL,34,FALSE)-50)),"-",(VLOOKUP($A303,'SegEnds_NonXtal_BW#'!$A:$Z,24,FALSE)+VLOOKUP($A303,A:AL,34,FALSE)-50))</f>
        <v>362</v>
      </c>
      <c r="AJ303" s="3">
        <f>IF(ISERROR(VLOOKUP($A303,'SegEnds_NonXtal_BW#'!$A:$Z,25,FALSE)+VLOOKUP($A303,A:AL,37,FALSE)-50),"-",(VLOOKUP($A303,'SegEnds_NonXtal_BW#'!$A:$Z,25,FALSE)+VLOOKUP($A303,A:AL,37,FALSE)-50))</f>
        <v>363</v>
      </c>
      <c r="AK303" s="3">
        <v>366</v>
      </c>
      <c r="AL303" s="3">
        <f>IF(ISERROR((VLOOKUP($A303,'SegEnds_NonXtal_BW#'!$A:$Z,26,FALSE)+VLOOKUP($A303,A:AL,37,FALSE)-50)),"-",(VLOOKUP($A303,'SegEnds_NonXtal_BW#'!$A:$Z,26,FALSE)+VLOOKUP($A303,A:AL,37,FALSE)-50))</f>
        <v>388</v>
      </c>
      <c r="AM303" s="28" t="str">
        <f>VLOOKUP(A303,Classification!A:B,2,FALSE)</f>
        <v>B1</v>
      </c>
      <c r="AN303" s="28" t="b">
        <f t="shared" si="188"/>
        <v>1</v>
      </c>
      <c r="AO303" s="3" t="str">
        <f>IF(ISERROR(MATCH(A303,'SegEnds_Xtal_Prot#'!B:B, 0)), "NoXtal", "Xtal")</f>
        <v>NoXtal</v>
      </c>
      <c r="AP303" s="3">
        <f t="shared" si="173"/>
        <v>1</v>
      </c>
      <c r="AQ303" s="3">
        <f t="shared" si="174"/>
        <v>1</v>
      </c>
      <c r="AR303" s="3" t="str">
        <f t="shared" si="175"/>
        <v>-</v>
      </c>
      <c r="AS303" s="3" t="str">
        <f t="shared" si="176"/>
        <v>-</v>
      </c>
      <c r="AT303" s="3" t="str">
        <f t="shared" si="177"/>
        <v>-</v>
      </c>
      <c r="AU303" s="3" t="str">
        <f t="shared" si="178"/>
        <v>-</v>
      </c>
      <c r="AV303" s="3">
        <f t="shared" si="179"/>
        <v>4</v>
      </c>
      <c r="AW303" s="3">
        <f t="shared" si="180"/>
        <v>8</v>
      </c>
      <c r="AX303" s="3">
        <f t="shared" si="181"/>
        <v>6</v>
      </c>
      <c r="AY303" s="3">
        <f t="shared" si="182"/>
        <v>7</v>
      </c>
      <c r="AZ303" s="3">
        <f t="shared" si="183"/>
        <v>1</v>
      </c>
      <c r="BA303" s="3">
        <f>IF(ISERROR(LEN(VLOOKUP(A303,Seqs!A:E,2,FALSE))-AL303),"-",LEN(VLOOKUP(A303,Seqs!A:E,2,FALSE))-AL303)</f>
        <v>23</v>
      </c>
      <c r="BB303" s="16">
        <f t="shared" si="184"/>
        <v>28</v>
      </c>
      <c r="BC303" s="9" t="str">
        <f t="shared" si="185"/>
        <v>-</v>
      </c>
      <c r="BD303" s="3">
        <f t="shared" si="186"/>
        <v>28</v>
      </c>
      <c r="BE303" s="3">
        <f t="shared" si="187"/>
        <v>50</v>
      </c>
      <c r="BF303" s="3">
        <f>AH303-AE303</f>
        <v>31</v>
      </c>
    </row>
    <row r="304" spans="1:59" s="3" customFormat="1" x14ac:dyDescent="0.2">
      <c r="A304" s="3" t="s">
        <v>1420</v>
      </c>
      <c r="B304" s="3" t="str">
        <f>LOWER(VLOOKUP(A304,Xtal_Templ!A:B,2,FALSE))</f>
        <v>g1sgd4_rabit</v>
      </c>
      <c r="C304" s="3">
        <f>VLOOKUP($A304,'SegEnds_NonXtal_BW#'!$A:$Z,3,FALSE)+D304-50</f>
        <v>137</v>
      </c>
      <c r="D304" s="3">
        <v>159</v>
      </c>
      <c r="E304" s="3">
        <f>IF(ISERROR(VLOOKUP($A304,'SegEnds_NonXtal_BW#'!$A:$Z,4,FALSE)+VLOOKUP($A304,A:AL,4,FALSE)-50),"-",(VLOOKUP($A304,'SegEnds_NonXtal_BW#'!$A:$Z,4,FALSE)+VLOOKUP($A304,A:AL,4,FALSE)-50))</f>
        <v>169</v>
      </c>
      <c r="F304" s="3">
        <f t="shared" si="192"/>
        <v>170</v>
      </c>
      <c r="G304" s="3">
        <v>172</v>
      </c>
      <c r="H304" s="3">
        <f t="shared" si="198"/>
        <v>173</v>
      </c>
      <c r="I304" s="3">
        <f t="shared" si="198"/>
        <v>174</v>
      </c>
      <c r="J304" s="3">
        <v>187</v>
      </c>
      <c r="K304" s="3">
        <f>VLOOKUP($A304,'SegEnds_NonXtal_BW#'!$A:$Z,8,FALSE)+VLOOKUP($A304,A:AL,10,FALSE)-50</f>
        <v>211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224</v>
      </c>
      <c r="P304" s="3">
        <v>251</v>
      </c>
      <c r="Q304" s="3">
        <f>VLOOKUP($A304,'SegEnds_NonXtal_BW#'!$A:$Z,12,FALSE)+VLOOKUP($A304,A:AL,16,FALSE)-50</f>
        <v>257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261</v>
      </c>
      <c r="V304" s="3">
        <v>274</v>
      </c>
      <c r="W304" s="3">
        <f>IF(ISERROR(VLOOKUP($A304,'SegEnds_NonXtal_BW#'!$A:$Z,16,FALSE)+VLOOKUP($A304,A:AL,22,FALSE)-50),"-",(VLOOKUP($A304,'SegEnds_NonXtal_BW#'!$A:$Z,16,FALSE)+VLOOKUP($A304,A:AL,22,FALSE)-50))</f>
        <v>292</v>
      </c>
      <c r="X304" s="3">
        <f>IF(ISERROR(VLOOKUP($A304,'SegEnds_NonXtal_BW#'!$A:$Z,17,FALSE)+VLOOKUP($A304,A:AL,25,FALSE)-50),"-",(VLOOKUP($A304,'SegEnds_NonXtal_BW#'!$A:$Z,17,FALSE)+VLOOKUP($A304,A:AL,25,FALSE)-50))</f>
        <v>296</v>
      </c>
      <c r="Y304" s="3">
        <v>296</v>
      </c>
      <c r="Z304" s="3">
        <f t="shared" si="197"/>
        <v>298</v>
      </c>
      <c r="AA304" s="3">
        <f>IF(ISERROR(VLOOKUP($A304,'SegEnds_NonXtal_BW#'!$A:$Z,19,FALSE)+VLOOKUP($A304,A:AL,28,FALSE)-50),"-",(VLOOKUP($A304,'SegEnds_NonXtal_BW#'!$A:$Z,19,FALSE)+VLOOKUP($A304,A:AL,28,FALSE)-50))</f>
        <v>302</v>
      </c>
      <c r="AB304" s="3">
        <v>316</v>
      </c>
      <c r="AC304" s="3">
        <f>IF(ISERROR((VLOOKUP($A304,'SegEnds_NonXtal_BW#'!$A:$Z,20,FALSE)+VLOOKUP($A304,A:AL,28,FALSE)-50)),"-",(VLOOKUP($A304,'SegEnds_NonXtal_BW#'!$A:$Z,20,FALSE)+VLOOKUP($A304,A:AL,28,FALSE)-50))</f>
        <v>337</v>
      </c>
      <c r="AD304" s="3">
        <f>IF(ISERROR(VLOOKUP($A304,'SegEnds_NonXtal_BW#'!$A:$Z,21,FALSE)+VLOOKUP($A304,A:AL,31,FALSE)-50),"-",(VLOOKUP($A304,'SegEnds_NonXtal_BW#'!$A:$Z,21,FALSE)+VLOOKUP($A304,A:AL,31,FALSE)-50))</f>
        <v>346</v>
      </c>
      <c r="AE304" s="3">
        <v>366</v>
      </c>
      <c r="AF304" s="3">
        <f>IF(ISERROR((VLOOKUP($A304,'SegEnds_NonXtal_BW#'!$A:$Z,22,FALSE)+VLOOKUP($A304,A:AL,31,FALSE)-50)),"-",(VLOOKUP($A304,'SegEnds_NonXtal_BW#'!$A:$Z,22,FALSE)+VLOOKUP($A304,A:AL,31,FALSE)-50))</f>
        <v>369</v>
      </c>
      <c r="AG304" s="3">
        <f>IF(ISERROR(VLOOKUP($A304,'SegEnds_NonXtal_BW#'!$A:$Z,23,FALSE)+VLOOKUP($A304,A:AL,34,FALSE)-50),"-",(VLOOKUP($A304,'SegEnds_NonXtal_BW#'!$A:$Z,23,FALSE)+VLOOKUP($A304,A:AL,34,FALSE)-50))</f>
        <v>379</v>
      </c>
      <c r="AH304" s="3">
        <v>399</v>
      </c>
      <c r="AI304" s="3">
        <f>IF(ISERROR((VLOOKUP($A304,'SegEnds_NonXtal_BW#'!$A:$Z,24,FALSE)+VLOOKUP($A304,A:AL,34,FALSE)-50)),"-",(VLOOKUP($A304,'SegEnds_NonXtal_BW#'!$A:$Z,24,FALSE)+VLOOKUP($A304,A:AL,34,FALSE)-50))</f>
        <v>405</v>
      </c>
      <c r="AJ304" s="3">
        <f>IF(ISERROR(VLOOKUP($A304,'SegEnds_NonXtal_BW#'!$A:$Z,25,FALSE)+VLOOKUP($A304,A:AL,37,FALSE)-50),"-",(VLOOKUP($A304,'SegEnds_NonXtal_BW#'!$A:$Z,25,FALSE)+VLOOKUP($A304,A:AL,37,FALSE)-50))</f>
        <v>406</v>
      </c>
      <c r="AK304" s="3">
        <v>409</v>
      </c>
      <c r="AL304" s="3">
        <f>IF(ISERROR((VLOOKUP($A304,'SegEnds_NonXtal_BW#'!$A:$Z,26,FALSE)+VLOOKUP($A304,A:AL,37,FALSE)-50)),"-",(VLOOKUP($A304,'SegEnds_NonXtal_BW#'!$A:$Z,26,FALSE)+VLOOKUP($A304,A:AL,37,FALSE)-50))</f>
        <v>431</v>
      </c>
      <c r="AM304" s="28" t="str">
        <f>VLOOKUP(A304,Classification!A:B,2,FALSE)</f>
        <v>B1</v>
      </c>
      <c r="AN304" s="28" t="b">
        <f t="shared" si="188"/>
        <v>1</v>
      </c>
      <c r="AO304" s="3" t="str">
        <f>IF(ISERROR(MATCH(A304,'SegEnds_Xtal_Prot#'!B:B, 0)), "NoXtal", "Xtal")</f>
        <v>Xtal</v>
      </c>
      <c r="AP304" s="3">
        <f t="shared" si="173"/>
        <v>1</v>
      </c>
      <c r="AQ304" s="3">
        <f t="shared" si="174"/>
        <v>1</v>
      </c>
      <c r="AR304" s="3" t="str">
        <f t="shared" si="175"/>
        <v>-</v>
      </c>
      <c r="AS304" s="3" t="str">
        <f t="shared" si="176"/>
        <v>-</v>
      </c>
      <c r="AT304" s="3" t="str">
        <f t="shared" si="177"/>
        <v>-</v>
      </c>
      <c r="AU304" s="3" t="str">
        <f t="shared" si="178"/>
        <v>-</v>
      </c>
      <c r="AV304" s="3">
        <f t="shared" si="179"/>
        <v>4</v>
      </c>
      <c r="AW304" s="3">
        <f t="shared" si="180"/>
        <v>4</v>
      </c>
      <c r="AX304" s="3">
        <f t="shared" si="181"/>
        <v>9</v>
      </c>
      <c r="AY304" s="3">
        <f t="shared" si="182"/>
        <v>10</v>
      </c>
      <c r="AZ304" s="3">
        <f t="shared" si="183"/>
        <v>1</v>
      </c>
      <c r="BA304" s="3">
        <f>IF(ISERROR(LEN(VLOOKUP(A304,Seqs!A:E,2,FALSE))-AL304),"-",LEN(VLOOKUP(A304,Seqs!A:E,2,FALSE))-AL304)</f>
        <v>31</v>
      </c>
      <c r="BB304" s="16">
        <f t="shared" si="184"/>
        <v>28</v>
      </c>
      <c r="BC304" s="9" t="str">
        <f t="shared" si="185"/>
        <v>-</v>
      </c>
      <c r="BD304" s="3">
        <f t="shared" si="186"/>
        <v>28</v>
      </c>
      <c r="BE304" s="3">
        <f t="shared" si="187"/>
        <v>50</v>
      </c>
    </row>
    <row r="305" spans="1:58" s="3" customFormat="1" x14ac:dyDescent="0.2">
      <c r="A305" s="3" t="s">
        <v>404</v>
      </c>
      <c r="B305" s="3" t="str">
        <f>LOWER(VLOOKUP(A305,Xtal_Templ!A:B,2,FALSE))</f>
        <v>pth1r_human</v>
      </c>
      <c r="C305" s="3">
        <f>VLOOKUP($A305,'SegEnds_NonXtal_BW#'!$A:$Z,3,FALSE)+D305-50</f>
        <v>115</v>
      </c>
      <c r="D305" s="3">
        <v>144</v>
      </c>
      <c r="E305" s="3">
        <f>IF(ISERROR(VLOOKUP($A305,'SegEnds_NonXtal_BW#'!$A:$Z,4,FALSE)+VLOOKUP($A305,A:AL,4,FALSE)-50),"-",(VLOOKUP($A305,'SegEnds_NonXtal_BW#'!$A:$Z,4,FALSE)+VLOOKUP($A305,A:AL,4,FALSE)-50))</f>
        <v>154</v>
      </c>
      <c r="F305" s="3">
        <f t="shared" si="192"/>
        <v>155</v>
      </c>
      <c r="G305" s="3">
        <v>157</v>
      </c>
      <c r="H305" s="3">
        <f t="shared" si="198"/>
        <v>158</v>
      </c>
      <c r="I305" s="3">
        <f t="shared" si="198"/>
        <v>159</v>
      </c>
      <c r="J305" s="3">
        <v>172</v>
      </c>
      <c r="K305" s="3">
        <f>VLOOKUP($A305,'SegEnds_NonXtal_BW#'!$A:$Z,8,FALSE)+VLOOKUP($A305,A:AL,10,FALSE)-50</f>
        <v>186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200</v>
      </c>
      <c r="P305" s="3">
        <v>227</v>
      </c>
      <c r="Q305" s="3">
        <f>VLOOKUP($A305,'SegEnds_NonXtal_BW#'!$A:$Z,12,FALSE)+VLOOKUP($A305,A:AL,16,FALSE)-50</f>
        <v>233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237</v>
      </c>
      <c r="V305" s="3">
        <v>250</v>
      </c>
      <c r="W305" s="3">
        <f>IF(ISERROR(VLOOKUP($A305,'SegEnds_NonXtal_BW#'!$A:$Z,16,FALSE)+VLOOKUP($A305,A:AL,22,FALSE)-50),"-",(VLOOKUP($A305,'SegEnds_NonXtal_BW#'!$A:$Z,16,FALSE)+VLOOKUP($A305,A:AL,22,FALSE)-50))</f>
        <v>268</v>
      </c>
      <c r="X305" s="3">
        <f>IF(ISERROR(VLOOKUP($A305,'SegEnds_NonXtal_BW#'!$A:$Z,17,FALSE)+VLOOKUP($A305,A:AL,25,FALSE)-50),"-",(VLOOKUP($A305,'SegEnds_NonXtal_BW#'!$A:$Z,17,FALSE)+VLOOKUP($A305,A:AL,25,FALSE)-50))</f>
        <v>272</v>
      </c>
      <c r="Y305" s="3">
        <v>272</v>
      </c>
      <c r="Z305" s="3">
        <f t="shared" si="197"/>
        <v>274</v>
      </c>
      <c r="AA305" s="3">
        <f>IF(ISERROR(VLOOKUP($A305,'SegEnds_NonXtal_BW#'!$A:$Z,19,FALSE)+VLOOKUP($A305,A:AL,28,FALSE)-50),"-",(VLOOKUP($A305,'SegEnds_NonXtal_BW#'!$A:$Z,19,FALSE)+VLOOKUP($A305,A:AL,28,FALSE)-50))</f>
        <v>279</v>
      </c>
      <c r="AB305" s="3">
        <v>292</v>
      </c>
      <c r="AC305" s="3">
        <f>IF(ISERROR((VLOOKUP($A305,'SegEnds_NonXtal_BW#'!$A:$Z,20,FALSE)+VLOOKUP($A305,A:AL,28,FALSE)-50)),"-",(VLOOKUP($A305,'SegEnds_NonXtal_BW#'!$A:$Z,20,FALSE)+VLOOKUP($A305,A:AL,28,FALSE)-50))</f>
        <v>311</v>
      </c>
      <c r="AD305" s="3">
        <f>IF(ISERROR(VLOOKUP($A305,'SegEnds_NonXtal_BW#'!$A:$Z,21,FALSE)+VLOOKUP($A305,A:AL,31,FALSE)-50),"-",(VLOOKUP($A305,'SegEnds_NonXtal_BW#'!$A:$Z,21,FALSE)+VLOOKUP($A305,A:AL,31,FALSE)-50))</f>
        <v>319</v>
      </c>
      <c r="AE305" s="3">
        <v>344</v>
      </c>
      <c r="AF305" s="3">
        <f>IF(ISERROR((VLOOKUP($A305,'SegEnds_NonXtal_BW#'!$A:$Z,22,FALSE)+VLOOKUP($A305,A:AL,31,FALSE)-50)),"-",(VLOOKUP($A305,'SegEnds_NonXtal_BW#'!$A:$Z,22,FALSE)+VLOOKUP($A305,A:AL,31,FALSE)-50))</f>
        <v>348</v>
      </c>
      <c r="AG305" s="3">
        <f>IF(ISERROR(VLOOKUP($A305,'SegEnds_NonXtal_BW#'!$A:$Z,23,FALSE)+VLOOKUP($A305,A:AL,34,FALSE)-50),"-",(VLOOKUP($A305,'SegEnds_NonXtal_BW#'!$A:$Z,23,FALSE)+VLOOKUP($A305,A:AL,34,FALSE)-50))</f>
        <v>354</v>
      </c>
      <c r="AH305" s="3">
        <v>373</v>
      </c>
      <c r="AI305" s="3">
        <f>IF(ISERROR((VLOOKUP($A305,'SegEnds_NonXtal_BW#'!$A:$Z,24,FALSE)+VLOOKUP($A305,A:AL,34,FALSE)-50)),"-",(VLOOKUP($A305,'SegEnds_NonXtal_BW#'!$A:$Z,24,FALSE)+VLOOKUP($A305,A:AL,34,FALSE)-50))</f>
        <v>379</v>
      </c>
      <c r="AJ305" s="3">
        <f>IF(ISERROR(VLOOKUP($A305,'SegEnds_NonXtal_BW#'!$A:$Z,25,FALSE)+VLOOKUP($A305,A:AL,37,FALSE)-50),"-",(VLOOKUP($A305,'SegEnds_NonXtal_BW#'!$A:$Z,25,FALSE)+VLOOKUP($A305,A:AL,37,FALSE)-50))</f>
        <v>380</v>
      </c>
      <c r="AK305" s="3">
        <v>383</v>
      </c>
      <c r="AL305" s="3">
        <f>IF(ISERROR((VLOOKUP($A305,'SegEnds_NonXtal_BW#'!$A:$Z,26,FALSE)+VLOOKUP($A305,A:AL,37,FALSE)-50)),"-",(VLOOKUP($A305,'SegEnds_NonXtal_BW#'!$A:$Z,26,FALSE)+VLOOKUP($A305,A:AL,37,FALSE)-50))</f>
        <v>405</v>
      </c>
      <c r="AM305" s="28" t="str">
        <f>VLOOKUP(A305,Classification!A:B,2,FALSE)</f>
        <v>B1</v>
      </c>
      <c r="AN305" s="28" t="b">
        <f t="shared" si="188"/>
        <v>1</v>
      </c>
      <c r="AO305" s="3" t="str">
        <f>IF(ISERROR(MATCH(A305,'SegEnds_Xtal_Prot#'!B:B, 0)), "NoXtal", "Xtal")</f>
        <v>NoXtal</v>
      </c>
      <c r="AP305" s="3">
        <f t="shared" si="173"/>
        <v>1</v>
      </c>
      <c r="AQ305" s="3">
        <f t="shared" si="174"/>
        <v>1</v>
      </c>
      <c r="AR305" s="3" t="str">
        <f t="shared" si="175"/>
        <v>-</v>
      </c>
      <c r="AS305" s="3" t="str">
        <f t="shared" si="176"/>
        <v>-</v>
      </c>
      <c r="AT305" s="3" t="str">
        <f t="shared" si="177"/>
        <v>-</v>
      </c>
      <c r="AU305" s="3" t="str">
        <f t="shared" si="178"/>
        <v>-</v>
      </c>
      <c r="AV305" s="3">
        <f t="shared" si="179"/>
        <v>4</v>
      </c>
      <c r="AW305" s="3">
        <f t="shared" si="180"/>
        <v>5</v>
      </c>
      <c r="AX305" s="3">
        <f t="shared" si="181"/>
        <v>8</v>
      </c>
      <c r="AY305" s="3">
        <f t="shared" si="182"/>
        <v>6</v>
      </c>
      <c r="AZ305" s="3">
        <f t="shared" si="183"/>
        <v>1</v>
      </c>
      <c r="BA305" s="3">
        <f>IF(ISERROR(LEN(VLOOKUP(A305,Seqs!A:E,2,FALSE))-AL305),"-",LEN(VLOOKUP(A305,Seqs!A:E,2,FALSE))-AL305)</f>
        <v>18</v>
      </c>
      <c r="BB305" s="16">
        <f t="shared" si="184"/>
        <v>28</v>
      </c>
      <c r="BC305" s="9" t="str">
        <f t="shared" si="185"/>
        <v>-</v>
      </c>
      <c r="BD305" s="3">
        <f t="shared" si="186"/>
        <v>28</v>
      </c>
      <c r="BE305" s="3">
        <f t="shared" si="187"/>
        <v>52</v>
      </c>
      <c r="BF305" s="3">
        <f>AH305-AE305</f>
        <v>29</v>
      </c>
    </row>
    <row r="306" spans="1:58" s="3" customFormat="1" x14ac:dyDescent="0.2">
      <c r="A306" s="3" t="s">
        <v>405</v>
      </c>
      <c r="B306" s="3" t="str">
        <f>LOWER(VLOOKUP(A306,Xtal_Templ!A:B,2,FALSE))</f>
        <v>glr_human</v>
      </c>
      <c r="C306" s="3">
        <f>VLOOKUP($A306,'SegEnds_NonXtal_BW#'!$A:$Z,3,FALSE)+D306-50</f>
        <v>127</v>
      </c>
      <c r="D306" s="3">
        <v>152</v>
      </c>
      <c r="E306" s="3">
        <f>IF(ISERROR(VLOOKUP($A306,'SegEnds_NonXtal_BW#'!$A:$Z,4,FALSE)+VLOOKUP($A306,A:AL,4,FALSE)-50),"-",(VLOOKUP($A306,'SegEnds_NonXtal_BW#'!$A:$Z,4,FALSE)+VLOOKUP($A306,A:AL,4,FALSE)-50))</f>
        <v>162</v>
      </c>
      <c r="F306" s="3">
        <f t="shared" si="192"/>
        <v>163</v>
      </c>
      <c r="G306" s="3">
        <v>165</v>
      </c>
      <c r="H306" s="3">
        <f t="shared" si="198"/>
        <v>166</v>
      </c>
      <c r="I306" s="3">
        <f t="shared" si="198"/>
        <v>167</v>
      </c>
      <c r="J306" s="3">
        <v>180</v>
      </c>
      <c r="K306" s="3">
        <f>VLOOKUP($A306,'SegEnds_NonXtal_BW#'!$A:$Z,8,FALSE)+VLOOKUP($A306,A:AL,10,FALSE)-50</f>
        <v>194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214</v>
      </c>
      <c r="P306" s="3">
        <v>241</v>
      </c>
      <c r="Q306" s="3">
        <f>VLOOKUP($A306,'SegEnds_NonXtal_BW#'!$A:$Z,12,FALSE)+VLOOKUP($A306,A:AL,16,FALSE)-50</f>
        <v>247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254</v>
      </c>
      <c r="V306" s="3">
        <v>264</v>
      </c>
      <c r="W306" s="3">
        <f>IF(ISERROR(VLOOKUP($A306,'SegEnds_NonXtal_BW#'!$A:$Z,16,FALSE)+VLOOKUP($A306,A:AL,22,FALSE)-50),"-",(VLOOKUP($A306,'SegEnds_NonXtal_BW#'!$A:$Z,16,FALSE)+VLOOKUP($A306,A:AL,22,FALSE)-50))</f>
        <v>282</v>
      </c>
      <c r="X306" s="3">
        <f>IF(ISERROR(VLOOKUP($A306,'SegEnds_NonXtal_BW#'!$A:$Z,17,FALSE)+VLOOKUP($A306,A:AL,25,FALSE)-50),"-",(VLOOKUP($A306,'SegEnds_NonXtal_BW#'!$A:$Z,17,FALSE)+VLOOKUP($A306,A:AL,25,FALSE)-50))</f>
        <v>286</v>
      </c>
      <c r="Y306" s="3">
        <v>286</v>
      </c>
      <c r="Z306" s="3">
        <f t="shared" si="197"/>
        <v>288</v>
      </c>
      <c r="AA306" s="3">
        <f>IF(ISERROR(VLOOKUP($A306,'SegEnds_NonXtal_BW#'!$A:$Z,19,FALSE)+VLOOKUP($A306,A:AL,28,FALSE)-50),"-",(VLOOKUP($A306,'SegEnds_NonXtal_BW#'!$A:$Z,19,FALSE)+VLOOKUP($A306,A:AL,28,FALSE)-50))</f>
        <v>291</v>
      </c>
      <c r="AB306" s="3">
        <v>306</v>
      </c>
      <c r="AC306" s="3">
        <f>IF(ISERROR((VLOOKUP($A306,'SegEnds_NonXtal_BW#'!$A:$Z,20,FALSE)+VLOOKUP($A306,A:AL,28,FALSE)-50)),"-",(VLOOKUP($A306,'SegEnds_NonXtal_BW#'!$A:$Z,20,FALSE)+VLOOKUP($A306,A:AL,28,FALSE)-50))</f>
        <v>327</v>
      </c>
      <c r="AD306" s="3">
        <f>IF(ISERROR(VLOOKUP($A306,'SegEnds_NonXtal_BW#'!$A:$Z,21,FALSE)+VLOOKUP($A306,A:AL,31,FALSE)-50),"-",(VLOOKUP($A306,'SegEnds_NonXtal_BW#'!$A:$Z,21,FALSE)+VLOOKUP($A306,A:AL,31,FALSE)-50))</f>
        <v>334</v>
      </c>
      <c r="AE306" s="3">
        <v>356</v>
      </c>
      <c r="AF306" s="3">
        <f>IF(ISERROR((VLOOKUP($A306,'SegEnds_NonXtal_BW#'!$A:$Z,22,FALSE)+VLOOKUP($A306,A:AL,31,FALSE)-50)),"-",(VLOOKUP($A306,'SegEnds_NonXtal_BW#'!$A:$Z,22,FALSE)+VLOOKUP($A306,A:AL,31,FALSE)-50))</f>
        <v>359</v>
      </c>
      <c r="AG306" s="3">
        <f>IF(ISERROR(VLOOKUP($A306,'SegEnds_NonXtal_BW#'!$A:$Z,23,FALSE)+VLOOKUP($A306,A:AL,34,FALSE)-50),"-",(VLOOKUP($A306,'SegEnds_NonXtal_BW#'!$A:$Z,23,FALSE)+VLOOKUP($A306,A:AL,34,FALSE)-50))</f>
        <v>367</v>
      </c>
      <c r="AH306" s="3">
        <v>389</v>
      </c>
      <c r="AI306" s="3">
        <f>IF(ISERROR((VLOOKUP($A306,'SegEnds_NonXtal_BW#'!$A:$Z,24,FALSE)+VLOOKUP($A306,A:AL,34,FALSE)-50)),"-",(VLOOKUP($A306,'SegEnds_NonXtal_BW#'!$A:$Z,24,FALSE)+VLOOKUP($A306,A:AL,34,FALSE)-50))</f>
        <v>395</v>
      </c>
      <c r="AJ306" s="3">
        <f>IF(ISERROR(VLOOKUP($A306,'SegEnds_NonXtal_BW#'!$A:$Z,25,FALSE)+VLOOKUP($A306,A:AL,37,FALSE)-50),"-",(VLOOKUP($A306,'SegEnds_NonXtal_BW#'!$A:$Z,25,FALSE)+VLOOKUP($A306,A:AL,37,FALSE)-50))</f>
        <v>396</v>
      </c>
      <c r="AK306" s="3">
        <v>399</v>
      </c>
      <c r="AL306" s="3">
        <f>IF(ISERROR((VLOOKUP($A306,'SegEnds_NonXtal_BW#'!$A:$Z,26,FALSE)+VLOOKUP($A306,A:AL,37,FALSE)-50)),"-",(VLOOKUP($A306,'SegEnds_NonXtal_BW#'!$A:$Z,26,FALSE)+VLOOKUP($A306,A:AL,37,FALSE)-50))</f>
        <v>421</v>
      </c>
      <c r="AM306" s="28" t="str">
        <f>VLOOKUP(A306,Classification!A:B,2,FALSE)</f>
        <v>B1</v>
      </c>
      <c r="AN306" s="28" t="b">
        <f t="shared" si="188"/>
        <v>1</v>
      </c>
      <c r="AO306" s="3" t="str">
        <f>IF(ISERROR(MATCH(A306,'SegEnds_Xtal_Prot#'!B:B, 0)), "NoXtal", "Xtal")</f>
        <v>NoXtal</v>
      </c>
      <c r="AP306" s="3">
        <f t="shared" si="173"/>
        <v>1</v>
      </c>
      <c r="AQ306" s="3">
        <f t="shared" si="174"/>
        <v>1</v>
      </c>
      <c r="AR306" s="3" t="str">
        <f t="shared" si="175"/>
        <v>-</v>
      </c>
      <c r="AS306" s="3" t="str">
        <f t="shared" si="176"/>
        <v>-</v>
      </c>
      <c r="AT306" s="3" t="str">
        <f t="shared" si="177"/>
        <v>-</v>
      </c>
      <c r="AU306" s="3" t="str">
        <f t="shared" si="178"/>
        <v>-</v>
      </c>
      <c r="AV306" s="3">
        <f t="shared" si="179"/>
        <v>4</v>
      </c>
      <c r="AW306" s="3">
        <f t="shared" si="180"/>
        <v>3</v>
      </c>
      <c r="AX306" s="3">
        <f t="shared" si="181"/>
        <v>7</v>
      </c>
      <c r="AY306" s="3">
        <f t="shared" si="182"/>
        <v>8</v>
      </c>
      <c r="AZ306" s="3">
        <f t="shared" si="183"/>
        <v>1</v>
      </c>
      <c r="BA306" s="3">
        <f>IF(ISERROR(LEN(VLOOKUP(A306,Seqs!A:E,2,FALSE))-AL306),"-",LEN(VLOOKUP(A306,Seqs!A:E,2,FALSE))-AL306)</f>
        <v>45</v>
      </c>
      <c r="BB306" s="16">
        <f t="shared" si="184"/>
        <v>28</v>
      </c>
      <c r="BC306" s="9" t="str">
        <f t="shared" si="185"/>
        <v>-</v>
      </c>
      <c r="BD306" s="3">
        <f t="shared" si="186"/>
        <v>28</v>
      </c>
      <c r="BE306" s="3">
        <f t="shared" si="187"/>
        <v>50</v>
      </c>
    </row>
    <row r="307" spans="1:58" s="3" customFormat="1" x14ac:dyDescent="0.2">
      <c r="A307" s="3" t="s">
        <v>406</v>
      </c>
      <c r="B307" s="3" t="str">
        <f>LOWER(VLOOKUP(A307,Xtal_Templ!A:B,2,FALSE))</f>
        <v>glp1r_human</v>
      </c>
      <c r="C307" s="3">
        <f>VLOOKUP($A307,'SegEnds_NonXtal_BW#'!$A:$Z,3,FALSE)+D307-50</f>
        <v>138</v>
      </c>
      <c r="D307" s="3">
        <v>159</v>
      </c>
      <c r="E307" s="3">
        <f>IF(ISERROR(VLOOKUP($A307,'SegEnds_NonXtal_BW#'!$A:$Z,4,FALSE)+VLOOKUP($A307,A:AL,4,FALSE)-50),"-",(VLOOKUP($A307,'SegEnds_NonXtal_BW#'!$A:$Z,4,FALSE)+VLOOKUP($A307,A:AL,4,FALSE)-50))</f>
        <v>169</v>
      </c>
      <c r="F307" s="3">
        <f t="shared" si="192"/>
        <v>170</v>
      </c>
      <c r="G307" s="3">
        <v>172</v>
      </c>
      <c r="H307" s="3">
        <f t="shared" si="198"/>
        <v>173</v>
      </c>
      <c r="I307" s="3">
        <f t="shared" si="198"/>
        <v>174</v>
      </c>
      <c r="J307" s="3">
        <v>187</v>
      </c>
      <c r="K307" s="3">
        <f>VLOOKUP($A307,'SegEnds_NonXtal_BW#'!$A:$Z,8,FALSE)+VLOOKUP($A307,A:AL,10,FALSE)-50</f>
        <v>201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224</v>
      </c>
      <c r="P307" s="3">
        <v>251</v>
      </c>
      <c r="Q307" s="3">
        <f>VLOOKUP($A307,'SegEnds_NonXtal_BW#'!$A:$Z,12,FALSE)+VLOOKUP($A307,A:AL,16,FALSE)-50</f>
        <v>257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262</v>
      </c>
      <c r="V307" s="3">
        <v>274</v>
      </c>
      <c r="W307" s="3">
        <f>IF(ISERROR(VLOOKUP($A307,'SegEnds_NonXtal_BW#'!$A:$Z,16,FALSE)+VLOOKUP($A307,A:AL,22,FALSE)-50),"-",(VLOOKUP($A307,'SegEnds_NonXtal_BW#'!$A:$Z,16,FALSE)+VLOOKUP($A307,A:AL,22,FALSE)-50))</f>
        <v>292</v>
      </c>
      <c r="X307" s="3">
        <f>IF(ISERROR(VLOOKUP($A307,'SegEnds_NonXtal_BW#'!$A:$Z,17,FALSE)+VLOOKUP($A307,A:AL,25,FALSE)-50),"-",(VLOOKUP($A307,'SegEnds_NonXtal_BW#'!$A:$Z,17,FALSE)+VLOOKUP($A307,A:AL,25,FALSE)-50))</f>
        <v>296</v>
      </c>
      <c r="Y307" s="3">
        <v>296</v>
      </c>
      <c r="Z307" s="3">
        <f t="shared" si="197"/>
        <v>298</v>
      </c>
      <c r="AA307" s="3">
        <f>IF(ISERROR(VLOOKUP($A307,'SegEnds_NonXtal_BW#'!$A:$Z,19,FALSE)+VLOOKUP($A307,A:AL,28,FALSE)-50),"-",(VLOOKUP($A307,'SegEnds_NonXtal_BW#'!$A:$Z,19,FALSE)+VLOOKUP($A307,A:AL,28,FALSE)-50))</f>
        <v>302</v>
      </c>
      <c r="AB307" s="3">
        <v>316</v>
      </c>
      <c r="AC307" s="3">
        <f>IF(ISERROR((VLOOKUP($A307,'SegEnds_NonXtal_BW#'!$A:$Z,20,FALSE)+VLOOKUP($A307,A:AL,28,FALSE)-50)),"-",(VLOOKUP($A307,'SegEnds_NonXtal_BW#'!$A:$Z,20,FALSE)+VLOOKUP($A307,A:AL,28,FALSE)-50))</f>
        <v>337</v>
      </c>
      <c r="AD307" s="3">
        <f>IF(ISERROR(VLOOKUP($A307,'SegEnds_NonXtal_BW#'!$A:$Z,21,FALSE)+VLOOKUP($A307,A:AL,31,FALSE)-50),"-",(VLOOKUP($A307,'SegEnds_NonXtal_BW#'!$A:$Z,21,FALSE)+VLOOKUP($A307,A:AL,31,FALSE)-50))</f>
        <v>344</v>
      </c>
      <c r="AE307" s="3">
        <v>366</v>
      </c>
      <c r="AF307" s="3">
        <f>IF(ISERROR((VLOOKUP($A307,'SegEnds_NonXtal_BW#'!$A:$Z,22,FALSE)+VLOOKUP($A307,A:AL,31,FALSE)-50)),"-",(VLOOKUP($A307,'SegEnds_NonXtal_BW#'!$A:$Z,22,FALSE)+VLOOKUP($A307,A:AL,31,FALSE)-50))</f>
        <v>369</v>
      </c>
      <c r="AG307" s="3">
        <f>IF(ISERROR(VLOOKUP($A307,'SegEnds_NonXtal_BW#'!$A:$Z,23,FALSE)+VLOOKUP($A307,A:AL,34,FALSE)-50),"-",(VLOOKUP($A307,'SegEnds_NonXtal_BW#'!$A:$Z,23,FALSE)+VLOOKUP($A307,A:AL,34,FALSE)-50))</f>
        <v>377</v>
      </c>
      <c r="AH307" s="3">
        <v>399</v>
      </c>
      <c r="AI307" s="3">
        <f>IF(ISERROR((VLOOKUP($A307,'SegEnds_NonXtal_BW#'!$A:$Z,24,FALSE)+VLOOKUP($A307,A:AL,34,FALSE)-50)),"-",(VLOOKUP($A307,'SegEnds_NonXtal_BW#'!$A:$Z,24,FALSE)+VLOOKUP($A307,A:AL,34,FALSE)-50))</f>
        <v>405</v>
      </c>
      <c r="AJ307" s="3">
        <f>IF(ISERROR(VLOOKUP($A307,'SegEnds_NonXtal_BW#'!$A:$Z,25,FALSE)+VLOOKUP($A307,A:AL,37,FALSE)-50),"-",(VLOOKUP($A307,'SegEnds_NonXtal_BW#'!$A:$Z,25,FALSE)+VLOOKUP($A307,A:AL,37,FALSE)-50))</f>
        <v>406</v>
      </c>
      <c r="AK307" s="3">
        <v>409</v>
      </c>
      <c r="AL307" s="3">
        <f>IF(ISERROR((VLOOKUP($A307,'SegEnds_NonXtal_BW#'!$A:$Z,26,FALSE)+VLOOKUP($A307,A:AL,37,FALSE)-50)),"-",(VLOOKUP($A307,'SegEnds_NonXtal_BW#'!$A:$Z,26,FALSE)+VLOOKUP($A307,A:AL,37,FALSE)-50))</f>
        <v>431</v>
      </c>
      <c r="AM307" s="28" t="str">
        <f>VLOOKUP(A307,Classification!A:B,2,FALSE)</f>
        <v>B1</v>
      </c>
      <c r="AN307" s="28" t="b">
        <f t="shared" si="188"/>
        <v>1</v>
      </c>
      <c r="AO307" s="3" t="str">
        <f>IF(ISERROR(MATCH(A307,'SegEnds_Xtal_Prot#'!B:B, 0)), "NoXtal", "Xtal")</f>
        <v>Xtal</v>
      </c>
      <c r="AP307" s="3">
        <f t="shared" si="173"/>
        <v>1</v>
      </c>
      <c r="AQ307" s="3">
        <f t="shared" si="174"/>
        <v>1</v>
      </c>
      <c r="AR307" s="3" t="str">
        <f t="shared" si="175"/>
        <v>-</v>
      </c>
      <c r="AS307" s="3" t="str">
        <f t="shared" si="176"/>
        <v>-</v>
      </c>
      <c r="AT307" s="3" t="str">
        <f t="shared" si="177"/>
        <v>-</v>
      </c>
      <c r="AU307" s="3" t="str">
        <f t="shared" si="178"/>
        <v>-</v>
      </c>
      <c r="AV307" s="3">
        <f t="shared" si="179"/>
        <v>4</v>
      </c>
      <c r="AW307" s="3">
        <f t="shared" si="180"/>
        <v>4</v>
      </c>
      <c r="AX307" s="3">
        <f t="shared" si="181"/>
        <v>7</v>
      </c>
      <c r="AY307" s="3">
        <f t="shared" si="182"/>
        <v>8</v>
      </c>
      <c r="AZ307" s="3">
        <f t="shared" si="183"/>
        <v>1</v>
      </c>
      <c r="BA307" s="3">
        <f>IF(ISERROR(LEN(VLOOKUP(A307,Seqs!A:E,2,FALSE))-AL307),"-",LEN(VLOOKUP(A307,Seqs!A:E,2,FALSE))-AL307)</f>
        <v>32</v>
      </c>
      <c r="BB307" s="16">
        <f t="shared" si="184"/>
        <v>28</v>
      </c>
      <c r="BC307" s="9" t="str">
        <f t="shared" si="185"/>
        <v>-</v>
      </c>
      <c r="BD307" s="3">
        <f t="shared" si="186"/>
        <v>28</v>
      </c>
      <c r="BE307" s="3">
        <f t="shared" si="187"/>
        <v>50</v>
      </c>
    </row>
    <row r="308" spans="1:58" s="3" customFormat="1" x14ac:dyDescent="0.2">
      <c r="A308" s="3" t="s">
        <v>407</v>
      </c>
      <c r="B308" s="3" t="str">
        <f>LOWER(VLOOKUP(A308,Xtal_Templ!A:B,2,FALSE))</f>
        <v>glr_human</v>
      </c>
      <c r="C308" s="3">
        <f>VLOOKUP($A308,'SegEnds_NonXtal_BW#'!$A:$Z,3,FALSE)+D308-50</f>
        <v>168</v>
      </c>
      <c r="D308" s="3">
        <v>193</v>
      </c>
      <c r="E308" s="3">
        <f>IF(ISERROR(VLOOKUP($A308,'SegEnds_NonXtal_BW#'!$A:$Z,4,FALSE)+VLOOKUP($A308,A:AL,4,FALSE)-50),"-",(VLOOKUP($A308,'SegEnds_NonXtal_BW#'!$A:$Z,4,FALSE)+VLOOKUP($A308,A:AL,4,FALSE)-50))</f>
        <v>203</v>
      </c>
      <c r="F308" s="3">
        <f t="shared" si="192"/>
        <v>204</v>
      </c>
      <c r="G308" s="3">
        <v>206</v>
      </c>
      <c r="H308" s="3">
        <f t="shared" si="198"/>
        <v>207</v>
      </c>
      <c r="I308" s="3">
        <f t="shared" si="198"/>
        <v>208</v>
      </c>
      <c r="J308" s="3">
        <v>221</v>
      </c>
      <c r="K308" s="3">
        <f>VLOOKUP($A308,'SegEnds_NonXtal_BW#'!$A:$Z,8,FALSE)+VLOOKUP($A308,A:AL,10,FALSE)-50</f>
        <v>235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258</v>
      </c>
      <c r="P308" s="3">
        <v>285</v>
      </c>
      <c r="Q308" s="3">
        <f>VLOOKUP($A308,'SegEnds_NonXtal_BW#'!$A:$Z,12,FALSE)+VLOOKUP($A308,A:AL,16,FALSE)-50</f>
        <v>291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298</v>
      </c>
      <c r="V308" s="3">
        <v>308</v>
      </c>
      <c r="W308" s="3">
        <f>IF(ISERROR(VLOOKUP($A308,'SegEnds_NonXtal_BW#'!$A:$Z,16,FALSE)+VLOOKUP($A308,A:AL,22,FALSE)-50),"-",(VLOOKUP($A308,'SegEnds_NonXtal_BW#'!$A:$Z,16,FALSE)+VLOOKUP($A308,A:AL,22,FALSE)-50))</f>
        <v>326</v>
      </c>
      <c r="X308" s="3">
        <f>IF(ISERROR(VLOOKUP($A308,'SegEnds_NonXtal_BW#'!$A:$Z,17,FALSE)+VLOOKUP($A308,A:AL,25,FALSE)-50),"-",(VLOOKUP($A308,'SegEnds_NonXtal_BW#'!$A:$Z,17,FALSE)+VLOOKUP($A308,A:AL,25,FALSE)-50))</f>
        <v>330</v>
      </c>
      <c r="Y308" s="3">
        <v>330</v>
      </c>
      <c r="Z308" s="3">
        <f t="shared" si="197"/>
        <v>332</v>
      </c>
      <c r="AA308" s="3">
        <f>IF(ISERROR(VLOOKUP($A308,'SegEnds_NonXtal_BW#'!$A:$Z,19,FALSE)+VLOOKUP($A308,A:AL,28,FALSE)-50),"-",(VLOOKUP($A308,'SegEnds_NonXtal_BW#'!$A:$Z,19,FALSE)+VLOOKUP($A308,A:AL,28,FALSE)-50))</f>
        <v>335</v>
      </c>
      <c r="AB308" s="3">
        <v>350</v>
      </c>
      <c r="AC308" s="3">
        <f>IF(ISERROR((VLOOKUP($A308,'SegEnds_NonXtal_BW#'!$A:$Z,20,FALSE)+VLOOKUP($A308,A:AL,28,FALSE)-50)),"-",(VLOOKUP($A308,'SegEnds_NonXtal_BW#'!$A:$Z,20,FALSE)+VLOOKUP($A308,A:AL,28,FALSE)-50))</f>
        <v>371</v>
      </c>
      <c r="AD308" s="3">
        <f>IF(ISERROR(VLOOKUP($A308,'SegEnds_NonXtal_BW#'!$A:$Z,21,FALSE)+VLOOKUP($A308,A:AL,31,FALSE)-50),"-",(VLOOKUP($A308,'SegEnds_NonXtal_BW#'!$A:$Z,21,FALSE)+VLOOKUP($A308,A:AL,31,FALSE)-50))</f>
        <v>378</v>
      </c>
      <c r="AE308" s="3">
        <v>400</v>
      </c>
      <c r="AF308" s="3">
        <f>IF(ISERROR((VLOOKUP($A308,'SegEnds_NonXtal_BW#'!$A:$Z,22,FALSE)+VLOOKUP($A308,A:AL,31,FALSE)-50)),"-",(VLOOKUP($A308,'SegEnds_NonXtal_BW#'!$A:$Z,22,FALSE)+VLOOKUP($A308,A:AL,31,FALSE)-50))</f>
        <v>403</v>
      </c>
      <c r="AG308" s="3">
        <f>IF(ISERROR(VLOOKUP($A308,'SegEnds_NonXtal_BW#'!$A:$Z,23,FALSE)+VLOOKUP($A308,A:AL,34,FALSE)-50),"-",(VLOOKUP($A308,'SegEnds_NonXtal_BW#'!$A:$Z,23,FALSE)+VLOOKUP($A308,A:AL,34,FALSE)-50))</f>
        <v>411</v>
      </c>
      <c r="AH308" s="3">
        <v>433</v>
      </c>
      <c r="AI308" s="3">
        <f>IF(ISERROR((VLOOKUP($A308,'SegEnds_NonXtal_BW#'!$A:$Z,24,FALSE)+VLOOKUP($A308,A:AL,34,FALSE)-50)),"-",(VLOOKUP($A308,'SegEnds_NonXtal_BW#'!$A:$Z,24,FALSE)+VLOOKUP($A308,A:AL,34,FALSE)-50))</f>
        <v>439</v>
      </c>
      <c r="AJ308" s="3">
        <f>IF(ISERROR(VLOOKUP($A308,'SegEnds_NonXtal_BW#'!$A:$Z,25,FALSE)+VLOOKUP($A308,A:AL,37,FALSE)-50),"-",(VLOOKUP($A308,'SegEnds_NonXtal_BW#'!$A:$Z,25,FALSE)+VLOOKUP($A308,A:AL,37,FALSE)-50))</f>
        <v>440</v>
      </c>
      <c r="AK308" s="3">
        <v>443</v>
      </c>
      <c r="AL308" s="3">
        <f>IF(ISERROR((VLOOKUP($A308,'SegEnds_NonXtal_BW#'!$A:$Z,26,FALSE)+VLOOKUP($A308,A:AL,37,FALSE)-50)),"-",(VLOOKUP($A308,'SegEnds_NonXtal_BW#'!$A:$Z,26,FALSE)+VLOOKUP($A308,A:AL,37,FALSE)-50))</f>
        <v>465</v>
      </c>
      <c r="AM308" s="28" t="str">
        <f>VLOOKUP(A308,Classification!A:B,2,FALSE)</f>
        <v>B1</v>
      </c>
      <c r="AN308" s="28" t="b">
        <f t="shared" si="188"/>
        <v>1</v>
      </c>
      <c r="AO308" s="3" t="str">
        <f>IF(ISERROR(MATCH(A308,'SegEnds_Xtal_Prot#'!B:B, 0)), "NoXtal", "Xtal")</f>
        <v>NoXtal</v>
      </c>
      <c r="AP308" s="3">
        <f t="shared" si="173"/>
        <v>1</v>
      </c>
      <c r="AQ308" s="3">
        <f t="shared" si="174"/>
        <v>1</v>
      </c>
      <c r="AR308" s="3" t="str">
        <f t="shared" si="175"/>
        <v>-</v>
      </c>
      <c r="AS308" s="3" t="str">
        <f t="shared" si="176"/>
        <v>-</v>
      </c>
      <c r="AT308" s="3" t="str">
        <f t="shared" si="177"/>
        <v>-</v>
      </c>
      <c r="AU308" s="3" t="str">
        <f t="shared" si="178"/>
        <v>-</v>
      </c>
      <c r="AV308" s="3">
        <f t="shared" si="179"/>
        <v>4</v>
      </c>
      <c r="AW308" s="3">
        <f t="shared" si="180"/>
        <v>3</v>
      </c>
      <c r="AX308" s="3">
        <f t="shared" si="181"/>
        <v>7</v>
      </c>
      <c r="AY308" s="3">
        <f t="shared" si="182"/>
        <v>8</v>
      </c>
      <c r="AZ308" s="3">
        <f t="shared" si="183"/>
        <v>1</v>
      </c>
      <c r="BA308" s="3">
        <f>IF(ISERROR(LEN(VLOOKUP(A308,Seqs!A:E,2,FALSE))-AL308),"-",LEN(VLOOKUP(A308,Seqs!A:E,2,FALSE))-AL308)</f>
        <v>88</v>
      </c>
      <c r="BB308" s="16">
        <f t="shared" si="184"/>
        <v>28</v>
      </c>
      <c r="BC308" s="9" t="str">
        <f t="shared" si="185"/>
        <v>-</v>
      </c>
      <c r="BD308" s="3">
        <f t="shared" si="186"/>
        <v>28</v>
      </c>
      <c r="BE308" s="3">
        <f t="shared" si="187"/>
        <v>50</v>
      </c>
    </row>
    <row r="309" spans="1:58" s="3" customFormat="1" x14ac:dyDescent="0.2">
      <c r="A309" s="3" t="s">
        <v>32</v>
      </c>
      <c r="B309" s="3" t="str">
        <f>LOWER(VLOOKUP(A309,Xtal_Templ!A:B,2,FALSE))</f>
        <v>glr_human</v>
      </c>
      <c r="C309" s="3">
        <f>VLOOKUP($A309,'SegEnds_NonXtal_BW#'!$A:$Z,3,FALSE)+D309-50</f>
        <v>131</v>
      </c>
      <c r="D309" s="3">
        <v>156</v>
      </c>
      <c r="E309" s="3">
        <f>IF(ISERROR(VLOOKUP($A309,'SegEnds_NonXtal_BW#'!$A:$Z,4,FALSE)+VLOOKUP($A309,A:AL,4,FALSE)-50),"-",(VLOOKUP($A309,'SegEnds_NonXtal_BW#'!$A:$Z,4,FALSE)+VLOOKUP($A309,A:AL,4,FALSE)-50))</f>
        <v>166</v>
      </c>
      <c r="F309" s="3">
        <f t="shared" si="192"/>
        <v>167</v>
      </c>
      <c r="G309" s="3">
        <v>169</v>
      </c>
      <c r="H309" s="3">
        <f t="shared" si="198"/>
        <v>170</v>
      </c>
      <c r="I309" s="3">
        <f t="shared" si="198"/>
        <v>171</v>
      </c>
      <c r="J309" s="3">
        <v>184</v>
      </c>
      <c r="K309" s="3">
        <f>VLOOKUP($A309,'SegEnds_NonXtal_BW#'!$A:$Z,8,FALSE)+VLOOKUP($A309,A:AL,10,FALSE)-50</f>
        <v>203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220</v>
      </c>
      <c r="P309" s="3">
        <v>249</v>
      </c>
      <c r="Q309" s="3">
        <f>VLOOKUP($A309,'SegEnds_NonXtal_BW#'!$A:$Z,12,FALSE)+VLOOKUP($A309,A:AL,16,FALSE)-50</f>
        <v>255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262</v>
      </c>
      <c r="V309" s="3">
        <v>272</v>
      </c>
      <c r="W309" s="3">
        <f>IF(ISERROR(VLOOKUP($A309,'SegEnds_NonXtal_BW#'!$A:$Z,16,FALSE)+VLOOKUP($A309,A:AL,22,FALSE)-50),"-",(VLOOKUP($A309,'SegEnds_NonXtal_BW#'!$A:$Z,16,FALSE)+VLOOKUP($A309,A:AL,22,FALSE)-50))</f>
        <v>290</v>
      </c>
      <c r="X309" s="3">
        <f>IF(ISERROR(VLOOKUP($A309,'SegEnds_NonXtal_BW#'!$A:$Z,17,FALSE)+VLOOKUP($A309,A:AL,25,FALSE)-50),"-",(VLOOKUP($A309,'SegEnds_NonXtal_BW#'!$A:$Z,17,FALSE)+VLOOKUP($A309,A:AL,25,FALSE)-50))</f>
        <v>294</v>
      </c>
      <c r="Y309" s="3">
        <v>294</v>
      </c>
      <c r="Z309" s="3">
        <f t="shared" si="197"/>
        <v>296</v>
      </c>
      <c r="AA309" s="3">
        <f>IF(ISERROR(VLOOKUP($A309,'SegEnds_NonXtal_BW#'!$A:$Z,19,FALSE)+VLOOKUP($A309,A:AL,28,FALSE)-50),"-",(VLOOKUP($A309,'SegEnds_NonXtal_BW#'!$A:$Z,19,FALSE)+VLOOKUP($A309,A:AL,28,FALSE)-50))</f>
        <v>299</v>
      </c>
      <c r="AB309" s="3">
        <v>314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342</v>
      </c>
      <c r="AE309" s="3">
        <v>364</v>
      </c>
      <c r="AF309" s="3">
        <f>IF(ISERROR((VLOOKUP($A309,'SegEnds_NonXtal_BW#'!$A:$Z,22,FALSE)+VLOOKUP($A309,A:AL,31,FALSE)-50)),"-",(VLOOKUP($A309,'SegEnds_NonXtal_BW#'!$A:$Z,22,FALSE)+VLOOKUP($A309,A:AL,31,FALSE)-50))</f>
        <v>367</v>
      </c>
      <c r="AG309" s="3">
        <f>IF(ISERROR(VLOOKUP($A309,'SegEnds_NonXtal_BW#'!$A:$Z,23,FALSE)+VLOOKUP($A309,A:AL,34,FALSE)-50),"-",(VLOOKUP($A309,'SegEnds_NonXtal_BW#'!$A:$Z,23,FALSE)+VLOOKUP($A309,A:AL,34,FALSE)-50))</f>
        <v>374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88"/>
        <v>1</v>
      </c>
      <c r="AO309" s="3" t="str">
        <f>IF(ISERROR(MATCH(A309,'SegEnds_Xtal_Prot#'!B:B, 0)), "NoXtal", "Xtal")</f>
        <v>Xtal</v>
      </c>
      <c r="AP309" s="3">
        <f t="shared" si="173"/>
        <v>1</v>
      </c>
      <c r="AQ309" s="3">
        <f t="shared" si="174"/>
        <v>1</v>
      </c>
      <c r="AR309" s="3" t="str">
        <f t="shared" si="175"/>
        <v>-</v>
      </c>
      <c r="AS309" s="3" t="str">
        <f t="shared" si="176"/>
        <v>-</v>
      </c>
      <c r="AT309" s="3" t="str">
        <f t="shared" si="177"/>
        <v>-</v>
      </c>
      <c r="AU309" s="3" t="str">
        <f t="shared" si="178"/>
        <v>-</v>
      </c>
      <c r="AV309" s="3">
        <f t="shared" si="179"/>
        <v>4</v>
      </c>
      <c r="AW309" s="3">
        <f t="shared" si="180"/>
        <v>3</v>
      </c>
      <c r="AX309" s="3">
        <f t="shared" si="181"/>
        <v>7</v>
      </c>
      <c r="AY309" s="3">
        <f t="shared" si="182"/>
        <v>7</v>
      </c>
      <c r="AZ309" s="3">
        <f t="shared" si="183"/>
        <v>1</v>
      </c>
      <c r="BA309" s="3">
        <f>IF(ISERROR(LEN(VLOOKUP(A309,Seqs!A:E,2,FALSE))-AL309),"-",LEN(VLOOKUP(A309,Seqs!A:E,2,FALSE))-AL309)</f>
        <v>48</v>
      </c>
      <c r="BB309" s="16">
        <f t="shared" si="184"/>
        <v>28</v>
      </c>
      <c r="BC309" s="9" t="str">
        <f t="shared" si="185"/>
        <v>-</v>
      </c>
      <c r="BD309" s="3">
        <f t="shared" si="186"/>
        <v>28</v>
      </c>
      <c r="BE309" s="3">
        <f t="shared" si="187"/>
        <v>50</v>
      </c>
    </row>
    <row r="310" spans="1:58" s="3" customFormat="1" x14ac:dyDescent="0.2">
      <c r="A310" s="3" t="s">
        <v>408</v>
      </c>
      <c r="B310" s="3" t="str">
        <f>LOWER(VLOOKUP(A310,Xtal_Templ!A:B,2,FALSE))</f>
        <v>pth1r_human</v>
      </c>
      <c r="C310" s="3">
        <f>VLOOKUP($A310,'SegEnds_NonXtal_BW#'!$A:$Z,3,FALSE)+D310-50</f>
        <v>139</v>
      </c>
      <c r="D310" s="3">
        <v>168</v>
      </c>
      <c r="E310" s="3">
        <f>IF(ISERROR(VLOOKUP($A310,'SegEnds_NonXtal_BW#'!$A:$Z,4,FALSE)+VLOOKUP($A310,A:AL,4,FALSE)-50),"-",(VLOOKUP($A310,'SegEnds_NonXtal_BW#'!$A:$Z,4,FALSE)+VLOOKUP($A310,A:AL,4,FALSE)-50))</f>
        <v>178</v>
      </c>
      <c r="F310" s="3">
        <f t="shared" si="192"/>
        <v>179</v>
      </c>
      <c r="G310" s="3">
        <v>181</v>
      </c>
      <c r="H310" s="3">
        <f t="shared" si="198"/>
        <v>182</v>
      </c>
      <c r="I310" s="3">
        <f t="shared" si="198"/>
        <v>183</v>
      </c>
      <c r="J310" s="3">
        <v>196</v>
      </c>
      <c r="K310" s="3">
        <f>VLOOKUP($A310,'SegEnds_NonXtal_BW#'!$A:$Z,8,FALSE)+VLOOKUP($A310,A:AL,10,FALSE)-50</f>
        <v>210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224</v>
      </c>
      <c r="P310" s="3">
        <v>251</v>
      </c>
      <c r="Q310" s="3">
        <f>VLOOKUP($A310,'SegEnds_NonXtal_BW#'!$A:$Z,12,FALSE)+VLOOKUP($A310,A:AL,16,FALSE)-50</f>
        <v>257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261</v>
      </c>
      <c r="V310" s="3">
        <v>274</v>
      </c>
      <c r="W310" s="3">
        <f>IF(ISERROR(VLOOKUP($A310,'SegEnds_NonXtal_BW#'!$A:$Z,16,FALSE)+VLOOKUP($A310,A:AL,22,FALSE)-50),"-",(VLOOKUP($A310,'SegEnds_NonXtal_BW#'!$A:$Z,16,FALSE)+VLOOKUP($A310,A:AL,22,FALSE)-50))</f>
        <v>292</v>
      </c>
      <c r="X310" s="3">
        <f>IF(ISERROR(VLOOKUP($A310,'SegEnds_NonXtal_BW#'!$A:$Z,17,FALSE)+VLOOKUP($A310,A:AL,25,FALSE)-50),"-",(VLOOKUP($A310,'SegEnds_NonXtal_BW#'!$A:$Z,17,FALSE)+VLOOKUP($A310,A:AL,25,FALSE)-50))</f>
        <v>296</v>
      </c>
      <c r="Y310" s="3">
        <v>296</v>
      </c>
      <c r="Z310" s="3">
        <f t="shared" si="197"/>
        <v>298</v>
      </c>
      <c r="AA310" s="3">
        <f>IF(ISERROR(VLOOKUP($A310,'SegEnds_NonXtal_BW#'!$A:$Z,19,FALSE)+VLOOKUP($A310,A:AL,28,FALSE)-50),"-",(VLOOKUP($A310,'SegEnds_NonXtal_BW#'!$A:$Z,19,FALSE)+VLOOKUP($A310,A:AL,28,FALSE)-50))</f>
        <v>303</v>
      </c>
      <c r="AB310" s="3">
        <v>316</v>
      </c>
      <c r="AC310" s="3">
        <f>IF(ISERROR((VLOOKUP($A310,'SegEnds_NonXtal_BW#'!$A:$Z,20,FALSE)+VLOOKUP($A310,A:AL,28,FALSE)-50)),"-",(VLOOKUP($A310,'SegEnds_NonXtal_BW#'!$A:$Z,20,FALSE)+VLOOKUP($A310,A:AL,28,FALSE)-50))</f>
        <v>335</v>
      </c>
      <c r="AD310" s="3">
        <f>IF(ISERROR(VLOOKUP($A310,'SegEnds_NonXtal_BW#'!$A:$Z,21,FALSE)+VLOOKUP($A310,A:AL,31,FALSE)-50),"-",(VLOOKUP($A310,'SegEnds_NonXtal_BW#'!$A:$Z,21,FALSE)+VLOOKUP($A310,A:AL,31,FALSE)-50))</f>
        <v>343</v>
      </c>
      <c r="AE310" s="3">
        <v>368</v>
      </c>
      <c r="AF310" s="3">
        <f>IF(ISERROR((VLOOKUP($A310,'SegEnds_NonXtal_BW#'!$A:$Z,22,FALSE)+VLOOKUP($A310,A:AL,31,FALSE)-50)),"-",(VLOOKUP($A310,'SegEnds_NonXtal_BW#'!$A:$Z,22,FALSE)+VLOOKUP($A310,A:AL,31,FALSE)-50))</f>
        <v>372</v>
      </c>
      <c r="AG310" s="3">
        <f>IF(ISERROR(VLOOKUP($A310,'SegEnds_NonXtal_BW#'!$A:$Z,23,FALSE)+VLOOKUP($A310,A:AL,34,FALSE)-50),"-",(VLOOKUP($A310,'SegEnds_NonXtal_BW#'!$A:$Z,23,FALSE)+VLOOKUP($A310,A:AL,34,FALSE)-50))</f>
        <v>378</v>
      </c>
      <c r="AH310" s="3">
        <v>397</v>
      </c>
      <c r="AI310" s="3">
        <f>IF(ISERROR((VLOOKUP($A310,'SegEnds_NonXtal_BW#'!$A:$Z,24,FALSE)+VLOOKUP($A310,A:AL,34,FALSE)-50)),"-",(VLOOKUP($A310,'SegEnds_NonXtal_BW#'!$A:$Z,24,FALSE)+VLOOKUP($A310,A:AL,34,FALSE)-50))</f>
        <v>403</v>
      </c>
      <c r="AJ310" s="3">
        <f>IF(ISERROR(VLOOKUP($A310,'SegEnds_NonXtal_BW#'!$A:$Z,25,FALSE)+VLOOKUP($A310,A:AL,37,FALSE)-50),"-",(VLOOKUP($A310,'SegEnds_NonXtal_BW#'!$A:$Z,25,FALSE)+VLOOKUP($A310,A:AL,37,FALSE)-50))</f>
        <v>404</v>
      </c>
      <c r="AK310" s="3">
        <v>407</v>
      </c>
      <c r="AL310" s="3">
        <f>IF(ISERROR((VLOOKUP($A310,'SegEnds_NonXtal_BW#'!$A:$Z,26,FALSE)+VLOOKUP($A310,A:AL,37,FALSE)-50)),"-",(VLOOKUP($A310,'SegEnds_NonXtal_BW#'!$A:$Z,26,FALSE)+VLOOKUP($A310,A:AL,37,FALSE)-50))</f>
        <v>429</v>
      </c>
      <c r="AM310" s="28" t="str">
        <f>VLOOKUP(A310,Classification!A:B,2,FALSE)</f>
        <v>B1</v>
      </c>
      <c r="AN310" s="28" t="b">
        <f t="shared" si="188"/>
        <v>1</v>
      </c>
      <c r="AO310" s="3" t="str">
        <f>IF(ISERROR(MATCH(A310,'SegEnds_Xtal_Prot#'!B:B, 0)), "NoXtal", "Xtal")</f>
        <v>NoXtal</v>
      </c>
      <c r="AP310" s="3">
        <f t="shared" si="173"/>
        <v>1</v>
      </c>
      <c r="AQ310" s="3">
        <f t="shared" si="174"/>
        <v>1</v>
      </c>
      <c r="AR310" s="3" t="str">
        <f t="shared" si="175"/>
        <v>-</v>
      </c>
      <c r="AS310" s="3" t="str">
        <f t="shared" si="176"/>
        <v>-</v>
      </c>
      <c r="AT310" s="3" t="str">
        <f t="shared" si="177"/>
        <v>-</v>
      </c>
      <c r="AU310" s="3" t="str">
        <f t="shared" si="178"/>
        <v>-</v>
      </c>
      <c r="AV310" s="3">
        <f t="shared" si="179"/>
        <v>4</v>
      </c>
      <c r="AW310" s="3">
        <f t="shared" si="180"/>
        <v>5</v>
      </c>
      <c r="AX310" s="3">
        <f t="shared" si="181"/>
        <v>8</v>
      </c>
      <c r="AY310" s="3">
        <f t="shared" si="182"/>
        <v>6</v>
      </c>
      <c r="AZ310" s="3">
        <f t="shared" si="183"/>
        <v>1</v>
      </c>
      <c r="BA310" s="3">
        <f>IF(ISERROR(LEN(VLOOKUP(A310,Seqs!A:E,2,FALSE))-AL310),"-",LEN(VLOOKUP(A310,Seqs!A:E,2,FALSE))-AL310)</f>
        <v>39</v>
      </c>
      <c r="BB310" s="16">
        <f t="shared" si="184"/>
        <v>28</v>
      </c>
      <c r="BC310" s="9" t="str">
        <f t="shared" si="185"/>
        <v>-</v>
      </c>
      <c r="BD310" s="3">
        <f t="shared" si="186"/>
        <v>28</v>
      </c>
      <c r="BE310" s="3">
        <f t="shared" si="187"/>
        <v>52</v>
      </c>
    </row>
    <row r="311" spans="1:58" s="3" customFormat="1" x14ac:dyDescent="0.2">
      <c r="A311" s="3" t="s">
        <v>409</v>
      </c>
      <c r="B311" s="3" t="str">
        <f>LOWER(VLOOKUP(A311,Xtal_Templ!A:B,2,FALSE))</f>
        <v>pth1r_human</v>
      </c>
      <c r="C311" s="3">
        <f>VLOOKUP($A311,'SegEnds_NonXtal_BW#'!$A:$Z,3,FALSE)+D311-50</f>
        <v>173</v>
      </c>
      <c r="D311" s="3">
        <v>202</v>
      </c>
      <c r="E311" s="3">
        <f>IF(ISERROR(VLOOKUP($A311,'SegEnds_NonXtal_BW#'!$A:$Z,4,FALSE)+VLOOKUP($A311,A:AL,4,FALSE)-50),"-",(VLOOKUP($A311,'SegEnds_NonXtal_BW#'!$A:$Z,4,FALSE)+VLOOKUP($A311,A:AL,4,FALSE)-50))</f>
        <v>212</v>
      </c>
      <c r="F311" s="3">
        <f t="shared" si="192"/>
        <v>213</v>
      </c>
      <c r="G311" s="3">
        <v>215</v>
      </c>
      <c r="H311" s="3">
        <f t="shared" si="198"/>
        <v>216</v>
      </c>
      <c r="I311" s="3">
        <f t="shared" si="198"/>
        <v>217</v>
      </c>
      <c r="J311" s="3">
        <v>230</v>
      </c>
      <c r="K311" s="3">
        <f>VLOOKUP($A311,'SegEnds_NonXtal_BW#'!$A:$Z,8,FALSE)+VLOOKUP($A311,A:AL,10,FALSE)-50</f>
        <v>249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277</v>
      </c>
      <c r="P311" s="3">
        <v>306</v>
      </c>
      <c r="Q311" s="3">
        <f>VLOOKUP($A311,'SegEnds_NonXtal_BW#'!$A:$Z,12,FALSE)+VLOOKUP($A311,A:AL,16,FALSE)-50</f>
        <v>312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316</v>
      </c>
      <c r="V311" s="3">
        <v>329</v>
      </c>
      <c r="W311" s="3">
        <f>IF(ISERROR(VLOOKUP($A311,'SegEnds_NonXtal_BW#'!$A:$Z,16,FALSE)+VLOOKUP($A311,A:AL,22,FALSE)-50),"-",(VLOOKUP($A311,'SegEnds_NonXtal_BW#'!$A:$Z,16,FALSE)+VLOOKUP($A311,A:AL,22,FALSE)-50))</f>
        <v>347</v>
      </c>
      <c r="X311" s="3">
        <f>IF(ISERROR(VLOOKUP($A311,'SegEnds_NonXtal_BW#'!$A:$Z,17,FALSE)+VLOOKUP($A311,A:AL,25,FALSE)-50),"-",(VLOOKUP($A311,'SegEnds_NonXtal_BW#'!$A:$Z,17,FALSE)+VLOOKUP($A311,A:AL,25,FALSE)-50))</f>
        <v>351</v>
      </c>
      <c r="Y311" s="3">
        <v>351</v>
      </c>
      <c r="Z311" s="3">
        <f t="shared" si="197"/>
        <v>353</v>
      </c>
      <c r="AA311" s="3">
        <f>IF(ISERROR(VLOOKUP($A311,'SegEnds_NonXtal_BW#'!$A:$Z,19,FALSE)+VLOOKUP($A311,A:AL,28,FALSE)-50),"-",(VLOOKUP($A311,'SegEnds_NonXtal_BW#'!$A:$Z,19,FALSE)+VLOOKUP($A311,A:AL,28,FALSE)-50))</f>
        <v>357</v>
      </c>
      <c r="AB311" s="3">
        <v>370</v>
      </c>
      <c r="AC311" s="3">
        <f>IF(ISERROR((VLOOKUP($A311,'SegEnds_NonXtal_BW#'!$A:$Z,20,FALSE)+VLOOKUP($A311,A:AL,28,FALSE)-50)),"-",(VLOOKUP($A311,'SegEnds_NonXtal_BW#'!$A:$Z,20,FALSE)+VLOOKUP($A311,A:AL,28,FALSE)-50))</f>
        <v>389</v>
      </c>
      <c r="AD311" s="3">
        <f>IF(ISERROR(VLOOKUP($A311,'SegEnds_NonXtal_BW#'!$A:$Z,21,FALSE)+VLOOKUP($A311,A:AL,31,FALSE)-50),"-",(VLOOKUP($A311,'SegEnds_NonXtal_BW#'!$A:$Z,21,FALSE)+VLOOKUP($A311,A:AL,31,FALSE)-50))</f>
        <v>398</v>
      </c>
      <c r="AE311" s="3">
        <v>423</v>
      </c>
      <c r="AF311" s="3">
        <f>IF(ISERROR((VLOOKUP($A311,'SegEnds_NonXtal_BW#'!$A:$Z,22,FALSE)+VLOOKUP($A311,A:AL,31,FALSE)-50)),"-",(VLOOKUP($A311,'SegEnds_NonXtal_BW#'!$A:$Z,22,FALSE)+VLOOKUP($A311,A:AL,31,FALSE)-50))</f>
        <v>427</v>
      </c>
      <c r="AG311" s="3">
        <f>IF(ISERROR(VLOOKUP($A311,'SegEnds_NonXtal_BW#'!$A:$Z,23,FALSE)+VLOOKUP($A311,A:AL,34,FALSE)-50),"-",(VLOOKUP($A311,'SegEnds_NonXtal_BW#'!$A:$Z,23,FALSE)+VLOOKUP($A311,A:AL,34,FALSE)-50))</f>
        <v>434</v>
      </c>
      <c r="AH311" s="3">
        <v>456</v>
      </c>
      <c r="AI311" s="3">
        <f>IF(ISERROR((VLOOKUP($A311,'SegEnds_NonXtal_BW#'!$A:$Z,24,FALSE)+VLOOKUP($A311,A:AL,34,FALSE)-50)),"-",(VLOOKUP($A311,'SegEnds_NonXtal_BW#'!$A:$Z,24,FALSE)+VLOOKUP($A311,A:AL,34,FALSE)-50))</f>
        <v>462</v>
      </c>
      <c r="AJ311" s="3">
        <f>IF(ISERROR(VLOOKUP($A311,'SegEnds_NonXtal_BW#'!$A:$Z,25,FALSE)+VLOOKUP($A311,A:AL,37,FALSE)-50),"-",(VLOOKUP($A311,'SegEnds_NonXtal_BW#'!$A:$Z,25,FALSE)+VLOOKUP($A311,A:AL,37,FALSE)-50))</f>
        <v>463</v>
      </c>
      <c r="AK311" s="3">
        <v>466</v>
      </c>
      <c r="AL311" s="3">
        <f>IF(ISERROR((VLOOKUP($A311,'SegEnds_NonXtal_BW#'!$A:$Z,26,FALSE)+VLOOKUP($A311,A:AL,37,FALSE)-50)),"-",(VLOOKUP($A311,'SegEnds_NonXtal_BW#'!$A:$Z,26,FALSE)+VLOOKUP($A311,A:AL,37,FALSE)-50))</f>
        <v>488</v>
      </c>
      <c r="AM311" s="28" t="str">
        <f>VLOOKUP(A311,Classification!A:B,2,FALSE)</f>
        <v>B1</v>
      </c>
      <c r="AN311" s="28" t="b">
        <f t="shared" si="188"/>
        <v>1</v>
      </c>
      <c r="AO311" s="3" t="str">
        <f>IF(ISERROR(MATCH(A311,'SegEnds_Xtal_Prot#'!B:B, 0)), "NoXtal", "Xtal")</f>
        <v>Xtal</v>
      </c>
      <c r="AP311" s="3">
        <f t="shared" si="173"/>
        <v>1</v>
      </c>
      <c r="AQ311" s="3">
        <f t="shared" si="174"/>
        <v>1</v>
      </c>
      <c r="AR311" s="3" t="str">
        <f t="shared" si="175"/>
        <v>-</v>
      </c>
      <c r="AS311" s="3" t="str">
        <f t="shared" si="176"/>
        <v>-</v>
      </c>
      <c r="AT311" s="3" t="str">
        <f t="shared" si="177"/>
        <v>-</v>
      </c>
      <c r="AU311" s="3" t="str">
        <f t="shared" si="178"/>
        <v>-</v>
      </c>
      <c r="AV311" s="3">
        <f t="shared" si="179"/>
        <v>4</v>
      </c>
      <c r="AW311" s="3">
        <f t="shared" si="180"/>
        <v>4</v>
      </c>
      <c r="AX311" s="3">
        <f t="shared" si="181"/>
        <v>9</v>
      </c>
      <c r="AY311" s="3">
        <f t="shared" si="182"/>
        <v>7</v>
      </c>
      <c r="AZ311" s="3">
        <f t="shared" si="183"/>
        <v>1</v>
      </c>
      <c r="BA311" s="3">
        <f>IF(ISERROR(LEN(VLOOKUP(A311,Seqs!A:E,2,FALSE))-AL311),"-",LEN(VLOOKUP(A311,Seqs!A:E,2,FALSE))-AL311)</f>
        <v>105</v>
      </c>
      <c r="BB311" s="16">
        <f t="shared" si="184"/>
        <v>28</v>
      </c>
      <c r="BC311" s="9" t="str">
        <f t="shared" si="185"/>
        <v>-</v>
      </c>
      <c r="BD311" s="3">
        <f t="shared" si="186"/>
        <v>28</v>
      </c>
      <c r="BE311" s="3">
        <f t="shared" si="187"/>
        <v>53</v>
      </c>
    </row>
    <row r="312" spans="1:58" s="3" customFormat="1" x14ac:dyDescent="0.2">
      <c r="A312" s="3" t="s">
        <v>410</v>
      </c>
      <c r="B312" s="3" t="str">
        <f>LOWER(VLOOKUP(A312,Xtal_Templ!A:B,2,FALSE))</f>
        <v>pth1r_human</v>
      </c>
      <c r="C312" s="3">
        <f>VLOOKUP($A312,'SegEnds_NonXtal_BW#'!$A:$Z,3,FALSE)+D312-50</f>
        <v>130</v>
      </c>
      <c r="D312" s="3">
        <v>159</v>
      </c>
      <c r="E312" s="3">
        <f>IF(ISERROR(VLOOKUP($A312,'SegEnds_NonXtal_BW#'!$A:$Z,4,FALSE)+VLOOKUP($A312,A:AL,4,FALSE)-50),"-",(VLOOKUP($A312,'SegEnds_NonXtal_BW#'!$A:$Z,4,FALSE)+VLOOKUP($A312,A:AL,4,FALSE)-50))</f>
        <v>169</v>
      </c>
      <c r="F312" s="3">
        <f t="shared" si="192"/>
        <v>170</v>
      </c>
      <c r="G312" s="3">
        <v>172</v>
      </c>
      <c r="H312" s="3">
        <f t="shared" si="198"/>
        <v>173</v>
      </c>
      <c r="I312" s="3">
        <f t="shared" si="198"/>
        <v>174</v>
      </c>
      <c r="J312" s="3">
        <v>187</v>
      </c>
      <c r="K312" s="3">
        <f>VLOOKUP($A312,'SegEnds_NonXtal_BW#'!$A:$Z,8,FALSE)+VLOOKUP($A312,A:AL,10,FALSE)-50</f>
        <v>206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232</v>
      </c>
      <c r="P312" s="3">
        <v>261</v>
      </c>
      <c r="Q312" s="3">
        <f>VLOOKUP($A312,'SegEnds_NonXtal_BW#'!$A:$Z,12,FALSE)+VLOOKUP($A312,A:AL,16,FALSE)-50</f>
        <v>267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271</v>
      </c>
      <c r="V312" s="3">
        <v>284</v>
      </c>
      <c r="W312" s="3">
        <f>IF(ISERROR(VLOOKUP($A312,'SegEnds_NonXtal_BW#'!$A:$Z,16,FALSE)+VLOOKUP($A312,A:AL,22,FALSE)-50),"-",(VLOOKUP($A312,'SegEnds_NonXtal_BW#'!$A:$Z,16,FALSE)+VLOOKUP($A312,A:AL,22,FALSE)-50))</f>
        <v>302</v>
      </c>
      <c r="X312" s="3">
        <f>IF(ISERROR(VLOOKUP($A312,'SegEnds_NonXtal_BW#'!$A:$Z,17,FALSE)+VLOOKUP($A312,A:AL,25,FALSE)-50),"-",(VLOOKUP($A312,'SegEnds_NonXtal_BW#'!$A:$Z,17,FALSE)+VLOOKUP($A312,A:AL,25,FALSE)-50))</f>
        <v>306</v>
      </c>
      <c r="Y312" s="3">
        <v>306</v>
      </c>
      <c r="Z312" s="3">
        <f t="shared" si="197"/>
        <v>308</v>
      </c>
      <c r="AA312" s="3">
        <f>IF(ISERROR(VLOOKUP($A312,'SegEnds_NonXtal_BW#'!$A:$Z,19,FALSE)+VLOOKUP($A312,A:AL,28,FALSE)-50),"-",(VLOOKUP($A312,'SegEnds_NonXtal_BW#'!$A:$Z,19,FALSE)+VLOOKUP($A312,A:AL,28,FALSE)-50))</f>
        <v>312</v>
      </c>
      <c r="AB312" s="3">
        <v>325</v>
      </c>
      <c r="AC312" s="3">
        <f>IF(ISERROR((VLOOKUP($A312,'SegEnds_NonXtal_BW#'!$A:$Z,20,FALSE)+VLOOKUP($A312,A:AL,28,FALSE)-50)),"-",(VLOOKUP($A312,'SegEnds_NonXtal_BW#'!$A:$Z,20,FALSE)+VLOOKUP($A312,A:AL,28,FALSE)-50))</f>
        <v>344</v>
      </c>
      <c r="AD312" s="3">
        <f>IF(ISERROR(VLOOKUP($A312,'SegEnds_NonXtal_BW#'!$A:$Z,21,FALSE)+VLOOKUP($A312,A:AL,31,FALSE)-50),"-",(VLOOKUP($A312,'SegEnds_NonXtal_BW#'!$A:$Z,21,FALSE)+VLOOKUP($A312,A:AL,31,FALSE)-50))</f>
        <v>353</v>
      </c>
      <c r="AE312" s="3">
        <v>378</v>
      </c>
      <c r="AF312" s="3">
        <f>IF(ISERROR((VLOOKUP($A312,'SegEnds_NonXtal_BW#'!$A:$Z,22,FALSE)+VLOOKUP($A312,A:AL,31,FALSE)-50)),"-",(VLOOKUP($A312,'SegEnds_NonXtal_BW#'!$A:$Z,22,FALSE)+VLOOKUP($A312,A:AL,31,FALSE)-50))</f>
        <v>382</v>
      </c>
      <c r="AG312" s="3">
        <f>IF(ISERROR(VLOOKUP($A312,'SegEnds_NonXtal_BW#'!$A:$Z,23,FALSE)+VLOOKUP($A312,A:AL,34,FALSE)-50),"-",(VLOOKUP($A312,'SegEnds_NonXtal_BW#'!$A:$Z,23,FALSE)+VLOOKUP($A312,A:AL,34,FALSE)-50))</f>
        <v>388</v>
      </c>
      <c r="AH312" s="3">
        <v>410</v>
      </c>
      <c r="AI312" s="3">
        <f>IF(ISERROR((VLOOKUP($A312,'SegEnds_NonXtal_BW#'!$A:$Z,24,FALSE)+VLOOKUP($A312,A:AL,34,FALSE)-50)),"-",(VLOOKUP($A312,'SegEnds_NonXtal_BW#'!$A:$Z,24,FALSE)+VLOOKUP($A312,A:AL,34,FALSE)-50))</f>
        <v>416</v>
      </c>
      <c r="AJ312" s="3">
        <f>IF(ISERROR(VLOOKUP($A312,'SegEnds_NonXtal_BW#'!$A:$Z,25,FALSE)+VLOOKUP($A312,A:AL,37,FALSE)-50),"-",(VLOOKUP($A312,'SegEnds_NonXtal_BW#'!$A:$Z,25,FALSE)+VLOOKUP($A312,A:AL,37,FALSE)-50))</f>
        <v>417</v>
      </c>
      <c r="AK312" s="3">
        <v>420</v>
      </c>
      <c r="AL312" s="3">
        <f>IF(ISERROR((VLOOKUP($A312,'SegEnds_NonXtal_BW#'!$A:$Z,26,FALSE)+VLOOKUP($A312,A:AL,37,FALSE)-50)),"-",(VLOOKUP($A312,'SegEnds_NonXtal_BW#'!$A:$Z,26,FALSE)+VLOOKUP($A312,A:AL,37,FALSE)-50))</f>
        <v>442</v>
      </c>
      <c r="AM312" s="28" t="str">
        <f>VLOOKUP(A312,Classification!A:B,2,FALSE)</f>
        <v>B1</v>
      </c>
      <c r="AN312" s="28" t="b">
        <f t="shared" si="188"/>
        <v>1</v>
      </c>
      <c r="AO312" s="3" t="str">
        <f>IF(ISERROR(MATCH(A312,'SegEnds_Xtal_Prot#'!B:B, 0)), "NoXtal", "Xtal")</f>
        <v>NoXtal</v>
      </c>
      <c r="AP312" s="3">
        <f t="shared" si="173"/>
        <v>1</v>
      </c>
      <c r="AQ312" s="3">
        <f t="shared" si="174"/>
        <v>1</v>
      </c>
      <c r="AR312" s="3" t="str">
        <f t="shared" si="175"/>
        <v>-</v>
      </c>
      <c r="AS312" s="3" t="str">
        <f t="shared" si="176"/>
        <v>-</v>
      </c>
      <c r="AT312" s="3" t="str">
        <f t="shared" si="177"/>
        <v>-</v>
      </c>
      <c r="AU312" s="3" t="str">
        <f t="shared" si="178"/>
        <v>-</v>
      </c>
      <c r="AV312" s="3">
        <f t="shared" si="179"/>
        <v>4</v>
      </c>
      <c r="AW312" s="3">
        <f t="shared" si="180"/>
        <v>4</v>
      </c>
      <c r="AX312" s="3">
        <f t="shared" si="181"/>
        <v>9</v>
      </c>
      <c r="AY312" s="3">
        <f t="shared" si="182"/>
        <v>6</v>
      </c>
      <c r="AZ312" s="3">
        <f t="shared" si="183"/>
        <v>1</v>
      </c>
      <c r="BA312" s="3">
        <f>IF(ISERROR(LEN(VLOOKUP(A312,Seqs!A:E,2,FALSE))-AL312),"-",LEN(VLOOKUP(A312,Seqs!A:E,2,FALSE))-AL312)</f>
        <v>108</v>
      </c>
      <c r="BB312" s="16">
        <f t="shared" si="184"/>
        <v>28</v>
      </c>
      <c r="BC312" s="9" t="str">
        <f t="shared" si="185"/>
        <v>-</v>
      </c>
      <c r="BD312" s="3">
        <f t="shared" si="186"/>
        <v>28</v>
      </c>
      <c r="BE312" s="3">
        <f t="shared" si="187"/>
        <v>53</v>
      </c>
    </row>
    <row r="313" spans="1:58" s="3" customFormat="1" x14ac:dyDescent="0.2">
      <c r="A313" s="3" t="s">
        <v>411</v>
      </c>
      <c r="B313" s="3" t="str">
        <f>LOWER(VLOOKUP(A313,Xtal_Templ!A:B,2,FALSE))</f>
        <v>pth1r_human</v>
      </c>
      <c r="C313" s="3">
        <f>VLOOKUP($A313,'SegEnds_NonXtal_BW#'!$A:$Z,3,FALSE)+D313-50</f>
        <v>128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92"/>
        <v>168</v>
      </c>
      <c r="G313" s="3">
        <v>170</v>
      </c>
      <c r="H313" s="3">
        <f t="shared" si="198"/>
        <v>171</v>
      </c>
      <c r="I313" s="3">
        <f t="shared" si="198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97"/>
        <v>287</v>
      </c>
      <c r="AA313" s="3">
        <f>IF(ISERROR(VLOOKUP($A313,'SegEnds_NonXtal_BW#'!$A:$Z,19,FALSE)+VLOOKUP($A313,A:AL,28,FALSE)-50),"-",(VLOOKUP($A313,'SegEnds_NonXtal_BW#'!$A:$Z,19,FALSE)+VLOOKUP($A313,A:AL,28,FALSE)-50))</f>
        <v>292</v>
      </c>
      <c r="AB313" s="3">
        <v>305</v>
      </c>
      <c r="AC313" s="3">
        <f>IF(ISERROR((VLOOKUP($A313,'SegEnds_NonXtal_BW#'!$A:$Z,20,FALSE)+VLOOKUP($A313,A:AL,28,FALSE)-50)),"-",(VLOOKUP($A313,'SegEnds_NonXtal_BW#'!$A:$Z,20,FALSE)+VLOOKUP($A313,A:AL,28,FALSE)-50))</f>
        <v>324</v>
      </c>
      <c r="AD313" s="3">
        <f>IF(ISERROR(VLOOKUP($A313,'SegEnds_NonXtal_BW#'!$A:$Z,21,FALSE)+VLOOKUP($A313,A:AL,31,FALSE)-50),"-",(VLOOKUP($A313,'SegEnds_NonXtal_BW#'!$A:$Z,21,FALSE)+VLOOKUP($A313,A:AL,31,FALSE)-50))</f>
        <v>332</v>
      </c>
      <c r="AE313" s="3">
        <v>357</v>
      </c>
      <c r="AF313" s="3">
        <f>IF(ISERROR((VLOOKUP($A313,'SegEnds_NonXtal_BW#'!$A:$Z,22,FALSE)+VLOOKUP($A313,A:AL,31,FALSE)-50)),"-",(VLOOKUP($A313,'SegEnds_NonXtal_BW#'!$A:$Z,22,FALSE)+VLOOKUP($A313,A:AL,31,FALSE)-50))</f>
        <v>361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88"/>
        <v>1</v>
      </c>
      <c r="AO313" s="3" t="str">
        <f>IF(ISERROR(MATCH(A313,'SegEnds_Xtal_Prot#'!B:B, 0)), "NoXtal", "Xtal")</f>
        <v>NoXtal</v>
      </c>
      <c r="AP313" s="3">
        <f t="shared" si="173"/>
        <v>1</v>
      </c>
      <c r="AQ313" s="3">
        <f t="shared" si="174"/>
        <v>1</v>
      </c>
      <c r="AR313" s="3" t="str">
        <f t="shared" si="175"/>
        <v>-</v>
      </c>
      <c r="AS313" s="3" t="str">
        <f t="shared" si="176"/>
        <v>-</v>
      </c>
      <c r="AT313" s="3" t="str">
        <f t="shared" si="177"/>
        <v>-</v>
      </c>
      <c r="AU313" s="3" t="str">
        <f t="shared" si="178"/>
        <v>-</v>
      </c>
      <c r="AV313" s="3">
        <f t="shared" si="179"/>
        <v>4</v>
      </c>
      <c r="AW313" s="3">
        <f t="shared" si="180"/>
        <v>5</v>
      </c>
      <c r="AX313" s="3">
        <f t="shared" si="181"/>
        <v>8</v>
      </c>
      <c r="AY313" s="3">
        <f t="shared" si="182"/>
        <v>5</v>
      </c>
      <c r="AZ313" s="3">
        <f t="shared" si="183"/>
        <v>1</v>
      </c>
      <c r="BA313" s="3">
        <f>IF(ISERROR(LEN(VLOOKUP(A313,Seqs!A:E,2,FALSE))-AL313),"-",LEN(VLOOKUP(A313,Seqs!A:E,2,FALSE))-AL313)</f>
        <v>23</v>
      </c>
      <c r="BB313" s="16">
        <f t="shared" si="184"/>
        <v>28</v>
      </c>
      <c r="BC313" s="9" t="str">
        <f t="shared" si="185"/>
        <v>-</v>
      </c>
      <c r="BD313" s="3">
        <f t="shared" si="186"/>
        <v>28</v>
      </c>
      <c r="BE313" s="3">
        <f t="shared" si="187"/>
        <v>52</v>
      </c>
      <c r="BF313" s="3">
        <f>AH313-AE313</f>
        <v>28</v>
      </c>
    </row>
    <row r="314" spans="1:58" s="3" customFormat="1" x14ac:dyDescent="0.2">
      <c r="A314" s="3" t="s">
        <v>412</v>
      </c>
      <c r="B314" s="3" t="str">
        <f>LOWER(VLOOKUP(A314,Xtal_Templ!A:B,2,FALSE))</f>
        <v>pth1r_human</v>
      </c>
      <c r="C314" s="3">
        <f>VLOOKUP($A314,'SegEnds_NonXtal_BW#'!$A:$Z,3,FALSE)+D314-50</f>
        <v>128</v>
      </c>
      <c r="D314" s="3">
        <v>157</v>
      </c>
      <c r="E314" s="3">
        <f>IF(ISERROR(VLOOKUP($A314,'SegEnds_NonXtal_BW#'!$A:$Z,4,FALSE)+VLOOKUP($A314,A:AL,4,FALSE)-50),"-",(VLOOKUP($A314,'SegEnds_NonXtal_BW#'!$A:$Z,4,FALSE)+VLOOKUP($A314,A:AL,4,FALSE)-50))</f>
        <v>167</v>
      </c>
      <c r="F314" s="3">
        <f t="shared" si="192"/>
        <v>168</v>
      </c>
      <c r="G314" s="3">
        <v>170</v>
      </c>
      <c r="H314" s="3">
        <f t="shared" si="198"/>
        <v>171</v>
      </c>
      <c r="I314" s="3">
        <f t="shared" si="198"/>
        <v>172</v>
      </c>
      <c r="J314" s="3">
        <v>185</v>
      </c>
      <c r="K314" s="3">
        <f>VLOOKUP($A314,'SegEnds_NonXtal_BW#'!$A:$Z,8,FALSE)+VLOOKUP($A314,A:AL,10,FALSE)-50</f>
        <v>199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213</v>
      </c>
      <c r="P314" s="3">
        <v>240</v>
      </c>
      <c r="Q314" s="3">
        <f>VLOOKUP($A314,'SegEnds_NonXtal_BW#'!$A:$Z,12,FALSE)+VLOOKUP($A314,A:AL,16,FALSE)-50</f>
        <v>246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250</v>
      </c>
      <c r="V314" s="3">
        <v>263</v>
      </c>
      <c r="W314" s="3">
        <f>IF(ISERROR(VLOOKUP($A314,'SegEnds_NonXtal_BW#'!$A:$Z,16,FALSE)+VLOOKUP($A314,A:AL,22,FALSE)-50),"-",(VLOOKUP($A314,'SegEnds_NonXtal_BW#'!$A:$Z,16,FALSE)+VLOOKUP($A314,A:AL,22,FALSE)-50))</f>
        <v>281</v>
      </c>
      <c r="X314" s="3">
        <f>IF(ISERROR(VLOOKUP($A314,'SegEnds_NonXtal_BW#'!$A:$Z,17,FALSE)+VLOOKUP($A314,A:AL,25,FALSE)-50),"-",(VLOOKUP($A314,'SegEnds_NonXtal_BW#'!$A:$Z,17,FALSE)+VLOOKUP($A314,A:AL,25,FALSE)-50))</f>
        <v>285</v>
      </c>
      <c r="Y314" s="3">
        <v>285</v>
      </c>
      <c r="Z314" s="3">
        <f t="shared" si="197"/>
        <v>287</v>
      </c>
      <c r="AA314" s="3">
        <f>IF(ISERROR(VLOOKUP($A314,'SegEnds_NonXtal_BW#'!$A:$Z,19,FALSE)+VLOOKUP($A314,A:AL,28,FALSE)-50),"-",(VLOOKUP($A314,'SegEnds_NonXtal_BW#'!$A:$Z,19,FALSE)+VLOOKUP($A314,A:AL,28,FALSE)-50))</f>
        <v>291</v>
      </c>
      <c r="AB314" s="3">
        <v>304</v>
      </c>
      <c r="AC314" s="3">
        <f>IF(ISERROR((VLOOKUP($A314,'SegEnds_NonXtal_BW#'!$A:$Z,20,FALSE)+VLOOKUP($A314,A:AL,28,FALSE)-50)),"-",(VLOOKUP($A314,'SegEnds_NonXtal_BW#'!$A:$Z,20,FALSE)+VLOOKUP($A314,A:AL,28,FALSE)-50))</f>
        <v>323</v>
      </c>
      <c r="AD314" s="3">
        <f>IF(ISERROR(VLOOKUP($A314,'SegEnds_NonXtal_BW#'!$A:$Z,21,FALSE)+VLOOKUP($A314,A:AL,31,FALSE)-50),"-",(VLOOKUP($A314,'SegEnds_NonXtal_BW#'!$A:$Z,21,FALSE)+VLOOKUP($A314,A:AL,31,FALSE)-50))</f>
        <v>331</v>
      </c>
      <c r="AE314" s="3">
        <v>356</v>
      </c>
      <c r="AF314" s="3">
        <f>IF(ISERROR((VLOOKUP($A314,'SegEnds_NonXtal_BW#'!$A:$Z,22,FALSE)+VLOOKUP($A314,A:AL,31,FALSE)-50)),"-",(VLOOKUP($A314,'SegEnds_NonXtal_BW#'!$A:$Z,22,FALSE)+VLOOKUP($A314,A:AL,31,FALSE)-50))</f>
        <v>360</v>
      </c>
      <c r="AG314" s="3">
        <f>IF(ISERROR(VLOOKUP($A314,'SegEnds_NonXtal_BW#'!$A:$Z,23,FALSE)+VLOOKUP($A314,A:AL,34,FALSE)-50),"-",(VLOOKUP($A314,'SegEnds_NonXtal_BW#'!$A:$Z,23,FALSE)+VLOOKUP($A314,A:AL,34,FALSE)-50))</f>
        <v>366</v>
      </c>
      <c r="AH314" s="3">
        <v>385</v>
      </c>
      <c r="AI314" s="3">
        <f>IF(ISERROR((VLOOKUP($A314,'SegEnds_NonXtal_BW#'!$A:$Z,24,FALSE)+VLOOKUP($A314,A:AL,34,FALSE)-50)),"-",(VLOOKUP($A314,'SegEnds_NonXtal_BW#'!$A:$Z,24,FALSE)+VLOOKUP($A314,A:AL,34,FALSE)-50))</f>
        <v>391</v>
      </c>
      <c r="AJ314" s="3">
        <f>IF(ISERROR(VLOOKUP($A314,'SegEnds_NonXtal_BW#'!$A:$Z,25,FALSE)+VLOOKUP($A314,A:AL,37,FALSE)-50),"-",(VLOOKUP($A314,'SegEnds_NonXtal_BW#'!$A:$Z,25,FALSE)+VLOOKUP($A314,A:AL,37,FALSE)-50))</f>
        <v>392</v>
      </c>
      <c r="AK314" s="3">
        <v>395</v>
      </c>
      <c r="AL314" s="3">
        <f>IF(ISERROR((VLOOKUP($A314,'SegEnds_NonXtal_BW#'!$A:$Z,26,FALSE)+VLOOKUP($A314,A:AL,37,FALSE)-50)),"-",(VLOOKUP($A314,'SegEnds_NonXtal_BW#'!$A:$Z,26,FALSE)+VLOOKUP($A314,A:AL,37,FALSE)-50))</f>
        <v>417</v>
      </c>
      <c r="AM314" s="28" t="str">
        <f>VLOOKUP(A314,Classification!A:B,2,FALSE)</f>
        <v>B1</v>
      </c>
      <c r="AN314" s="28" t="b">
        <f t="shared" si="188"/>
        <v>1</v>
      </c>
      <c r="AO314" s="3" t="str">
        <f>IF(ISERROR(MATCH(A314,'SegEnds_Xtal_Prot#'!B:B, 0)), "NoXtal", "Xtal")</f>
        <v>NoXtal</v>
      </c>
      <c r="AP314" s="3">
        <f t="shared" si="173"/>
        <v>1</v>
      </c>
      <c r="AQ314" s="3">
        <f t="shared" si="174"/>
        <v>1</v>
      </c>
      <c r="AR314" s="3" t="str">
        <f t="shared" si="175"/>
        <v>-</v>
      </c>
      <c r="AS314" s="3" t="str">
        <f t="shared" si="176"/>
        <v>-</v>
      </c>
      <c r="AT314" s="3" t="str">
        <f t="shared" si="177"/>
        <v>-</v>
      </c>
      <c r="AU314" s="3" t="str">
        <f t="shared" si="178"/>
        <v>-</v>
      </c>
      <c r="AV314" s="3">
        <f t="shared" si="179"/>
        <v>4</v>
      </c>
      <c r="AW314" s="3">
        <f t="shared" si="180"/>
        <v>4</v>
      </c>
      <c r="AX314" s="3">
        <f t="shared" si="181"/>
        <v>8</v>
      </c>
      <c r="AY314" s="3">
        <f t="shared" si="182"/>
        <v>6</v>
      </c>
      <c r="AZ314" s="3">
        <f t="shared" si="183"/>
        <v>1</v>
      </c>
      <c r="BA314" s="3">
        <f>IF(ISERROR(LEN(VLOOKUP(A314,Seqs!A:E,2,FALSE))-AL314),"-",LEN(VLOOKUP(A314,Seqs!A:E,2,FALSE))-AL314)</f>
        <v>40</v>
      </c>
      <c r="BB314" s="16">
        <f t="shared" si="184"/>
        <v>28</v>
      </c>
      <c r="BC314" s="9" t="str">
        <f t="shared" si="185"/>
        <v>-</v>
      </c>
      <c r="BD314" s="3">
        <f t="shared" si="186"/>
        <v>28</v>
      </c>
      <c r="BE314" s="3">
        <f t="shared" si="187"/>
        <v>52</v>
      </c>
    </row>
    <row r="315" spans="1:58" s="3" customFormat="1" x14ac:dyDescent="0.2">
      <c r="A315" s="3" t="s">
        <v>413</v>
      </c>
      <c r="B315" s="3" t="str">
        <f>LOWER(VLOOKUP(A315,Xtal_Templ!A:B,2,FALSE))</f>
        <v>pth1r_human</v>
      </c>
      <c r="C315" s="3">
        <f>VLOOKUP($A315,'SegEnds_NonXtal_BW#'!$A:$Z,3,FALSE)+D315-50</f>
        <v>112</v>
      </c>
      <c r="D315" s="3">
        <v>141</v>
      </c>
      <c r="E315" s="3">
        <f>IF(ISERROR(VLOOKUP($A315,'SegEnds_NonXtal_BW#'!$A:$Z,4,FALSE)+VLOOKUP($A315,A:AL,4,FALSE)-50),"-",(VLOOKUP($A315,'SegEnds_NonXtal_BW#'!$A:$Z,4,FALSE)+VLOOKUP($A315,A:AL,4,FALSE)-50))</f>
        <v>151</v>
      </c>
      <c r="F315" s="3">
        <f t="shared" si="192"/>
        <v>152</v>
      </c>
      <c r="G315" s="3">
        <v>154</v>
      </c>
      <c r="H315" s="3">
        <f t="shared" si="198"/>
        <v>155</v>
      </c>
      <c r="I315" s="3">
        <f t="shared" si="198"/>
        <v>156</v>
      </c>
      <c r="J315" s="3">
        <v>169</v>
      </c>
      <c r="K315" s="3">
        <f>VLOOKUP($A315,'SegEnds_NonXtal_BW#'!$A:$Z,8,FALSE)+VLOOKUP($A315,A:AL,10,FALSE)-50</f>
        <v>183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200</v>
      </c>
      <c r="P315" s="3">
        <v>227</v>
      </c>
      <c r="Q315" s="3">
        <f>VLOOKUP($A315,'SegEnds_NonXtal_BW#'!$A:$Z,12,FALSE)+VLOOKUP($A315,A:AL,16,FALSE)-50</f>
        <v>233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236</v>
      </c>
      <c r="V315" s="3">
        <v>249</v>
      </c>
      <c r="W315" s="3">
        <f>IF(ISERROR(VLOOKUP($A315,'SegEnds_NonXtal_BW#'!$A:$Z,16,FALSE)+VLOOKUP($A315,A:AL,22,FALSE)-50),"-",(VLOOKUP($A315,'SegEnds_NonXtal_BW#'!$A:$Z,16,FALSE)+VLOOKUP($A315,A:AL,22,FALSE)-50))</f>
        <v>267</v>
      </c>
      <c r="X315" s="3">
        <f>IF(ISERROR(VLOOKUP($A315,'SegEnds_NonXtal_BW#'!$A:$Z,17,FALSE)+VLOOKUP($A315,A:AL,25,FALSE)-50),"-",(VLOOKUP($A315,'SegEnds_NonXtal_BW#'!$A:$Z,17,FALSE)+VLOOKUP($A315,A:AL,25,FALSE)-50))</f>
        <v>271</v>
      </c>
      <c r="Y315" s="3">
        <v>271</v>
      </c>
      <c r="Z315" s="3">
        <f t="shared" si="197"/>
        <v>273</v>
      </c>
      <c r="AA315" s="3">
        <f>IF(ISERROR(VLOOKUP($A315,'SegEnds_NonXtal_BW#'!$A:$Z,19,FALSE)+VLOOKUP($A315,A:AL,28,FALSE)-50),"-",(VLOOKUP($A315,'SegEnds_NonXtal_BW#'!$A:$Z,19,FALSE)+VLOOKUP($A315,A:AL,28,FALSE)-50))</f>
        <v>278</v>
      </c>
      <c r="AB315" s="3">
        <v>291</v>
      </c>
      <c r="AC315" s="3">
        <f>IF(ISERROR((VLOOKUP($A315,'SegEnds_NonXtal_BW#'!$A:$Z,20,FALSE)+VLOOKUP($A315,A:AL,28,FALSE)-50)),"-",(VLOOKUP($A315,'SegEnds_NonXtal_BW#'!$A:$Z,20,FALSE)+VLOOKUP($A315,A:AL,28,FALSE)-50))</f>
        <v>310</v>
      </c>
      <c r="AD315" s="3">
        <f>IF(ISERROR(VLOOKUP($A315,'SegEnds_NonXtal_BW#'!$A:$Z,21,FALSE)+VLOOKUP($A315,A:AL,31,FALSE)-50),"-",(VLOOKUP($A315,'SegEnds_NonXtal_BW#'!$A:$Z,21,FALSE)+VLOOKUP($A315,A:AL,31,FALSE)-50))</f>
        <v>318</v>
      </c>
      <c r="AE315" s="3">
        <v>343</v>
      </c>
      <c r="AF315" s="3">
        <f>IF(ISERROR((VLOOKUP($A315,'SegEnds_NonXtal_BW#'!$A:$Z,22,FALSE)+VLOOKUP($A315,A:AL,31,FALSE)-50)),"-",(VLOOKUP($A315,'SegEnds_NonXtal_BW#'!$A:$Z,22,FALSE)+VLOOKUP($A315,A:AL,31,FALSE)-50))</f>
        <v>347</v>
      </c>
      <c r="AG315" s="3">
        <f>IF(ISERROR(VLOOKUP($A315,'SegEnds_NonXtal_BW#'!$A:$Z,23,FALSE)+VLOOKUP($A315,A:AL,34,FALSE)-50),"-",(VLOOKUP($A315,'SegEnds_NonXtal_BW#'!$A:$Z,23,FALSE)+VLOOKUP($A315,A:AL,34,FALSE)-50))</f>
        <v>353</v>
      </c>
      <c r="AH315" s="3">
        <v>372</v>
      </c>
      <c r="AI315" s="3">
        <f>IF(ISERROR((VLOOKUP($A315,'SegEnds_NonXtal_BW#'!$A:$Z,24,FALSE)+VLOOKUP($A315,A:AL,34,FALSE)-50)),"-",(VLOOKUP($A315,'SegEnds_NonXtal_BW#'!$A:$Z,24,FALSE)+VLOOKUP($A315,A:AL,34,FALSE)-50))</f>
        <v>378</v>
      </c>
      <c r="AJ315" s="3">
        <f>IF(ISERROR(VLOOKUP($A315,'SegEnds_NonXtal_BW#'!$A:$Z,25,FALSE)+VLOOKUP($A315,A:AL,37,FALSE)-50),"-",(VLOOKUP($A315,'SegEnds_NonXtal_BW#'!$A:$Z,25,FALSE)+VLOOKUP($A315,A:AL,37,FALSE)-50))</f>
        <v>379</v>
      </c>
      <c r="AK315" s="3">
        <v>382</v>
      </c>
      <c r="AL315" s="3">
        <f>IF(ISERROR((VLOOKUP($A315,'SegEnds_NonXtal_BW#'!$A:$Z,26,FALSE)+VLOOKUP($A315,A:AL,37,FALSE)-50)),"-",(VLOOKUP($A315,'SegEnds_NonXtal_BW#'!$A:$Z,26,FALSE)+VLOOKUP($A315,A:AL,37,FALSE)-50))</f>
        <v>404</v>
      </c>
      <c r="AM315" s="28" t="str">
        <f>VLOOKUP(A315,Classification!A:B,2,FALSE)</f>
        <v>B1</v>
      </c>
      <c r="AN315" s="28" t="b">
        <f t="shared" si="188"/>
        <v>1</v>
      </c>
      <c r="AO315" s="3" t="str">
        <f>IF(ISERROR(MATCH(A315,'SegEnds_Xtal_Prot#'!B:B, 0)), "NoXtal", "Xtal")</f>
        <v>NoXtal</v>
      </c>
      <c r="AP315" s="3">
        <f t="shared" si="173"/>
        <v>1</v>
      </c>
      <c r="AQ315" s="3">
        <f t="shared" si="174"/>
        <v>1</v>
      </c>
      <c r="AR315" s="3" t="str">
        <f t="shared" si="175"/>
        <v>-</v>
      </c>
      <c r="AS315" s="3" t="str">
        <f t="shared" si="176"/>
        <v>-</v>
      </c>
      <c r="AT315" s="3" t="str">
        <f t="shared" si="177"/>
        <v>-</v>
      </c>
      <c r="AU315" s="3" t="str">
        <f t="shared" si="178"/>
        <v>-</v>
      </c>
      <c r="AV315" s="3">
        <f t="shared" si="179"/>
        <v>4</v>
      </c>
      <c r="AW315" s="3">
        <f t="shared" si="180"/>
        <v>5</v>
      </c>
      <c r="AX315" s="3">
        <f t="shared" si="181"/>
        <v>8</v>
      </c>
      <c r="AY315" s="3">
        <f t="shared" si="182"/>
        <v>6</v>
      </c>
      <c r="AZ315" s="3">
        <f t="shared" si="183"/>
        <v>1</v>
      </c>
      <c r="BA315" s="3">
        <f>IF(ISERROR(LEN(VLOOKUP(A315,Seqs!A:E,2,FALSE))-AL315),"-",LEN(VLOOKUP(A315,Seqs!A:E,2,FALSE))-AL315)</f>
        <v>34</v>
      </c>
      <c r="BB315" s="16">
        <f t="shared" si="184"/>
        <v>28</v>
      </c>
      <c r="BC315" s="9" t="str">
        <f t="shared" si="185"/>
        <v>-</v>
      </c>
      <c r="BD315" s="3">
        <f t="shared" si="186"/>
        <v>28</v>
      </c>
      <c r="BE315" s="3">
        <f t="shared" si="187"/>
        <v>52</v>
      </c>
    </row>
    <row r="316" spans="1:58" s="3" customFormat="1" x14ac:dyDescent="0.2">
      <c r="A316" s="3" t="s">
        <v>1176</v>
      </c>
      <c r="B316" s="3" t="str">
        <f>LOWER(VLOOKUP(A316,Xtal_Templ!A:B,2,FALSE))</f>
        <v>crfr1_human</v>
      </c>
      <c r="C316" s="3">
        <f>VLOOKUP($A316,'SegEnds_NonXtal_BW#'!$A:$Z,3,FALSE)+D316-50</f>
        <v>8</v>
      </c>
      <c r="D316" s="3">
        <v>35</v>
      </c>
      <c r="E316" s="3">
        <f>IF(ISERROR(VLOOKUP($A316,'SegEnds_NonXtal_BW#'!$A:$Z,4,FALSE)+VLOOKUP($A316,A:AL,4,FALSE)-50),"-",(VLOOKUP($A316,'SegEnds_NonXtal_BW#'!$A:$Z,4,FALSE)+VLOOKUP($A316,A:AL,4,FALSE)-50))</f>
        <v>45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48</v>
      </c>
      <c r="J316" s="3">
        <v>61</v>
      </c>
      <c r="K316" s="3">
        <f>VLOOKUP($A316,'SegEnds_NonXtal_BW#'!$A:$Z,8,FALSE)+VLOOKUP($A316,A:AL,10,FALSE)-50</f>
        <v>74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81</v>
      </c>
      <c r="P316" s="3">
        <v>108</v>
      </c>
      <c r="Q316" s="3">
        <f>VLOOKUP($A316,'SegEnds_NonXtal_BW#'!$A:$Z,12,FALSE)+VLOOKUP($A316,A:AL,16,FALSE)-50</f>
        <v>114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130</v>
      </c>
      <c r="V316" s="3">
        <v>140</v>
      </c>
      <c r="W316" s="3">
        <f>IF(ISERROR(VLOOKUP($A316,'SegEnds_NonXtal_BW#'!$A:$Z,16,FALSE)+VLOOKUP($A316,A:AL,22,FALSE)-50),"-",(VLOOKUP($A316,'SegEnds_NonXtal_BW#'!$A:$Z,16,FALSE)+VLOOKUP($A316,A:AL,22,FALSE)-50))</f>
        <v>158</v>
      </c>
      <c r="X316" s="3">
        <f>IF(ISERROR(VLOOKUP($A316,'SegEnds_NonXtal_BW#'!$A:$Z,17,FALSE)+VLOOKUP($A316,A:AL,25,FALSE)-50),"-",(VLOOKUP($A316,'SegEnds_NonXtal_BW#'!$A:$Z,17,FALSE)+VLOOKUP($A316,A:AL,25,FALSE)-50))</f>
        <v>168</v>
      </c>
      <c r="Y316" s="3">
        <v>168</v>
      </c>
      <c r="Z316" s="3">
        <f t="shared" si="197"/>
        <v>170</v>
      </c>
      <c r="AA316" s="3">
        <f>IF(ISERROR(VLOOKUP($A316,'SegEnds_NonXtal_BW#'!$A:$Z,19,FALSE)+VLOOKUP($A316,A:AL,28,FALSE)-50),"-",(VLOOKUP($A316,'SegEnds_NonXtal_BW#'!$A:$Z,19,FALSE)+VLOOKUP($A316,A:AL,28,FALSE)-50))</f>
        <v>172</v>
      </c>
      <c r="AB316" s="3">
        <v>186</v>
      </c>
      <c r="AC316" s="3">
        <f>IF(ISERROR((VLOOKUP($A316,'SegEnds_NonXtal_BW#'!$A:$Z,20,FALSE)+VLOOKUP($A316,A:AL,28,FALSE)-50)),"-",(VLOOKUP($A316,'SegEnds_NonXtal_BW#'!$A:$Z,20,FALSE)+VLOOKUP($A316,A:AL,28,FALSE)-50))</f>
        <v>205</v>
      </c>
      <c r="AD316" s="3">
        <f>IF(ISERROR(VLOOKUP($A316,'SegEnds_NonXtal_BW#'!$A:$Z,21,FALSE)+VLOOKUP($A316,A:AL,31,FALSE)-50),"-",(VLOOKUP($A316,'SegEnds_NonXtal_BW#'!$A:$Z,21,FALSE)+VLOOKUP($A316,A:AL,31,FALSE)-50))</f>
        <v>251</v>
      </c>
      <c r="AE316" s="3">
        <v>272</v>
      </c>
      <c r="AF316" s="3">
        <f>IF(ISERROR((VLOOKUP($A316,'SegEnds_NonXtal_BW#'!$A:$Z,22,FALSE)+VLOOKUP($A316,A:AL,31,FALSE)-50)),"-",(VLOOKUP($A316,'SegEnds_NonXtal_BW#'!$A:$Z,22,FALSE)+VLOOKUP($A316,A:AL,31,FALSE)-50))</f>
        <v>275</v>
      </c>
      <c r="AG316" s="3">
        <f>IF(ISERROR(VLOOKUP($A316,'SegEnds_NonXtal_BW#'!$A:$Z,23,FALSE)+VLOOKUP($A316,A:AL,34,FALSE)-50),"-",(VLOOKUP($A316,'SegEnds_NonXtal_BW#'!$A:$Z,23,FALSE)+VLOOKUP($A316,A:AL,34,FALSE)-50))</f>
        <v>282</v>
      </c>
      <c r="AH316" s="3">
        <v>303</v>
      </c>
      <c r="AI316" s="3">
        <f>IF(ISERROR((VLOOKUP($A316,'SegEnds_NonXtal_BW#'!$A:$Z,24,FALSE)+VLOOKUP($A316,A:AL,34,FALSE)-50)),"-",(VLOOKUP($A316,'SegEnds_NonXtal_BW#'!$A:$Z,24,FALSE)+VLOOKUP($A316,A:AL,34,FALSE)-50))</f>
        <v>309</v>
      </c>
      <c r="AJ316" s="3">
        <f>IF(ISERROR(VLOOKUP($A316,'SegEnds_NonXtal_BW#'!$A:$Z,25,FALSE)+VLOOKUP($A316,A:AL,37,FALSE)-50),"-",(VLOOKUP($A316,'SegEnds_NonXtal_BW#'!$A:$Z,25,FALSE)+VLOOKUP($A316,A:AL,37,FALSE)-50))</f>
        <v>310</v>
      </c>
      <c r="AK316" s="3">
        <v>313</v>
      </c>
      <c r="AL316" s="3">
        <f>IF(ISERROR((VLOOKUP($A316,'SegEnds_NonXtal_BW#'!$A:$Z,26,FALSE)+VLOOKUP($A316,A:AL,37,FALSE)-50)),"-",(VLOOKUP($A316,'SegEnds_NonXtal_BW#'!$A:$Z,26,FALSE)+VLOOKUP($A316,A:AL,37,FALSE)-50))</f>
        <v>326</v>
      </c>
      <c r="AM316" s="28" t="str">
        <f>VLOOKUP(A316,Classification!A:B,2,FALSE)</f>
        <v>B2</v>
      </c>
      <c r="AN316" s="28" t="b">
        <f t="shared" si="188"/>
        <v>1</v>
      </c>
      <c r="AO316" s="3" t="str">
        <f>IF(ISERROR(MATCH(A316,'SegEnds_Xtal_Prot#'!B:B, 0)), "NoXtal", "Xtal")</f>
        <v>NoXtal</v>
      </c>
      <c r="AP316" s="3" t="str">
        <f t="shared" si="173"/>
        <v>-</v>
      </c>
      <c r="AQ316" s="3" t="str">
        <f t="shared" si="174"/>
        <v>-</v>
      </c>
      <c r="AR316" s="3" t="str">
        <f t="shared" si="175"/>
        <v>-</v>
      </c>
      <c r="AS316" s="3" t="str">
        <f t="shared" si="176"/>
        <v>-</v>
      </c>
      <c r="AT316" s="3" t="str">
        <f t="shared" si="177"/>
        <v>-</v>
      </c>
      <c r="AU316" s="3" t="str">
        <f t="shared" si="178"/>
        <v>-</v>
      </c>
      <c r="AV316" s="3">
        <f t="shared" si="179"/>
        <v>10</v>
      </c>
      <c r="AW316" s="3">
        <f t="shared" si="180"/>
        <v>2</v>
      </c>
      <c r="AX316" s="3">
        <f t="shared" si="181"/>
        <v>46</v>
      </c>
      <c r="AY316" s="3">
        <f t="shared" si="182"/>
        <v>7</v>
      </c>
      <c r="AZ316" s="3">
        <f t="shared" si="183"/>
        <v>1</v>
      </c>
      <c r="BA316" s="3">
        <f>IF(ISERROR(LEN(VLOOKUP(A316,Seqs!A:E,2,FALSE))-AL316),"-",LEN(VLOOKUP(A316,Seqs!A:E,2,FALSE))-AL316)</f>
        <v>234</v>
      </c>
      <c r="BB316" s="16">
        <f t="shared" si="184"/>
        <v>26</v>
      </c>
      <c r="BC316" s="9" t="str">
        <f t="shared" si="185"/>
        <v>-</v>
      </c>
      <c r="BD316" s="3">
        <f t="shared" si="186"/>
        <v>26</v>
      </c>
      <c r="BE316" s="3">
        <f t="shared" si="187"/>
        <v>86</v>
      </c>
    </row>
    <row r="317" spans="1:58" s="3" customFormat="1" x14ac:dyDescent="0.2">
      <c r="A317" s="3" t="s">
        <v>1177</v>
      </c>
      <c r="B317" s="3" t="str">
        <f>LOWER(VLOOKUP(A317,Xtal_Templ!A:B,2,FALSE))</f>
        <v>crfr1_human</v>
      </c>
      <c r="C317" s="3">
        <f>VLOOKUP($A317,'SegEnds_NonXtal_BW#'!$A:$Z,3,FALSE)+D317-50</f>
        <v>760</v>
      </c>
      <c r="D317" s="3">
        <v>787</v>
      </c>
      <c r="E317" s="3">
        <f>IF(ISERROR(VLOOKUP($A317,'SegEnds_NonXtal_BW#'!$A:$Z,4,FALSE)+VLOOKUP($A317,A:AL,4,FALSE)-50),"-",(VLOOKUP($A317,'SegEnds_NonXtal_BW#'!$A:$Z,4,FALSE)+VLOOKUP($A317,A:AL,4,FALSE)-50))</f>
        <v>797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800</v>
      </c>
      <c r="J317" s="3">
        <v>813</v>
      </c>
      <c r="K317" s="3">
        <f>VLOOKUP($A317,'SegEnds_NonXtal_BW#'!$A:$Z,8,FALSE)+VLOOKUP($A317,A:AL,10,FALSE)-50</f>
        <v>826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833</v>
      </c>
      <c r="P317" s="3">
        <v>860</v>
      </c>
      <c r="Q317" s="3">
        <f>VLOOKUP($A317,'SegEnds_NonXtal_BW#'!$A:$Z,12,FALSE)+VLOOKUP($A317,A:AL,16,FALSE)-50</f>
        <v>866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882</v>
      </c>
      <c r="V317" s="3">
        <v>892</v>
      </c>
      <c r="W317" s="3">
        <f>IF(ISERROR(VLOOKUP($A317,'SegEnds_NonXtal_BW#'!$A:$Z,16,FALSE)+VLOOKUP($A317,A:AL,22,FALSE)-50),"-",(VLOOKUP($A317,'SegEnds_NonXtal_BW#'!$A:$Z,16,FALSE)+VLOOKUP($A317,A:AL,22,FALSE)-50))</f>
        <v>910</v>
      </c>
      <c r="X317" s="3">
        <f>IF(ISERROR(VLOOKUP($A317,'SegEnds_NonXtal_BW#'!$A:$Z,17,FALSE)+VLOOKUP($A317,A:AL,25,FALSE)-50),"-",(VLOOKUP($A317,'SegEnds_NonXtal_BW#'!$A:$Z,17,FALSE)+VLOOKUP($A317,A:AL,25,FALSE)-50))</f>
        <v>917</v>
      </c>
      <c r="Y317" s="3">
        <v>917</v>
      </c>
      <c r="Z317" s="3">
        <f t="shared" si="197"/>
        <v>919</v>
      </c>
      <c r="AA317" s="3">
        <f>IF(ISERROR(VLOOKUP($A317,'SegEnds_NonXtal_BW#'!$A:$Z,19,FALSE)+VLOOKUP($A317,A:AL,28,FALSE)-50),"-",(VLOOKUP($A317,'SegEnds_NonXtal_BW#'!$A:$Z,19,FALSE)+VLOOKUP($A317,A:AL,28,FALSE)-50))</f>
        <v>921</v>
      </c>
      <c r="AB317" s="3">
        <v>935</v>
      </c>
      <c r="AC317" s="3">
        <f>IF(ISERROR((VLOOKUP($A317,'SegEnds_NonXtal_BW#'!$A:$Z,20,FALSE)+VLOOKUP($A317,A:AL,28,FALSE)-50)),"-",(VLOOKUP($A317,'SegEnds_NonXtal_BW#'!$A:$Z,20,FALSE)+VLOOKUP($A317,A:AL,28,FALSE)-50))</f>
        <v>954</v>
      </c>
      <c r="AD317" s="3">
        <f>IF(ISERROR(VLOOKUP($A317,'SegEnds_NonXtal_BW#'!$A:$Z,21,FALSE)+VLOOKUP($A317,A:AL,31,FALSE)-50),"-",(VLOOKUP($A317,'SegEnds_NonXtal_BW#'!$A:$Z,21,FALSE)+VLOOKUP($A317,A:AL,31,FALSE)-50))</f>
        <v>1014</v>
      </c>
      <c r="AE317" s="3">
        <v>1035</v>
      </c>
      <c r="AF317" s="3">
        <f>IF(ISERROR((VLOOKUP($A317,'SegEnds_NonXtal_BW#'!$A:$Z,22,FALSE)+VLOOKUP($A317,A:AL,31,FALSE)-50)),"-",(VLOOKUP($A317,'SegEnds_NonXtal_BW#'!$A:$Z,22,FALSE)+VLOOKUP($A317,A:AL,31,FALSE)-50))</f>
        <v>1038</v>
      </c>
      <c r="AG317" s="3">
        <f>IF(ISERROR(VLOOKUP($A317,'SegEnds_NonXtal_BW#'!$A:$Z,23,FALSE)+VLOOKUP($A317,A:AL,34,FALSE)-50),"-",(VLOOKUP($A317,'SegEnds_NonXtal_BW#'!$A:$Z,23,FALSE)+VLOOKUP($A317,A:AL,34,FALSE)-50))</f>
        <v>1045</v>
      </c>
      <c r="AH317" s="3">
        <v>1066</v>
      </c>
      <c r="AI317" s="3">
        <f>IF(ISERROR((VLOOKUP($A317,'SegEnds_NonXtal_BW#'!$A:$Z,24,FALSE)+VLOOKUP($A317,A:AL,34,FALSE)-50)),"-",(VLOOKUP($A317,'SegEnds_NonXtal_BW#'!$A:$Z,24,FALSE)+VLOOKUP($A317,A:AL,34,FALSE)-50))</f>
        <v>1072</v>
      </c>
      <c r="AJ317" s="3">
        <f>IF(ISERROR(VLOOKUP($A317,'SegEnds_NonXtal_BW#'!$A:$Z,25,FALSE)+VLOOKUP($A317,A:AL,37,FALSE)-50),"-",(VLOOKUP($A317,'SegEnds_NonXtal_BW#'!$A:$Z,25,FALSE)+VLOOKUP($A317,A:AL,37,FALSE)-50))</f>
        <v>1073</v>
      </c>
      <c r="AK317" s="3">
        <v>1076</v>
      </c>
      <c r="AL317" s="3">
        <f>IF(ISERROR((VLOOKUP($A317,'SegEnds_NonXtal_BW#'!$A:$Z,26,FALSE)+VLOOKUP($A317,A:AL,37,FALSE)-50)),"-",(VLOOKUP($A317,'SegEnds_NonXtal_BW#'!$A:$Z,26,FALSE)+VLOOKUP($A317,A:AL,37,FALSE)-50))</f>
        <v>1089</v>
      </c>
      <c r="AM317" s="28" t="str">
        <f>VLOOKUP(A317,Classification!A:B,2,FALSE)</f>
        <v>B2</v>
      </c>
      <c r="AN317" s="28" t="b">
        <f t="shared" si="188"/>
        <v>1</v>
      </c>
      <c r="AO317" s="3" t="str">
        <f>IF(ISERROR(MATCH(A317,'SegEnds_Xtal_Prot#'!B:B, 0)), "NoXtal", "Xtal")</f>
        <v>NoXtal</v>
      </c>
      <c r="AP317" s="3" t="str">
        <f t="shared" si="173"/>
        <v>-</v>
      </c>
      <c r="AQ317" s="3" t="str">
        <f t="shared" si="174"/>
        <v>-</v>
      </c>
      <c r="AR317" s="3" t="str">
        <f t="shared" si="175"/>
        <v>-</v>
      </c>
      <c r="AS317" s="3" t="str">
        <f t="shared" si="176"/>
        <v>-</v>
      </c>
      <c r="AT317" s="3" t="str">
        <f t="shared" si="177"/>
        <v>-</v>
      </c>
      <c r="AU317" s="3" t="str">
        <f t="shared" si="178"/>
        <v>-</v>
      </c>
      <c r="AV317" s="3">
        <f t="shared" si="179"/>
        <v>7</v>
      </c>
      <c r="AW317" s="3">
        <f t="shared" si="180"/>
        <v>2</v>
      </c>
      <c r="AX317" s="3">
        <f t="shared" si="181"/>
        <v>60</v>
      </c>
      <c r="AY317" s="3">
        <f t="shared" si="182"/>
        <v>7</v>
      </c>
      <c r="AZ317" s="3">
        <f t="shared" si="183"/>
        <v>1</v>
      </c>
      <c r="BA317" s="3">
        <f>IF(ISERROR(LEN(VLOOKUP(A317,Seqs!A:E,2,FALSE))-AL317),"-",LEN(VLOOKUP(A317,Seqs!A:E,2,FALSE))-AL317)</f>
        <v>249</v>
      </c>
      <c r="BB317" s="16">
        <f t="shared" si="184"/>
        <v>26</v>
      </c>
      <c r="BC317" s="9" t="str">
        <f t="shared" si="185"/>
        <v>-</v>
      </c>
      <c r="BD317" s="3">
        <f t="shared" si="186"/>
        <v>26</v>
      </c>
      <c r="BE317" s="3">
        <f t="shared" si="187"/>
        <v>100</v>
      </c>
    </row>
    <row r="318" spans="1:58" s="3" customFormat="1" x14ac:dyDescent="0.2">
      <c r="A318" s="3" t="s">
        <v>1178</v>
      </c>
      <c r="B318" s="3" t="str">
        <f>LOWER(VLOOKUP(A318,Xtal_Templ!A:B,2,FALSE))</f>
        <v>crfr1_human</v>
      </c>
      <c r="C318" s="3">
        <f>VLOOKUP($A318,'SegEnds_NonXtal_BW#'!$A:$Z,3,FALSE)+D318-50</f>
        <v>750</v>
      </c>
      <c r="D318" s="3">
        <v>777</v>
      </c>
      <c r="E318" s="3">
        <f>IF(ISERROR(VLOOKUP($A318,'SegEnds_NonXtal_BW#'!$A:$Z,4,FALSE)+VLOOKUP($A318,A:AL,4,FALSE)-50),"-",(VLOOKUP($A318,'SegEnds_NonXtal_BW#'!$A:$Z,4,FALSE)+VLOOKUP($A318,A:AL,4,FALSE)-50))</f>
        <v>787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790</v>
      </c>
      <c r="J318" s="3">
        <v>803</v>
      </c>
      <c r="K318" s="3">
        <f>VLOOKUP($A318,'SegEnds_NonXtal_BW#'!$A:$Z,8,FALSE)+VLOOKUP($A318,A:AL,10,FALSE)-50</f>
        <v>816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823</v>
      </c>
      <c r="P318" s="3">
        <v>850</v>
      </c>
      <c r="Q318" s="3">
        <f>VLOOKUP($A318,'SegEnds_NonXtal_BW#'!$A:$Z,12,FALSE)+VLOOKUP($A318,A:AL,16,FALSE)-50</f>
        <v>856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872</v>
      </c>
      <c r="V318" s="3">
        <v>882</v>
      </c>
      <c r="W318" s="3">
        <f>IF(ISERROR(VLOOKUP($A318,'SegEnds_NonXtal_BW#'!$A:$Z,16,FALSE)+VLOOKUP($A318,A:AL,22,FALSE)-50),"-",(VLOOKUP($A318,'SegEnds_NonXtal_BW#'!$A:$Z,16,FALSE)+VLOOKUP($A318,A:AL,22,FALSE)-50))</f>
        <v>900</v>
      </c>
      <c r="X318" s="3">
        <f>IF(ISERROR(VLOOKUP($A318,'SegEnds_NonXtal_BW#'!$A:$Z,17,FALSE)+VLOOKUP($A318,A:AL,25,FALSE)-50),"-",(VLOOKUP($A318,'SegEnds_NonXtal_BW#'!$A:$Z,17,FALSE)+VLOOKUP($A318,A:AL,25,FALSE)-50))</f>
        <v>909</v>
      </c>
      <c r="Y318" s="3">
        <v>909</v>
      </c>
      <c r="Z318" s="3">
        <f t="shared" si="197"/>
        <v>911</v>
      </c>
      <c r="AA318" s="3">
        <f>IF(ISERROR(VLOOKUP($A318,'SegEnds_NonXtal_BW#'!$A:$Z,19,FALSE)+VLOOKUP($A318,A:AL,28,FALSE)-50),"-",(VLOOKUP($A318,'SegEnds_NonXtal_BW#'!$A:$Z,19,FALSE)+VLOOKUP($A318,A:AL,28,FALSE)-50))</f>
        <v>913</v>
      </c>
      <c r="AB318" s="3">
        <v>927</v>
      </c>
      <c r="AC318" s="3">
        <f>IF(ISERROR((VLOOKUP($A318,'SegEnds_NonXtal_BW#'!$A:$Z,20,FALSE)+VLOOKUP($A318,A:AL,28,FALSE)-50)),"-",(VLOOKUP($A318,'SegEnds_NonXtal_BW#'!$A:$Z,20,FALSE)+VLOOKUP($A318,A:AL,28,FALSE)-50))</f>
        <v>946</v>
      </c>
      <c r="AD318" s="3">
        <f>IF(ISERROR(VLOOKUP($A318,'SegEnds_NonXtal_BW#'!$A:$Z,21,FALSE)+VLOOKUP($A318,A:AL,31,FALSE)-50),"-",(VLOOKUP($A318,'SegEnds_NonXtal_BW#'!$A:$Z,21,FALSE)+VLOOKUP($A318,A:AL,31,FALSE)-50))</f>
        <v>991</v>
      </c>
      <c r="AE318" s="3">
        <v>1012</v>
      </c>
      <c r="AF318" s="3">
        <f>IF(ISERROR((VLOOKUP($A318,'SegEnds_NonXtal_BW#'!$A:$Z,22,FALSE)+VLOOKUP($A318,A:AL,31,FALSE)-50)),"-",(VLOOKUP($A318,'SegEnds_NonXtal_BW#'!$A:$Z,22,FALSE)+VLOOKUP($A318,A:AL,31,FALSE)-50))</f>
        <v>1015</v>
      </c>
      <c r="AG318" s="3">
        <f>IF(ISERROR(VLOOKUP($A318,'SegEnds_NonXtal_BW#'!$A:$Z,23,FALSE)+VLOOKUP($A318,A:AL,34,FALSE)-50),"-",(VLOOKUP($A318,'SegEnds_NonXtal_BW#'!$A:$Z,23,FALSE)+VLOOKUP($A318,A:AL,34,FALSE)-50))</f>
        <v>1022</v>
      </c>
      <c r="AH318" s="3">
        <v>1043</v>
      </c>
      <c r="AI318" s="3">
        <f>IF(ISERROR((VLOOKUP($A318,'SegEnds_NonXtal_BW#'!$A:$Z,24,FALSE)+VLOOKUP($A318,A:AL,34,FALSE)-50)),"-",(VLOOKUP($A318,'SegEnds_NonXtal_BW#'!$A:$Z,24,FALSE)+VLOOKUP($A318,A:AL,34,FALSE)-50))</f>
        <v>1049</v>
      </c>
      <c r="AJ318" s="3">
        <f>IF(ISERROR(VLOOKUP($A318,'SegEnds_NonXtal_BW#'!$A:$Z,25,FALSE)+VLOOKUP($A318,A:AL,37,FALSE)-50),"-",(VLOOKUP($A318,'SegEnds_NonXtal_BW#'!$A:$Z,25,FALSE)+VLOOKUP($A318,A:AL,37,FALSE)-50))</f>
        <v>1050</v>
      </c>
      <c r="AK318" s="3">
        <v>1053</v>
      </c>
      <c r="AL318" s="3">
        <f>IF(ISERROR((VLOOKUP($A318,'SegEnds_NonXtal_BW#'!$A:$Z,26,FALSE)+VLOOKUP($A318,A:AL,37,FALSE)-50)),"-",(VLOOKUP($A318,'SegEnds_NonXtal_BW#'!$A:$Z,26,FALSE)+VLOOKUP($A318,A:AL,37,FALSE)-50))</f>
        <v>1066</v>
      </c>
      <c r="AM318" s="28" t="str">
        <f>VLOOKUP(A318,Classification!A:B,2,FALSE)</f>
        <v>B2</v>
      </c>
      <c r="AN318" s="28" t="b">
        <f t="shared" si="188"/>
        <v>1</v>
      </c>
      <c r="AO318" s="3" t="str">
        <f>IF(ISERROR(MATCH(A318,'SegEnds_Xtal_Prot#'!B:B, 0)), "NoXtal", "Xtal")</f>
        <v>NoXtal</v>
      </c>
      <c r="AP318" s="3" t="str">
        <f t="shared" si="173"/>
        <v>-</v>
      </c>
      <c r="AQ318" s="3" t="str">
        <f t="shared" si="174"/>
        <v>-</v>
      </c>
      <c r="AR318" s="3" t="str">
        <f t="shared" si="175"/>
        <v>-</v>
      </c>
      <c r="AS318" s="3" t="str">
        <f t="shared" si="176"/>
        <v>-</v>
      </c>
      <c r="AT318" s="3" t="str">
        <f t="shared" si="177"/>
        <v>-</v>
      </c>
      <c r="AU318" s="3" t="str">
        <f t="shared" si="178"/>
        <v>-</v>
      </c>
      <c r="AV318" s="3">
        <f t="shared" si="179"/>
        <v>9</v>
      </c>
      <c r="AW318" s="3">
        <f t="shared" si="180"/>
        <v>2</v>
      </c>
      <c r="AX318" s="3">
        <f t="shared" si="181"/>
        <v>45</v>
      </c>
      <c r="AY318" s="3">
        <f t="shared" si="182"/>
        <v>7</v>
      </c>
      <c r="AZ318" s="3">
        <f t="shared" si="183"/>
        <v>1</v>
      </c>
      <c r="BA318" s="3">
        <f>IF(ISERROR(LEN(VLOOKUP(A318,Seqs!A:E,2,FALSE))-AL318),"-",LEN(VLOOKUP(A318,Seqs!A:E,2,FALSE))-AL318)</f>
        <v>255</v>
      </c>
      <c r="BB318" s="16">
        <f t="shared" si="184"/>
        <v>26</v>
      </c>
      <c r="BC318" s="9" t="str">
        <f t="shared" si="185"/>
        <v>-</v>
      </c>
      <c r="BD318" s="3">
        <f t="shared" si="186"/>
        <v>26</v>
      </c>
      <c r="BE318" s="3">
        <f t="shared" si="187"/>
        <v>85</v>
      </c>
    </row>
    <row r="319" spans="1:58" s="3" customFormat="1" x14ac:dyDescent="0.2">
      <c r="A319" s="3" t="s">
        <v>1179</v>
      </c>
      <c r="B319" s="3" t="str">
        <f>LOWER(VLOOKUP(A319,Xtal_Templ!A:B,2,FALSE))</f>
        <v>crfr1_human</v>
      </c>
      <c r="C319" s="3">
        <f>VLOOKUP($A319,'SegEnds_NonXtal_BW#'!$A:$Z,3,FALSE)+D319-50</f>
        <v>920</v>
      </c>
      <c r="D319" s="3">
        <v>947</v>
      </c>
      <c r="E319" s="3">
        <f>IF(ISERROR(VLOOKUP($A319,'SegEnds_NonXtal_BW#'!$A:$Z,4,FALSE)+VLOOKUP($A319,A:AL,4,FALSE)-50),"-",(VLOOKUP($A319,'SegEnds_NonXtal_BW#'!$A:$Z,4,FALSE)+VLOOKUP($A319,A:AL,4,FALSE)-50))</f>
        <v>957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963</v>
      </c>
      <c r="J319" s="3">
        <v>976</v>
      </c>
      <c r="K319" s="3">
        <f>VLOOKUP($A319,'SegEnds_NonXtal_BW#'!$A:$Z,8,FALSE)+VLOOKUP($A319,A:AL,10,FALSE)-50</f>
        <v>989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994</v>
      </c>
      <c r="P319" s="3">
        <v>1021</v>
      </c>
      <c r="Q319" s="3">
        <f>VLOOKUP($A319,'SegEnds_NonXtal_BW#'!$A:$Z,12,FALSE)+VLOOKUP($A319,A:AL,16,FALSE)-50</f>
        <v>1027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1033</v>
      </c>
      <c r="V319" s="3">
        <v>1043</v>
      </c>
      <c r="W319" s="3">
        <f>IF(ISERROR(VLOOKUP($A319,'SegEnds_NonXtal_BW#'!$A:$Z,16,FALSE)+VLOOKUP($A319,A:AL,22,FALSE)-50),"-",(VLOOKUP($A319,'SegEnds_NonXtal_BW#'!$A:$Z,16,FALSE)+VLOOKUP($A319,A:AL,22,FALSE)-50))</f>
        <v>1061</v>
      </c>
      <c r="X319" s="3">
        <f>IF(ISERROR(VLOOKUP($A319,'SegEnds_NonXtal_BW#'!$A:$Z,17,FALSE)+VLOOKUP($A319,A:AL,25,FALSE)-50),"-",(VLOOKUP($A319,'SegEnds_NonXtal_BW#'!$A:$Z,17,FALSE)+VLOOKUP($A319,A:AL,25,FALSE)-50))</f>
        <v>1068</v>
      </c>
      <c r="Y319" s="3">
        <v>1068</v>
      </c>
      <c r="Z319" s="3">
        <f t="shared" si="197"/>
        <v>1070</v>
      </c>
      <c r="AA319" s="3">
        <f>IF(ISERROR(VLOOKUP($A319,'SegEnds_NonXtal_BW#'!$A:$Z,19,FALSE)+VLOOKUP($A319,A:AL,28,FALSE)-50),"-",(VLOOKUP($A319,'SegEnds_NonXtal_BW#'!$A:$Z,19,FALSE)+VLOOKUP($A319,A:AL,28,FALSE)-50))</f>
        <v>1073</v>
      </c>
      <c r="AB319" s="3">
        <v>1087</v>
      </c>
      <c r="AC319" s="3">
        <f>IF(ISERROR((VLOOKUP($A319,'SegEnds_NonXtal_BW#'!$A:$Z,20,FALSE)+VLOOKUP($A319,A:AL,28,FALSE)-50)),"-",(VLOOKUP($A319,'SegEnds_NonXtal_BW#'!$A:$Z,20,FALSE)+VLOOKUP($A319,A:AL,28,FALSE)-50))</f>
        <v>1106</v>
      </c>
      <c r="AD319" s="3">
        <f>IF(ISERROR(VLOOKUP($A319,'SegEnds_NonXtal_BW#'!$A:$Z,21,FALSE)+VLOOKUP($A319,A:AL,31,FALSE)-50),"-",(VLOOKUP($A319,'SegEnds_NonXtal_BW#'!$A:$Z,21,FALSE)+VLOOKUP($A319,A:AL,31,FALSE)-50))</f>
        <v>1149</v>
      </c>
      <c r="AE319" s="3">
        <v>1170</v>
      </c>
      <c r="AF319" s="3">
        <f>IF(ISERROR((VLOOKUP($A319,'SegEnds_NonXtal_BW#'!$A:$Z,22,FALSE)+VLOOKUP($A319,A:AL,31,FALSE)-50)),"-",(VLOOKUP($A319,'SegEnds_NonXtal_BW#'!$A:$Z,22,FALSE)+VLOOKUP($A319,A:AL,31,FALSE)-50))</f>
        <v>1173</v>
      </c>
      <c r="AG319" s="3">
        <f>IF(ISERROR(VLOOKUP($A319,'SegEnds_NonXtal_BW#'!$A:$Z,23,FALSE)+VLOOKUP($A319,A:AL,34,FALSE)-50),"-",(VLOOKUP($A319,'SegEnds_NonXtal_BW#'!$A:$Z,23,FALSE)+VLOOKUP($A319,A:AL,34,FALSE)-50))</f>
        <v>1180</v>
      </c>
      <c r="AH319" s="3">
        <v>1199</v>
      </c>
      <c r="AI319" s="3">
        <f>IF(ISERROR((VLOOKUP($A319,'SegEnds_NonXtal_BW#'!$A:$Z,24,FALSE)+VLOOKUP($A319,A:AL,34,FALSE)-50)),"-",(VLOOKUP($A319,'SegEnds_NonXtal_BW#'!$A:$Z,24,FALSE)+VLOOKUP($A319,A:AL,34,FALSE)-50))</f>
        <v>1205</v>
      </c>
      <c r="AJ319" s="3">
        <f>IF(ISERROR(VLOOKUP($A319,'SegEnds_NonXtal_BW#'!$A:$Z,25,FALSE)+VLOOKUP($A319,A:AL,37,FALSE)-50),"-",(VLOOKUP($A319,'SegEnds_NonXtal_BW#'!$A:$Z,25,FALSE)+VLOOKUP($A319,A:AL,37,FALSE)-50))</f>
        <v>1206</v>
      </c>
      <c r="AK319" s="3">
        <v>1209</v>
      </c>
      <c r="AL319" s="3">
        <f>IF(ISERROR((VLOOKUP($A319,'SegEnds_NonXtal_BW#'!$A:$Z,26,FALSE)+VLOOKUP($A319,A:AL,37,FALSE)-50)),"-",(VLOOKUP($A319,'SegEnds_NonXtal_BW#'!$A:$Z,26,FALSE)+VLOOKUP($A319,A:AL,37,FALSE)-50))</f>
        <v>1222</v>
      </c>
      <c r="AM319" s="28" t="str">
        <f>VLOOKUP(A319,Classification!A:B,2,FALSE)</f>
        <v>B2</v>
      </c>
      <c r="AN319" s="28" t="b">
        <f t="shared" si="188"/>
        <v>1</v>
      </c>
      <c r="AO319" s="3" t="str">
        <f>IF(ISERROR(MATCH(A319,'SegEnds_Xtal_Prot#'!B:B, 0)), "NoXtal", "Xtal")</f>
        <v>NoXtal</v>
      </c>
      <c r="AP319" s="3" t="str">
        <f t="shared" si="173"/>
        <v>-</v>
      </c>
      <c r="AQ319" s="3" t="str">
        <f t="shared" si="174"/>
        <v>-</v>
      </c>
      <c r="AR319" s="3" t="str">
        <f t="shared" si="175"/>
        <v>-</v>
      </c>
      <c r="AS319" s="3" t="str">
        <f t="shared" si="176"/>
        <v>-</v>
      </c>
      <c r="AT319" s="3" t="str">
        <f t="shared" si="177"/>
        <v>-</v>
      </c>
      <c r="AU319" s="3" t="str">
        <f t="shared" si="178"/>
        <v>-</v>
      </c>
      <c r="AV319" s="3">
        <f t="shared" si="179"/>
        <v>7</v>
      </c>
      <c r="AW319" s="3">
        <f t="shared" si="180"/>
        <v>3</v>
      </c>
      <c r="AX319" s="3">
        <f t="shared" si="181"/>
        <v>43</v>
      </c>
      <c r="AY319" s="3">
        <f t="shared" si="182"/>
        <v>7</v>
      </c>
      <c r="AZ319" s="3">
        <f t="shared" si="183"/>
        <v>1</v>
      </c>
      <c r="BA319" s="3">
        <f>IF(ISERROR(LEN(VLOOKUP(A319,Seqs!A:E,2,FALSE))-AL319),"-",LEN(VLOOKUP(A319,Seqs!A:E,2,FALSE))-AL319)</f>
        <v>363</v>
      </c>
      <c r="BB319" s="16">
        <f t="shared" si="184"/>
        <v>29</v>
      </c>
      <c r="BC319" s="9" t="str">
        <f t="shared" si="185"/>
        <v>-</v>
      </c>
      <c r="BD319" s="3">
        <f t="shared" si="186"/>
        <v>29</v>
      </c>
      <c r="BE319" s="3">
        <f t="shared" si="187"/>
        <v>83</v>
      </c>
    </row>
    <row r="320" spans="1:58" s="3" customFormat="1" x14ac:dyDescent="0.2">
      <c r="A320" s="3" t="s">
        <v>1180</v>
      </c>
      <c r="B320" s="3" t="str">
        <f>LOWER(VLOOKUP(A320,Xtal_Templ!A:B,2,FALSE))</f>
        <v>crfr1_human</v>
      </c>
      <c r="C320" s="3">
        <f>VLOOKUP($A320,'SegEnds_NonXtal_BW#'!$A:$Z,3,FALSE)+D320-50</f>
        <v>865</v>
      </c>
      <c r="D320" s="3">
        <v>892</v>
      </c>
      <c r="E320" s="3">
        <f>IF(ISERROR(VLOOKUP($A320,'SegEnds_NonXtal_BW#'!$A:$Z,4,FALSE)+VLOOKUP($A320,A:AL,4,FALSE)-50),"-",(VLOOKUP($A320,'SegEnds_NonXtal_BW#'!$A:$Z,4,FALSE)+VLOOKUP($A320,A:AL,4,FALSE)-50))</f>
        <v>902</v>
      </c>
      <c r="F320" s="3" t="s">
        <v>23</v>
      </c>
      <c r="G320" s="3" t="s">
        <v>23</v>
      </c>
      <c r="H320" s="3" t="s">
        <v>23</v>
      </c>
      <c r="I320" s="3">
        <f>VLOOKUP($A320,'SegEnds_NonXtal_BW#'!$A:$Z,7,FALSE)+J320-50</f>
        <v>908</v>
      </c>
      <c r="J320" s="3">
        <v>921</v>
      </c>
      <c r="K320" s="3">
        <f>VLOOKUP($A320,'SegEnds_NonXtal_BW#'!$A:$Z,8,FALSE)+VLOOKUP($A320,A:AL,10,FALSE)-50</f>
        <v>934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939</v>
      </c>
      <c r="P320" s="3">
        <v>966</v>
      </c>
      <c r="Q320" s="3">
        <f>VLOOKUP($A320,'SegEnds_NonXtal_BW#'!$A:$Z,12,FALSE)+VLOOKUP($A320,A:AL,16,FALSE)-50</f>
        <v>972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978</v>
      </c>
      <c r="V320" s="3">
        <v>988</v>
      </c>
      <c r="W320" s="3">
        <f>IF(ISERROR(VLOOKUP($A320,'SegEnds_NonXtal_BW#'!$A:$Z,16,FALSE)+VLOOKUP($A320,A:AL,22,FALSE)-50),"-",(VLOOKUP($A320,'SegEnds_NonXtal_BW#'!$A:$Z,16,FALSE)+VLOOKUP($A320,A:AL,22,FALSE)-50))</f>
        <v>1006</v>
      </c>
      <c r="X320" s="3">
        <f>IF(ISERROR(VLOOKUP($A320,'SegEnds_NonXtal_BW#'!$A:$Z,17,FALSE)+VLOOKUP($A320,A:AL,25,FALSE)-50),"-",(VLOOKUP($A320,'SegEnds_NonXtal_BW#'!$A:$Z,17,FALSE)+VLOOKUP($A320,A:AL,25,FALSE)-50))</f>
        <v>1013</v>
      </c>
      <c r="Y320" s="3">
        <v>1013</v>
      </c>
      <c r="Z320" s="3">
        <f t="shared" si="197"/>
        <v>1015</v>
      </c>
      <c r="AA320" s="3">
        <f>IF(ISERROR(VLOOKUP($A320,'SegEnds_NonXtal_BW#'!$A:$Z,19,FALSE)+VLOOKUP($A320,A:AL,28,FALSE)-50),"-",(VLOOKUP($A320,'SegEnds_NonXtal_BW#'!$A:$Z,19,FALSE)+VLOOKUP($A320,A:AL,28,FALSE)-50))</f>
        <v>1018</v>
      </c>
      <c r="AB320" s="3">
        <v>1032</v>
      </c>
      <c r="AC320" s="3">
        <f>IF(ISERROR((VLOOKUP($A320,'SegEnds_NonXtal_BW#'!$A:$Z,20,FALSE)+VLOOKUP($A320,A:AL,28,FALSE)-50)),"-",(VLOOKUP($A320,'SegEnds_NonXtal_BW#'!$A:$Z,20,FALSE)+VLOOKUP($A320,A:AL,28,FALSE)-50))</f>
        <v>1051</v>
      </c>
      <c r="AD320" s="3">
        <f>IF(ISERROR(VLOOKUP($A320,'SegEnds_NonXtal_BW#'!$A:$Z,21,FALSE)+VLOOKUP($A320,A:AL,31,FALSE)-50),"-",(VLOOKUP($A320,'SegEnds_NonXtal_BW#'!$A:$Z,21,FALSE)+VLOOKUP($A320,A:AL,31,FALSE)-50))</f>
        <v>1094</v>
      </c>
      <c r="AE320" s="3">
        <v>1115</v>
      </c>
      <c r="AF320" s="3">
        <f>IF(ISERROR((VLOOKUP($A320,'SegEnds_NonXtal_BW#'!$A:$Z,22,FALSE)+VLOOKUP($A320,A:AL,31,FALSE)-50)),"-",(VLOOKUP($A320,'SegEnds_NonXtal_BW#'!$A:$Z,22,FALSE)+VLOOKUP($A320,A:AL,31,FALSE)-50))</f>
        <v>1118</v>
      </c>
      <c r="AG320" s="3">
        <f>IF(ISERROR(VLOOKUP($A320,'SegEnds_NonXtal_BW#'!$A:$Z,23,FALSE)+VLOOKUP($A320,A:AL,34,FALSE)-50),"-",(VLOOKUP($A320,'SegEnds_NonXtal_BW#'!$A:$Z,23,FALSE)+VLOOKUP($A320,A:AL,34,FALSE)-50))</f>
        <v>1125</v>
      </c>
      <c r="AH320" s="3">
        <v>1144</v>
      </c>
      <c r="AI320" s="3">
        <f>IF(ISERROR((VLOOKUP($A320,'SegEnds_NonXtal_BW#'!$A:$Z,24,FALSE)+VLOOKUP($A320,A:AL,34,FALSE)-50)),"-",(VLOOKUP($A320,'SegEnds_NonXtal_BW#'!$A:$Z,24,FALSE)+VLOOKUP($A320,A:AL,34,FALSE)-50))</f>
        <v>1150</v>
      </c>
      <c r="AJ320" s="3">
        <f>IF(ISERROR(VLOOKUP($A320,'SegEnds_NonXtal_BW#'!$A:$Z,25,FALSE)+VLOOKUP($A320,A:AL,37,FALSE)-50),"-",(VLOOKUP($A320,'SegEnds_NonXtal_BW#'!$A:$Z,25,FALSE)+VLOOKUP($A320,A:AL,37,FALSE)-50))</f>
        <v>1151</v>
      </c>
      <c r="AK320" s="3">
        <v>1154</v>
      </c>
      <c r="AL320" s="3">
        <f>IF(ISERROR((VLOOKUP($A320,'SegEnds_NonXtal_BW#'!$A:$Z,26,FALSE)+VLOOKUP($A320,A:AL,37,FALSE)-50)),"-",(VLOOKUP($A320,'SegEnds_NonXtal_BW#'!$A:$Z,26,FALSE)+VLOOKUP($A320,A:AL,37,FALSE)-50))</f>
        <v>1167</v>
      </c>
      <c r="AM320" s="28" t="str">
        <f>VLOOKUP(A320,Classification!A:B,2,FALSE)</f>
        <v>B2</v>
      </c>
      <c r="AN320" s="28" t="b">
        <f t="shared" si="188"/>
        <v>1</v>
      </c>
      <c r="AO320" s="3" t="str">
        <f>IF(ISERROR(MATCH(A320,'SegEnds_Xtal_Prot#'!B:B, 0)), "NoXtal", "Xtal")</f>
        <v>NoXtal</v>
      </c>
      <c r="AP320" s="3" t="str">
        <f t="shared" si="173"/>
        <v>-</v>
      </c>
      <c r="AQ320" s="3" t="str">
        <f t="shared" si="174"/>
        <v>-</v>
      </c>
      <c r="AR320" s="3" t="str">
        <f t="shared" si="175"/>
        <v>-</v>
      </c>
      <c r="AS320" s="3" t="str">
        <f t="shared" si="176"/>
        <v>-</v>
      </c>
      <c r="AT320" s="3" t="str">
        <f t="shared" si="177"/>
        <v>-</v>
      </c>
      <c r="AU320" s="3" t="str">
        <f t="shared" si="178"/>
        <v>-</v>
      </c>
      <c r="AV320" s="3">
        <f t="shared" si="179"/>
        <v>7</v>
      </c>
      <c r="AW320" s="3">
        <f t="shared" si="180"/>
        <v>3</v>
      </c>
      <c r="AX320" s="3">
        <f t="shared" si="181"/>
        <v>43</v>
      </c>
      <c r="AY320" s="3">
        <f t="shared" si="182"/>
        <v>7</v>
      </c>
      <c r="AZ320" s="3">
        <f t="shared" si="183"/>
        <v>1</v>
      </c>
      <c r="BA320" s="3">
        <f>IF(ISERROR(LEN(VLOOKUP(A320,Seqs!A:E,2,FALSE))-AL320),"-",LEN(VLOOKUP(A320,Seqs!A:E,2,FALSE))-AL320)</f>
        <v>355</v>
      </c>
      <c r="BB320" s="16">
        <f t="shared" si="184"/>
        <v>29</v>
      </c>
      <c r="BC320" s="9" t="str">
        <f t="shared" si="185"/>
        <v>-</v>
      </c>
      <c r="BD320" s="3">
        <f t="shared" si="186"/>
        <v>29</v>
      </c>
      <c r="BE320" s="3">
        <f t="shared" si="187"/>
        <v>83</v>
      </c>
    </row>
    <row r="321" spans="1:59" s="3" customFormat="1" x14ac:dyDescent="0.2">
      <c r="A321" s="3" t="s">
        <v>1181</v>
      </c>
      <c r="B321" s="3" t="str">
        <f>LOWER(VLOOKUP(A321,Xtal_Templ!A:B,2,FALSE))</f>
        <v>crfr1_human</v>
      </c>
      <c r="C321" s="3">
        <f>VLOOKUP($A321,'SegEnds_NonXtal_BW#'!$A:$Z,3,FALSE)+D321-50</f>
        <v>554</v>
      </c>
      <c r="D321" s="3">
        <v>581</v>
      </c>
      <c r="E321" s="3">
        <f>IF(ISERROR(VLOOKUP($A321,'SegEnds_NonXtal_BW#'!$A:$Z,4,FALSE)+VLOOKUP($A321,A:AL,4,FALSE)-50),"-",(VLOOKUP($A321,'SegEnds_NonXtal_BW#'!$A:$Z,4,FALSE)+VLOOKUP($A321,A:AL,4,FALSE)-50))</f>
        <v>591</v>
      </c>
      <c r="F321" s="3">
        <f>G321-2</f>
        <v>592</v>
      </c>
      <c r="G321" s="3">
        <v>594</v>
      </c>
      <c r="H321" s="3">
        <f>G321+1</f>
        <v>595</v>
      </c>
      <c r="I321" s="3">
        <f>H321+1</f>
        <v>596</v>
      </c>
      <c r="J321" s="3">
        <v>612</v>
      </c>
      <c r="K321" s="3">
        <f>VLOOKUP($A321,'SegEnds_NonXtal_BW#'!$A:$Z,8,FALSE)+VLOOKUP($A321,A:AL,10,FALSE)-50</f>
        <v>625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630</v>
      </c>
      <c r="P321" s="3">
        <v>657</v>
      </c>
      <c r="Q321" s="3">
        <f>VLOOKUP($A321,'SegEnds_NonXtal_BW#'!$A:$Z,12,FALSE)+VLOOKUP($A321,A:AL,16,FALSE)-50</f>
        <v>663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670</v>
      </c>
      <c r="V321" s="3">
        <v>680</v>
      </c>
      <c r="W321" s="3">
        <f>IF(ISERROR(VLOOKUP($A321,'SegEnds_NonXtal_BW#'!$A:$Z,16,FALSE)+VLOOKUP($A321,A:AL,22,FALSE)-50),"-",(VLOOKUP($A321,'SegEnds_NonXtal_BW#'!$A:$Z,16,FALSE)+VLOOKUP($A321,A:AL,22,FALSE)-50))</f>
        <v>698</v>
      </c>
      <c r="X321" s="3">
        <f>IF(ISERROR(VLOOKUP($A321,'SegEnds_NonXtal_BW#'!$A:$Z,17,FALSE)+VLOOKUP($A321,A:AL,25,FALSE)-50),"-",(VLOOKUP($A321,'SegEnds_NonXtal_BW#'!$A:$Z,17,FALSE)+VLOOKUP($A321,A:AL,25,FALSE)-50))</f>
        <v>704</v>
      </c>
      <c r="Y321" s="3">
        <v>704</v>
      </c>
      <c r="Z321" s="3">
        <f t="shared" si="197"/>
        <v>706</v>
      </c>
      <c r="AA321" s="3">
        <f>IF(ISERROR(VLOOKUP($A321,'SegEnds_NonXtal_BW#'!$A:$Z,19,FALSE)+VLOOKUP($A321,A:AL,28,FALSE)-50),"-",(VLOOKUP($A321,'SegEnds_NonXtal_BW#'!$A:$Z,19,FALSE)+VLOOKUP($A321,A:AL,28,FALSE)-50))</f>
        <v>709</v>
      </c>
      <c r="AB321" s="3">
        <v>723</v>
      </c>
      <c r="AC321" s="3">
        <f>IF(ISERROR((VLOOKUP($A321,'SegEnds_NonXtal_BW#'!$A:$Z,20,FALSE)+VLOOKUP($A321,A:AL,28,FALSE)-50)),"-",(VLOOKUP($A321,'SegEnds_NonXtal_BW#'!$A:$Z,20,FALSE)+VLOOKUP($A321,A:AL,28,FALSE)-50))</f>
        <v>742</v>
      </c>
      <c r="AD321" s="3">
        <f>IF(ISERROR(VLOOKUP($A321,'SegEnds_NonXtal_BW#'!$A:$Z,21,FALSE)+VLOOKUP($A321,A:AL,31,FALSE)-50),"-",(VLOOKUP($A321,'SegEnds_NonXtal_BW#'!$A:$Z,21,FALSE)+VLOOKUP($A321,A:AL,31,FALSE)-50))</f>
        <v>754</v>
      </c>
      <c r="AE321" s="3">
        <v>775</v>
      </c>
      <c r="AF321" s="3">
        <f>IF(ISERROR((VLOOKUP($A321,'SegEnds_NonXtal_BW#'!$A:$Z,22,FALSE)+VLOOKUP($A321,A:AL,31,FALSE)-50)),"-",(VLOOKUP($A321,'SegEnds_NonXtal_BW#'!$A:$Z,22,FALSE)+VLOOKUP($A321,A:AL,31,FALSE)-50))</f>
        <v>778</v>
      </c>
      <c r="AG321" s="3">
        <f>IF(ISERROR(VLOOKUP($A321,'SegEnds_NonXtal_BW#'!$A:$Z,23,FALSE)+VLOOKUP($A321,A:AL,34,FALSE)-50),"-",(VLOOKUP($A321,'SegEnds_NonXtal_BW#'!$A:$Z,23,FALSE)+VLOOKUP($A321,A:AL,34,FALSE)-50))</f>
        <v>784</v>
      </c>
      <c r="AH321" s="3">
        <v>803</v>
      </c>
      <c r="AI321" s="3">
        <f>IF(ISERROR((VLOOKUP($A321,'SegEnds_NonXtal_BW#'!$A:$Z,24,FALSE)+VLOOKUP($A321,A:AL,34,FALSE)-50)),"-",(VLOOKUP($A321,'SegEnds_NonXtal_BW#'!$A:$Z,24,FALSE)+VLOOKUP($A321,A:AL,34,FALSE)-50))</f>
        <v>809</v>
      </c>
      <c r="AJ321" s="3">
        <f>IF(ISERROR(VLOOKUP($A321,'SegEnds_NonXtal_BW#'!$A:$Z,25,FALSE)+VLOOKUP($A321,A:AL,37,FALSE)-50),"-",(VLOOKUP($A321,'SegEnds_NonXtal_BW#'!$A:$Z,25,FALSE)+VLOOKUP($A321,A:AL,37,FALSE)-50))</f>
        <v>810</v>
      </c>
      <c r="AK321" s="3">
        <v>813</v>
      </c>
      <c r="AL321" s="3">
        <f>IF(ISERROR((VLOOKUP($A321,'SegEnds_NonXtal_BW#'!$A:$Z,26,FALSE)+VLOOKUP($A321,A:AL,37,FALSE)-50)),"-",(VLOOKUP($A321,'SegEnds_NonXtal_BW#'!$A:$Z,26,FALSE)+VLOOKUP($A321,A:AL,37,FALSE)-50))</f>
        <v>826</v>
      </c>
      <c r="AM321" s="28" t="str">
        <f>VLOOKUP(A321,Classification!A:B,2,FALSE)</f>
        <v>B2</v>
      </c>
      <c r="AN321" s="28" t="b">
        <f t="shared" si="188"/>
        <v>1</v>
      </c>
      <c r="AO321" s="3" t="str">
        <f>IF(ISERROR(MATCH(A321,'SegEnds_Xtal_Prot#'!B:B, 0)), "NoXtal", "Xtal")</f>
        <v>NoXtal</v>
      </c>
      <c r="AP321" s="3">
        <f t="shared" si="173"/>
        <v>1</v>
      </c>
      <c r="AQ321" s="3">
        <f t="shared" si="174"/>
        <v>1</v>
      </c>
      <c r="AR321" s="3" t="str">
        <f t="shared" si="175"/>
        <v>-</v>
      </c>
      <c r="AS321" s="3" t="str">
        <f t="shared" si="176"/>
        <v>-</v>
      </c>
      <c r="AT321" s="3" t="str">
        <f t="shared" si="177"/>
        <v>-</v>
      </c>
      <c r="AU321" s="3" t="str">
        <f t="shared" si="178"/>
        <v>-</v>
      </c>
      <c r="AV321" s="3">
        <f t="shared" si="179"/>
        <v>6</v>
      </c>
      <c r="AW321" s="3">
        <f t="shared" si="180"/>
        <v>3</v>
      </c>
      <c r="AX321" s="3">
        <f t="shared" si="181"/>
        <v>12</v>
      </c>
      <c r="AY321" s="3">
        <f t="shared" si="182"/>
        <v>6</v>
      </c>
      <c r="AZ321" s="3">
        <f t="shared" si="183"/>
        <v>1</v>
      </c>
      <c r="BA321" s="3">
        <f>IF(ISERROR(LEN(VLOOKUP(A321,Seqs!A:E,2,FALSE))-AL321),"-",LEN(VLOOKUP(A321,Seqs!A:E,2,FALSE))-AL321)</f>
        <v>48</v>
      </c>
      <c r="BB321" s="16">
        <f t="shared" si="184"/>
        <v>31</v>
      </c>
      <c r="BC321" s="9" t="str">
        <f t="shared" si="185"/>
        <v>-</v>
      </c>
      <c r="BD321" s="3">
        <f t="shared" si="186"/>
        <v>31</v>
      </c>
      <c r="BE321" s="3">
        <f t="shared" si="187"/>
        <v>52</v>
      </c>
    </row>
    <row r="322" spans="1:59" s="3" customFormat="1" x14ac:dyDescent="0.2">
      <c r="A322" s="3" t="s">
        <v>1182</v>
      </c>
      <c r="B322" s="3" t="str">
        <f>LOWER(VLOOKUP(A322,Xtal_Templ!A:B,2,FALSE))</f>
        <v>crfr1_human</v>
      </c>
      <c r="C322" s="3">
        <f>VLOOKUP($A322,'SegEnds_NonXtal_BW#'!$A:$Z,3,FALSE)+D322-50</f>
        <v>646</v>
      </c>
      <c r="D322" s="3">
        <v>673</v>
      </c>
      <c r="E322" s="3">
        <f>IF(ISERROR(VLOOKUP($A322,'SegEnds_NonXtal_BW#'!$A:$Z,4,FALSE)+VLOOKUP($A322,A:AL,4,FALSE)-50),"-",(VLOOKUP($A322,'SegEnds_NonXtal_BW#'!$A:$Z,4,FALSE)+VLOOKUP($A322,A:AL,4,FALSE)-50))</f>
        <v>683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688</v>
      </c>
      <c r="J322" s="3">
        <v>701</v>
      </c>
      <c r="K322" s="3">
        <f>VLOOKUP($A322,'SegEnds_NonXtal_BW#'!$A:$Z,8,FALSE)+VLOOKUP($A322,A:AL,10,FALSE)-50</f>
        <v>714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719</v>
      </c>
      <c r="P322" s="3">
        <v>746</v>
      </c>
      <c r="Q322" s="3">
        <f>VLOOKUP($A322,'SegEnds_NonXtal_BW#'!$A:$Z,12,FALSE)+VLOOKUP($A322,A:AL,16,FALSE)-50</f>
        <v>752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759</v>
      </c>
      <c r="V322" s="3">
        <v>769</v>
      </c>
      <c r="W322" s="3">
        <f>IF(ISERROR(VLOOKUP($A322,'SegEnds_NonXtal_BW#'!$A:$Z,16,FALSE)+VLOOKUP($A322,A:AL,22,FALSE)-50),"-",(VLOOKUP($A322,'SegEnds_NonXtal_BW#'!$A:$Z,16,FALSE)+VLOOKUP($A322,A:AL,22,FALSE)-50))</f>
        <v>787</v>
      </c>
      <c r="X322" s="3">
        <f>IF(ISERROR(VLOOKUP($A322,'SegEnds_NonXtal_BW#'!$A:$Z,17,FALSE)+VLOOKUP($A322,A:AL,25,FALSE)-50),"-",(VLOOKUP($A322,'SegEnds_NonXtal_BW#'!$A:$Z,17,FALSE)+VLOOKUP($A322,A:AL,25,FALSE)-50))</f>
        <v>793</v>
      </c>
      <c r="Y322" s="3">
        <v>793</v>
      </c>
      <c r="Z322" s="3">
        <f t="shared" si="197"/>
        <v>795</v>
      </c>
      <c r="AA322" s="3">
        <f>IF(ISERROR(VLOOKUP($A322,'SegEnds_NonXtal_BW#'!$A:$Z,19,FALSE)+VLOOKUP($A322,A:AL,28,FALSE)-50),"-",(VLOOKUP($A322,'SegEnds_NonXtal_BW#'!$A:$Z,19,FALSE)+VLOOKUP($A322,A:AL,28,FALSE)-50))</f>
        <v>798</v>
      </c>
      <c r="AB322" s="3">
        <v>812</v>
      </c>
      <c r="AC322" s="3">
        <f>IF(ISERROR((VLOOKUP($A322,'SegEnds_NonXtal_BW#'!$A:$Z,20,FALSE)+VLOOKUP($A322,A:AL,28,FALSE)-50)),"-",(VLOOKUP($A322,'SegEnds_NonXtal_BW#'!$A:$Z,20,FALSE)+VLOOKUP($A322,A:AL,28,FALSE)-50))</f>
        <v>831</v>
      </c>
      <c r="AD322" s="3">
        <f>IF(ISERROR(VLOOKUP($A322,'SegEnds_NonXtal_BW#'!$A:$Z,21,FALSE)+VLOOKUP($A322,A:AL,31,FALSE)-50),"-",(VLOOKUP($A322,'SegEnds_NonXtal_BW#'!$A:$Z,21,FALSE)+VLOOKUP($A322,A:AL,31,FALSE)-50))</f>
        <v>857</v>
      </c>
      <c r="AE322" s="3">
        <v>878</v>
      </c>
      <c r="AF322" s="3">
        <f>IF(ISERROR((VLOOKUP($A322,'SegEnds_NonXtal_BW#'!$A:$Z,22,FALSE)+VLOOKUP($A322,A:AL,31,FALSE)-50)),"-",(VLOOKUP($A322,'SegEnds_NonXtal_BW#'!$A:$Z,22,FALSE)+VLOOKUP($A322,A:AL,31,FALSE)-50))</f>
        <v>878</v>
      </c>
      <c r="AG322" s="3">
        <f>IF(ISERROR(VLOOKUP($A322,'SegEnds_NonXtal_BW#'!$A:$Z,23,FALSE)+VLOOKUP($A322,A:AL,34,FALSE)-50),"-",(VLOOKUP($A322,'SegEnds_NonXtal_BW#'!$A:$Z,23,FALSE)+VLOOKUP($A322,A:AL,34,FALSE)-50))</f>
        <v>881</v>
      </c>
      <c r="AH322" s="3">
        <v>898</v>
      </c>
      <c r="AI322" s="3">
        <f>IF(ISERROR((VLOOKUP($A322,'SegEnds_NonXtal_BW#'!$A:$Z,24,FALSE)+VLOOKUP($A322,A:AL,34,FALSE)-50)),"-",(VLOOKUP($A322,'SegEnds_NonXtal_BW#'!$A:$Z,24,FALSE)+VLOOKUP($A322,A:AL,34,FALSE)-50))</f>
        <v>904</v>
      </c>
      <c r="AJ322" s="3">
        <f>IF(ISERROR(VLOOKUP($A322,'SegEnds_NonXtal_BW#'!$A:$Z,25,FALSE)+VLOOKUP($A322,A:AL,37,FALSE)-50),"-",(VLOOKUP($A322,'SegEnds_NonXtal_BW#'!$A:$Z,25,FALSE)+VLOOKUP($A322,A:AL,37,FALSE)-50))</f>
        <v>905</v>
      </c>
      <c r="AK322" s="3">
        <v>908</v>
      </c>
      <c r="AL322" s="3">
        <f>IF(ISERROR((VLOOKUP($A322,'SegEnds_NonXtal_BW#'!$A:$Z,26,FALSE)+VLOOKUP($A322,A:AL,37,FALSE)-50)),"-",(VLOOKUP($A322,'SegEnds_NonXtal_BW#'!$A:$Z,26,FALSE)+VLOOKUP($A322,A:AL,37,FALSE)-50))</f>
        <v>921</v>
      </c>
      <c r="AM322" s="28" t="str">
        <f>VLOOKUP(A322,Classification!A:B,2,FALSE)</f>
        <v>B2</v>
      </c>
      <c r="AN322" s="28" t="b">
        <f t="shared" si="188"/>
        <v>1</v>
      </c>
      <c r="AO322" s="3" t="str">
        <f>IF(ISERROR(MATCH(A322,'SegEnds_Xtal_Prot#'!B:B, 0)), "NoXtal", "Xtal")</f>
        <v>NoXtal</v>
      </c>
      <c r="AP322" s="3" t="str">
        <f t="shared" si="173"/>
        <v>-</v>
      </c>
      <c r="AQ322" s="3" t="str">
        <f t="shared" si="174"/>
        <v>-</v>
      </c>
      <c r="AR322" s="3" t="str">
        <f t="shared" si="175"/>
        <v>-</v>
      </c>
      <c r="AS322" s="3" t="str">
        <f t="shared" si="176"/>
        <v>-</v>
      </c>
      <c r="AT322" s="3" t="str">
        <f t="shared" si="177"/>
        <v>-</v>
      </c>
      <c r="AU322" s="3" t="str">
        <f t="shared" si="178"/>
        <v>-</v>
      </c>
      <c r="AV322" s="3">
        <f t="shared" si="179"/>
        <v>6</v>
      </c>
      <c r="AW322" s="3">
        <f t="shared" si="180"/>
        <v>3</v>
      </c>
      <c r="AX322" s="3">
        <f t="shared" si="181"/>
        <v>26</v>
      </c>
      <c r="AY322" s="3">
        <f t="shared" si="182"/>
        <v>3</v>
      </c>
      <c r="AZ322" s="3">
        <f t="shared" si="183"/>
        <v>1</v>
      </c>
      <c r="BA322" s="3">
        <f>IF(ISERROR(LEN(VLOOKUP(A322,Seqs!A:E,2,FALSE))-AL322),"-",LEN(VLOOKUP(A322,Seqs!A:E,2,FALSE))-AL322)</f>
        <v>42</v>
      </c>
      <c r="BB322" s="16">
        <f t="shared" si="184"/>
        <v>28</v>
      </c>
      <c r="BC322" s="9" t="str">
        <f t="shared" si="185"/>
        <v>-</v>
      </c>
      <c r="BD322" s="3">
        <f t="shared" si="186"/>
        <v>28</v>
      </c>
      <c r="BE322" s="3">
        <f t="shared" si="187"/>
        <v>66</v>
      </c>
    </row>
    <row r="323" spans="1:59" s="3" customFormat="1" x14ac:dyDescent="0.2">
      <c r="A323" s="3" t="s">
        <v>1183</v>
      </c>
      <c r="B323" s="3" t="str">
        <f>LOWER(VLOOKUP(A323,Xtal_Templ!A:B,2,FALSE))</f>
        <v>pth1r_human</v>
      </c>
      <c r="C323" s="3">
        <f>VLOOKUP($A323,'SegEnds_NonXtal_BW#'!$A:$Z,3,FALSE)+D323-50</f>
        <v>590</v>
      </c>
      <c r="D323" s="3">
        <v>617</v>
      </c>
      <c r="E323" s="3">
        <f>IF(ISERROR(VLOOKUP($A323,'SegEnds_NonXtal_BW#'!$A:$Z,4,FALSE)+VLOOKUP($A323,A:AL,4,FALSE)-50),"-",(VLOOKUP($A323,'SegEnds_NonXtal_BW#'!$A:$Z,4,FALSE)+VLOOKUP($A323,A:AL,4,FALSE)-50))</f>
        <v>627</v>
      </c>
      <c r="F323" s="3" t="s">
        <v>23</v>
      </c>
      <c r="G323" s="3" t="s">
        <v>23</v>
      </c>
      <c r="H323" s="3" t="s">
        <v>23</v>
      </c>
      <c r="I323" s="3">
        <f>VLOOKUP($A323,'SegEnds_NonXtal_BW#'!$A:$Z,7,FALSE)+J323-50</f>
        <v>632</v>
      </c>
      <c r="J323" s="3">
        <v>645</v>
      </c>
      <c r="K323" s="3">
        <f>VLOOKUP($A323,'SegEnds_NonXtal_BW#'!$A:$Z,8,FALSE)+VLOOKUP($A323,A:AL,10,FALSE)-50</f>
        <v>658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663</v>
      </c>
      <c r="P323" s="3">
        <v>690</v>
      </c>
      <c r="Q323" s="3">
        <f>VLOOKUP($A323,'SegEnds_NonXtal_BW#'!$A:$Z,12,FALSE)+VLOOKUP($A323,A:AL,16,FALSE)-50</f>
        <v>696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705</v>
      </c>
      <c r="V323" s="3">
        <v>718</v>
      </c>
      <c r="W323" s="3">
        <f>IF(ISERROR(VLOOKUP($A323,'SegEnds_NonXtal_BW#'!$A:$Z,16,FALSE)+VLOOKUP($A323,A:AL,22,FALSE)-50),"-",(VLOOKUP($A323,'SegEnds_NonXtal_BW#'!$A:$Z,16,FALSE)+VLOOKUP($A323,A:AL,22,FALSE)-50))</f>
        <v>736</v>
      </c>
      <c r="X323" s="3">
        <f>IF(ISERROR(VLOOKUP($A323,'SegEnds_NonXtal_BW#'!$A:$Z,17,FALSE)+VLOOKUP($A323,A:AL,25,FALSE)-50),"-",(VLOOKUP($A323,'SegEnds_NonXtal_BW#'!$A:$Z,17,FALSE)+VLOOKUP($A323,A:AL,25,FALSE)-50))</f>
        <v>742</v>
      </c>
      <c r="Y323" s="3">
        <v>742</v>
      </c>
      <c r="Z323" s="3">
        <f t="shared" si="197"/>
        <v>744</v>
      </c>
      <c r="AA323" s="3">
        <f>IF(ISERROR(VLOOKUP($A323,'SegEnds_NonXtal_BW#'!$A:$Z,19,FALSE)+VLOOKUP($A323,A:AL,28,FALSE)-50),"-",(VLOOKUP($A323,'SegEnds_NonXtal_BW#'!$A:$Z,19,FALSE)+VLOOKUP($A323,A:AL,28,FALSE)-50))</f>
        <v>747</v>
      </c>
      <c r="AB323" s="3">
        <v>761</v>
      </c>
      <c r="AC323" s="3">
        <f>IF(ISERROR((VLOOKUP($A323,'SegEnds_NonXtal_BW#'!$A:$Z,20,FALSE)+VLOOKUP($A323,A:AL,28,FALSE)-50)),"-",(VLOOKUP($A323,'SegEnds_NonXtal_BW#'!$A:$Z,20,FALSE)+VLOOKUP($A323,A:AL,28,FALSE)-50))</f>
        <v>780</v>
      </c>
      <c r="AD323" s="3">
        <f>IF(ISERROR(VLOOKUP($A323,'SegEnds_NonXtal_BW#'!$A:$Z,21,FALSE)+VLOOKUP($A323,A:AL,31,FALSE)-50),"-",(VLOOKUP($A323,'SegEnds_NonXtal_BW#'!$A:$Z,21,FALSE)+VLOOKUP($A323,A:AL,31,FALSE)-50))</f>
        <v>792</v>
      </c>
      <c r="AE323" s="3">
        <v>813</v>
      </c>
      <c r="AF323" s="3">
        <f>IF(ISERROR((VLOOKUP($A323,'SegEnds_NonXtal_BW#'!$A:$Z,22,FALSE)+VLOOKUP($A323,A:AL,31,FALSE)-50)),"-",(VLOOKUP($A323,'SegEnds_NonXtal_BW#'!$A:$Z,22,FALSE)+VLOOKUP($A323,A:AL,31,FALSE)-50))</f>
        <v>817</v>
      </c>
      <c r="AG323" s="3">
        <f>IF(ISERROR(VLOOKUP($A323,'SegEnds_NonXtal_BW#'!$A:$Z,23,FALSE)+VLOOKUP($A323,A:AL,34,FALSE)-50),"-",(VLOOKUP($A323,'SegEnds_NonXtal_BW#'!$A:$Z,23,FALSE)+VLOOKUP($A323,A:AL,34,FALSE)-50))</f>
        <v>822</v>
      </c>
      <c r="AH323" s="3">
        <v>841</v>
      </c>
      <c r="AI323" s="3">
        <f>IF(ISERROR((VLOOKUP($A323,'SegEnds_NonXtal_BW#'!$A:$Z,24,FALSE)+VLOOKUP($A323,A:AL,34,FALSE)-50)),"-",(VLOOKUP($A323,'SegEnds_NonXtal_BW#'!$A:$Z,24,FALSE)+VLOOKUP($A323,A:AL,34,FALSE)-50))</f>
        <v>847</v>
      </c>
      <c r="AJ323" s="3">
        <f>IF(ISERROR(VLOOKUP($A323,'SegEnds_NonXtal_BW#'!$A:$Z,25,FALSE)+VLOOKUP($A323,A:AL,37,FALSE)-50),"-",(VLOOKUP($A323,'SegEnds_NonXtal_BW#'!$A:$Z,25,FALSE)+VLOOKUP($A323,A:AL,37,FALSE)-50))</f>
        <v>848</v>
      </c>
      <c r="AK323" s="3">
        <v>851</v>
      </c>
      <c r="AL323" s="3">
        <f>IF(ISERROR((VLOOKUP($A323,'SegEnds_NonXtal_BW#'!$A:$Z,26,FALSE)+VLOOKUP($A323,A:AL,37,FALSE)-50)),"-",(VLOOKUP($A323,'SegEnds_NonXtal_BW#'!$A:$Z,26,FALSE)+VLOOKUP($A323,A:AL,37,FALSE)-50))</f>
        <v>864</v>
      </c>
      <c r="AM323" s="28" t="str">
        <f>VLOOKUP(A323,Classification!A:B,2,FALSE)</f>
        <v>B2</v>
      </c>
      <c r="AN323" s="28" t="b">
        <f t="shared" si="188"/>
        <v>1</v>
      </c>
      <c r="AO323" s="3" t="str">
        <f>IF(ISERROR(MATCH(A323,'SegEnds_Xtal_Prot#'!B:B, 0)), "NoXtal", "Xtal")</f>
        <v>NoXtal</v>
      </c>
      <c r="AP323" s="3" t="str">
        <f t="shared" si="173"/>
        <v>-</v>
      </c>
      <c r="AQ323" s="3" t="str">
        <f t="shared" si="174"/>
        <v>-</v>
      </c>
      <c r="AR323" s="3" t="str">
        <f t="shared" si="175"/>
        <v>-</v>
      </c>
      <c r="AS323" s="3" t="str">
        <f t="shared" si="176"/>
        <v>-</v>
      </c>
      <c r="AT323" s="3" t="str">
        <f t="shared" si="177"/>
        <v>-</v>
      </c>
      <c r="AU323" s="3" t="str">
        <f t="shared" si="178"/>
        <v>-</v>
      </c>
      <c r="AV323" s="3">
        <f t="shared" si="179"/>
        <v>6</v>
      </c>
      <c r="AW323" s="3">
        <f t="shared" si="180"/>
        <v>3</v>
      </c>
      <c r="AX323" s="3">
        <f t="shared" si="181"/>
        <v>12</v>
      </c>
      <c r="AY323" s="3">
        <f t="shared" si="182"/>
        <v>5</v>
      </c>
      <c r="AZ323" s="3">
        <f t="shared" si="183"/>
        <v>1</v>
      </c>
      <c r="BA323" s="3">
        <f>IF(ISERROR(LEN(VLOOKUP(A323,Seqs!A:E,2,FALSE))-AL323),"-",LEN(VLOOKUP(A323,Seqs!A:E,2,FALSE))-AL323)</f>
        <v>22</v>
      </c>
      <c r="BB323" s="16">
        <f t="shared" si="184"/>
        <v>28</v>
      </c>
      <c r="BC323" s="9" t="str">
        <f t="shared" si="185"/>
        <v>-</v>
      </c>
      <c r="BD323" s="3">
        <f t="shared" si="186"/>
        <v>28</v>
      </c>
      <c r="BE323" s="3">
        <f t="shared" si="187"/>
        <v>52</v>
      </c>
      <c r="BF323" s="3">
        <f>AH323-AE323</f>
        <v>28</v>
      </c>
    </row>
    <row r="324" spans="1:59" s="3" customFormat="1" x14ac:dyDescent="0.2">
      <c r="A324" s="3" t="s">
        <v>1184</v>
      </c>
      <c r="B324" s="3" t="str">
        <f>LOWER(VLOOKUP(A324,Xtal_Templ!A:B,2,FALSE))</f>
        <v>glp1r_human</v>
      </c>
      <c r="C324" s="3">
        <f>VLOOKUP($A324,'SegEnds_NonXtal_BW#'!$A:$Z,3,FALSE)+D324-50</f>
        <v>524</v>
      </c>
      <c r="D324" s="3">
        <v>551</v>
      </c>
      <c r="E324" s="3">
        <f>IF(ISERROR(VLOOKUP($A324,'SegEnds_NonXtal_BW#'!$A:$Z,4,FALSE)+VLOOKUP($A324,A:AL,4,FALSE)-50),"-",(VLOOKUP($A324,'SegEnds_NonXtal_BW#'!$A:$Z,4,FALSE)+VLOOKUP($A324,A:AL,4,FALSE)-50))</f>
        <v>561</v>
      </c>
      <c r="F324" s="3">
        <f>G324-2</f>
        <v>562</v>
      </c>
      <c r="G324" s="3">
        <v>564</v>
      </c>
      <c r="H324" s="3">
        <f t="shared" ref="H324:I326" si="199">G324+1</f>
        <v>565</v>
      </c>
      <c r="I324" s="3">
        <f t="shared" si="199"/>
        <v>566</v>
      </c>
      <c r="J324" s="3">
        <v>579</v>
      </c>
      <c r="K324" s="3">
        <f>VLOOKUP($A324,'SegEnds_NonXtal_BW#'!$A:$Z,8,FALSE)+VLOOKUP($A324,A:AL,10,FALSE)-50</f>
        <v>592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597</v>
      </c>
      <c r="P324" s="3">
        <v>624</v>
      </c>
      <c r="Q324" s="3">
        <f>VLOOKUP($A324,'SegEnds_NonXtal_BW#'!$A:$Z,12,FALSE)+VLOOKUP($A324,A:AL,16,FALSE)-50</f>
        <v>630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640</v>
      </c>
      <c r="V324" s="3">
        <v>652</v>
      </c>
      <c r="W324" s="3">
        <f>IF(ISERROR(VLOOKUP($A324,'SegEnds_NonXtal_BW#'!$A:$Z,16,FALSE)+VLOOKUP($A324,A:AL,22,FALSE)-50),"-",(VLOOKUP($A324,'SegEnds_NonXtal_BW#'!$A:$Z,16,FALSE)+VLOOKUP($A324,A:AL,22,FALSE)-50))</f>
        <v>670</v>
      </c>
      <c r="X324" s="3">
        <f>IF(ISERROR(VLOOKUP($A324,'SegEnds_NonXtal_BW#'!$A:$Z,17,FALSE)+VLOOKUP($A324,A:AL,25,FALSE)-50),"-",(VLOOKUP($A324,'SegEnds_NonXtal_BW#'!$A:$Z,17,FALSE)+VLOOKUP($A324,A:AL,25,FALSE)-50))</f>
        <v>676</v>
      </c>
      <c r="Y324" s="3">
        <v>676</v>
      </c>
      <c r="Z324" s="3">
        <f t="shared" si="197"/>
        <v>678</v>
      </c>
      <c r="AA324" s="3">
        <f>IF(ISERROR(VLOOKUP($A324,'SegEnds_NonXtal_BW#'!$A:$Z,19,FALSE)+VLOOKUP($A324,A:AL,28,FALSE)-50),"-",(VLOOKUP($A324,'SegEnds_NonXtal_BW#'!$A:$Z,19,FALSE)+VLOOKUP($A324,A:AL,28,FALSE)-50))</f>
        <v>681</v>
      </c>
      <c r="AB324" s="3">
        <v>695</v>
      </c>
      <c r="AC324" s="3">
        <f>IF(ISERROR((VLOOKUP($A324,'SegEnds_NonXtal_BW#'!$A:$Z,20,FALSE)+VLOOKUP($A324,A:AL,28,FALSE)-50)),"-",(VLOOKUP($A324,'SegEnds_NonXtal_BW#'!$A:$Z,20,FALSE)+VLOOKUP($A324,A:AL,28,FALSE)-50))</f>
        <v>714</v>
      </c>
      <c r="AD324" s="3">
        <f>IF(ISERROR(VLOOKUP($A324,'SegEnds_NonXtal_BW#'!$A:$Z,21,FALSE)+VLOOKUP($A324,A:AL,31,FALSE)-50),"-",(VLOOKUP($A324,'SegEnds_NonXtal_BW#'!$A:$Z,21,FALSE)+VLOOKUP($A324,A:AL,31,FALSE)-50))</f>
        <v>726</v>
      </c>
      <c r="AE324" s="3">
        <v>747</v>
      </c>
      <c r="AF324" s="3">
        <f>IF(ISERROR((VLOOKUP($A324,'SegEnds_NonXtal_BW#'!$A:$Z,22,FALSE)+VLOOKUP($A324,A:AL,31,FALSE)-50)),"-",(VLOOKUP($A324,'SegEnds_NonXtal_BW#'!$A:$Z,22,FALSE)+VLOOKUP($A324,A:AL,31,FALSE)-50))</f>
        <v>750</v>
      </c>
      <c r="AG324" s="3">
        <f>IF(ISERROR(VLOOKUP($A324,'SegEnds_NonXtal_BW#'!$A:$Z,23,FALSE)+VLOOKUP($A324,A:AL,34,FALSE)-50),"-",(VLOOKUP($A324,'SegEnds_NonXtal_BW#'!$A:$Z,23,FALSE)+VLOOKUP($A324,A:AL,34,FALSE)-50))</f>
        <v>756</v>
      </c>
      <c r="AH324" s="3">
        <v>775</v>
      </c>
      <c r="AI324" s="3">
        <f>IF(ISERROR((VLOOKUP($A324,'SegEnds_NonXtal_BW#'!$A:$Z,24,FALSE)+VLOOKUP($A324,A:AL,34,FALSE)-50)),"-",(VLOOKUP($A324,'SegEnds_NonXtal_BW#'!$A:$Z,24,FALSE)+VLOOKUP($A324,A:AL,34,FALSE)-50))</f>
        <v>781</v>
      </c>
      <c r="AJ324" s="3">
        <f>IF(ISERROR(VLOOKUP($A324,'SegEnds_NonXtal_BW#'!$A:$Z,25,FALSE)+VLOOKUP($A324,A:AL,37,FALSE)-50),"-",(VLOOKUP($A324,'SegEnds_NonXtal_BW#'!$A:$Z,25,FALSE)+VLOOKUP($A324,A:AL,37,FALSE)-50))</f>
        <v>782</v>
      </c>
      <c r="AK324" s="3">
        <v>785</v>
      </c>
      <c r="AL324" s="3">
        <f>IF(ISERROR((VLOOKUP($A324,'SegEnds_NonXtal_BW#'!$A:$Z,26,FALSE)+VLOOKUP($A324,A:AL,37,FALSE)-50)),"-",(VLOOKUP($A324,'SegEnds_NonXtal_BW#'!$A:$Z,26,FALSE)+VLOOKUP($A324,A:AL,37,FALSE)-50))</f>
        <v>798</v>
      </c>
      <c r="AM324" s="28" t="str">
        <f>VLOOKUP(A324,Classification!A:B,2,FALSE)</f>
        <v>B2</v>
      </c>
      <c r="AN324" s="28" t="b">
        <f t="shared" si="188"/>
        <v>1</v>
      </c>
      <c r="AO324" s="3" t="str">
        <f>IF(ISERROR(MATCH(A324,'SegEnds_Xtal_Prot#'!B:B, 0)), "NoXtal", "Xtal")</f>
        <v>NoXtal</v>
      </c>
      <c r="AP324" s="3">
        <f t="shared" si="173"/>
        <v>1</v>
      </c>
      <c r="AQ324" s="3">
        <f t="shared" si="174"/>
        <v>1</v>
      </c>
      <c r="AR324" s="3" t="str">
        <f t="shared" si="175"/>
        <v>-</v>
      </c>
      <c r="AS324" s="3" t="str">
        <f t="shared" si="176"/>
        <v>-</v>
      </c>
      <c r="AT324" s="3" t="str">
        <f t="shared" si="177"/>
        <v>-</v>
      </c>
      <c r="AU324" s="3" t="str">
        <f t="shared" si="178"/>
        <v>-</v>
      </c>
      <c r="AV324" s="3">
        <f t="shared" si="179"/>
        <v>6</v>
      </c>
      <c r="AW324" s="3">
        <f t="shared" si="180"/>
        <v>3</v>
      </c>
      <c r="AX324" s="3">
        <f t="shared" si="181"/>
        <v>12</v>
      </c>
      <c r="AY324" s="3">
        <f t="shared" si="182"/>
        <v>6</v>
      </c>
      <c r="AZ324" s="3">
        <f t="shared" si="183"/>
        <v>1</v>
      </c>
      <c r="BA324" s="3">
        <f>IF(ISERROR(LEN(VLOOKUP(A324,Seqs!A:E,2,FALSE))-AL324),"-",LEN(VLOOKUP(A324,Seqs!A:E,2,FALSE))-AL324)</f>
        <v>25</v>
      </c>
      <c r="BB324" s="16">
        <f t="shared" si="184"/>
        <v>28</v>
      </c>
      <c r="BC324" s="9" t="str">
        <f t="shared" si="185"/>
        <v>-</v>
      </c>
      <c r="BD324" s="3">
        <f t="shared" si="186"/>
        <v>28</v>
      </c>
      <c r="BE324" s="3">
        <f t="shared" si="187"/>
        <v>52</v>
      </c>
      <c r="BF324" s="3">
        <f>AH324-AE324</f>
        <v>28</v>
      </c>
    </row>
    <row r="325" spans="1:59" s="3" customFormat="1" x14ac:dyDescent="0.2">
      <c r="A325" s="3" t="s">
        <v>1185</v>
      </c>
      <c r="B325" s="3" t="str">
        <f>LOWER(VLOOKUP(A325,Xtal_Templ!A:B,2,FALSE))</f>
        <v>crfr1_human</v>
      </c>
      <c r="C325" s="3">
        <f>VLOOKUP($A325,'SegEnds_NonXtal_BW#'!$A:$Z,3,FALSE)+D325-50</f>
        <v>344</v>
      </c>
      <c r="D325" s="3">
        <v>371</v>
      </c>
      <c r="E325" s="3">
        <f>IF(ISERROR(VLOOKUP($A325,'SegEnds_NonXtal_BW#'!$A:$Z,4,FALSE)+VLOOKUP($A325,A:AL,4,FALSE)-50),"-",(VLOOKUP($A325,'SegEnds_NonXtal_BW#'!$A:$Z,4,FALSE)+VLOOKUP($A325,A:AL,4,FALSE)-50))</f>
        <v>381</v>
      </c>
      <c r="F325" s="3">
        <f>G325-2</f>
        <v>382</v>
      </c>
      <c r="G325" s="3">
        <v>384</v>
      </c>
      <c r="H325" s="3">
        <f t="shared" si="199"/>
        <v>385</v>
      </c>
      <c r="I325" s="3">
        <f t="shared" si="199"/>
        <v>386</v>
      </c>
      <c r="J325" s="3">
        <v>399</v>
      </c>
      <c r="K325" s="3">
        <f>VLOOKUP($A325,'SegEnds_NonXtal_BW#'!$A:$Z,8,FALSE)+VLOOKUP($A325,A:AL,10,FALSE)-50</f>
        <v>412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417</v>
      </c>
      <c r="P325" s="3">
        <v>444</v>
      </c>
      <c r="Q325" s="3">
        <f>VLOOKUP($A325,'SegEnds_NonXtal_BW#'!$A:$Z,12,FALSE)+VLOOKUP($A325,A:AL,16,FALSE)-50</f>
        <v>450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462</v>
      </c>
      <c r="V325" s="3">
        <v>472</v>
      </c>
      <c r="W325" s="3">
        <f>IF(ISERROR(VLOOKUP($A325,'SegEnds_NonXtal_BW#'!$A:$Z,16,FALSE)+VLOOKUP($A325,A:AL,22,FALSE)-50),"-",(VLOOKUP($A325,'SegEnds_NonXtal_BW#'!$A:$Z,16,FALSE)+VLOOKUP($A325,A:AL,22,FALSE)-50))</f>
        <v>490</v>
      </c>
      <c r="X325" s="3">
        <f>IF(ISERROR(VLOOKUP($A325,'SegEnds_NonXtal_BW#'!$A:$Z,17,FALSE)+VLOOKUP($A325,A:AL,25,FALSE)-50),"-",(VLOOKUP($A325,'SegEnds_NonXtal_BW#'!$A:$Z,17,FALSE)+VLOOKUP($A325,A:AL,25,FALSE)-50))</f>
        <v>496</v>
      </c>
      <c r="Y325" s="3">
        <v>496</v>
      </c>
      <c r="Z325" s="3">
        <f t="shared" si="197"/>
        <v>498</v>
      </c>
      <c r="AA325" s="3">
        <f>IF(ISERROR(VLOOKUP($A325,'SegEnds_NonXtal_BW#'!$A:$Z,19,FALSE)+VLOOKUP($A325,A:AL,28,FALSE)-50),"-",(VLOOKUP($A325,'SegEnds_NonXtal_BW#'!$A:$Z,19,FALSE)+VLOOKUP($A325,A:AL,28,FALSE)-50))</f>
        <v>501</v>
      </c>
      <c r="AB325" s="3">
        <v>515</v>
      </c>
      <c r="AC325" s="3">
        <f>IF(ISERROR((VLOOKUP($A325,'SegEnds_NonXtal_BW#'!$A:$Z,20,FALSE)+VLOOKUP($A325,A:AL,28,FALSE)-50)),"-",(VLOOKUP($A325,'SegEnds_NonXtal_BW#'!$A:$Z,20,FALSE)+VLOOKUP($A325,A:AL,28,FALSE)-50))</f>
        <v>534</v>
      </c>
      <c r="AD325" s="3">
        <f>IF(ISERROR(VLOOKUP($A325,'SegEnds_NonXtal_BW#'!$A:$Z,21,FALSE)+VLOOKUP($A325,A:AL,31,FALSE)-50),"-",(VLOOKUP($A325,'SegEnds_NonXtal_BW#'!$A:$Z,21,FALSE)+VLOOKUP($A325,A:AL,31,FALSE)-50))</f>
        <v>546</v>
      </c>
      <c r="AE325" s="3">
        <v>567</v>
      </c>
      <c r="AF325" s="3">
        <f>IF(ISERROR((VLOOKUP($A325,'SegEnds_NonXtal_BW#'!$A:$Z,22,FALSE)+VLOOKUP($A325,A:AL,31,FALSE)-50)),"-",(VLOOKUP($A325,'SegEnds_NonXtal_BW#'!$A:$Z,22,FALSE)+VLOOKUP($A325,A:AL,31,FALSE)-50))</f>
        <v>570</v>
      </c>
      <c r="AG325" s="3">
        <f>IF(ISERROR(VLOOKUP($A325,'SegEnds_NonXtal_BW#'!$A:$Z,23,FALSE)+VLOOKUP($A325,A:AL,34,FALSE)-50),"-",(VLOOKUP($A325,'SegEnds_NonXtal_BW#'!$A:$Z,23,FALSE)+VLOOKUP($A325,A:AL,34,FALSE)-50))</f>
        <v>576</v>
      </c>
      <c r="AH325" s="3">
        <v>595</v>
      </c>
      <c r="AI325" s="3">
        <f>IF(ISERROR((VLOOKUP($A325,'SegEnds_NonXtal_BW#'!$A:$Z,24,FALSE)+VLOOKUP($A325,A:AL,34,FALSE)-50)),"-",(VLOOKUP($A325,'SegEnds_NonXtal_BW#'!$A:$Z,24,FALSE)+VLOOKUP($A325,A:AL,34,FALSE)-50))</f>
        <v>601</v>
      </c>
      <c r="AJ325" s="3">
        <f>IF(ISERROR(VLOOKUP($A325,'SegEnds_NonXtal_BW#'!$A:$Z,25,FALSE)+VLOOKUP($A325,A:AL,37,FALSE)-50),"-",(VLOOKUP($A325,'SegEnds_NonXtal_BW#'!$A:$Z,25,FALSE)+VLOOKUP($A325,A:AL,37,FALSE)-50))</f>
        <v>602</v>
      </c>
      <c r="AK325" s="3">
        <v>605</v>
      </c>
      <c r="AL325" s="3">
        <f>IF(ISERROR((VLOOKUP($A325,'SegEnds_NonXtal_BW#'!$A:$Z,26,FALSE)+VLOOKUP($A325,A:AL,37,FALSE)-50)),"-",(VLOOKUP($A325,'SegEnds_NonXtal_BW#'!$A:$Z,26,FALSE)+VLOOKUP($A325,A:AL,37,FALSE)-50))</f>
        <v>618</v>
      </c>
      <c r="AM325" s="28" t="str">
        <f>VLOOKUP(A325,Classification!A:B,2,FALSE)</f>
        <v>B2</v>
      </c>
      <c r="AN325" s="28" t="b">
        <f t="shared" si="188"/>
        <v>1</v>
      </c>
      <c r="AO325" s="3" t="str">
        <f>IF(ISERROR(MATCH(A325,'SegEnds_Xtal_Prot#'!B:B, 0)), "NoXtal", "Xtal")</f>
        <v>NoXtal</v>
      </c>
      <c r="AP325" s="3">
        <f t="shared" si="173"/>
        <v>1</v>
      </c>
      <c r="AQ325" s="3">
        <f t="shared" si="174"/>
        <v>1</v>
      </c>
      <c r="AR325" s="3" t="str">
        <f t="shared" si="175"/>
        <v>-</v>
      </c>
      <c r="AS325" s="3" t="str">
        <f t="shared" si="176"/>
        <v>-</v>
      </c>
      <c r="AT325" s="3" t="str">
        <f t="shared" si="177"/>
        <v>-</v>
      </c>
      <c r="AU325" s="3" t="str">
        <f t="shared" si="178"/>
        <v>-</v>
      </c>
      <c r="AV325" s="3">
        <f t="shared" si="179"/>
        <v>6</v>
      </c>
      <c r="AW325" s="3">
        <f t="shared" si="180"/>
        <v>3</v>
      </c>
      <c r="AX325" s="3">
        <f t="shared" si="181"/>
        <v>12</v>
      </c>
      <c r="AY325" s="3">
        <f t="shared" si="182"/>
        <v>6</v>
      </c>
      <c r="AZ325" s="3">
        <f t="shared" si="183"/>
        <v>1</v>
      </c>
      <c r="BA325" s="3">
        <f>IF(ISERROR(LEN(VLOOKUP(A325,Seqs!A:E,2,FALSE))-AL325),"-",LEN(VLOOKUP(A325,Seqs!A:E,2,FALSE))-AL325)</f>
        <v>34</v>
      </c>
      <c r="BB325" s="16">
        <f t="shared" si="184"/>
        <v>28</v>
      </c>
      <c r="BC325" s="9" t="str">
        <f t="shared" si="185"/>
        <v>-</v>
      </c>
      <c r="BD325" s="3">
        <f t="shared" si="186"/>
        <v>28</v>
      </c>
      <c r="BE325" s="3">
        <f t="shared" si="187"/>
        <v>52</v>
      </c>
      <c r="BF325" s="3">
        <f>AH325-AE325</f>
        <v>28</v>
      </c>
    </row>
    <row r="326" spans="1:59" s="3" customFormat="1" x14ac:dyDescent="0.2">
      <c r="A326" s="3" t="s">
        <v>1186</v>
      </c>
      <c r="B326" s="3" t="str">
        <f>LOWER(VLOOKUP(A326,Xtal_Templ!A:B,2,FALSE))</f>
        <v>calcr_human</v>
      </c>
      <c r="C326" s="3">
        <f>VLOOKUP($A326,'SegEnds_NonXtal_BW#'!$A:$Z,3,FALSE)+D326-50</f>
        <v>178</v>
      </c>
      <c r="D326" s="3">
        <v>205</v>
      </c>
      <c r="E326" s="3">
        <f>IF(ISERROR(VLOOKUP($A326,'SegEnds_NonXtal_BW#'!$A:$Z,4,FALSE)+VLOOKUP($A326,A:AL,4,FALSE)-50),"-",(VLOOKUP($A326,'SegEnds_NonXtal_BW#'!$A:$Z,4,FALSE)+VLOOKUP($A326,A:AL,4,FALSE)-50))</f>
        <v>215</v>
      </c>
      <c r="F326" s="3">
        <f>G326-2</f>
        <v>216</v>
      </c>
      <c r="G326" s="3">
        <v>218</v>
      </c>
      <c r="H326" s="3">
        <f t="shared" si="199"/>
        <v>219</v>
      </c>
      <c r="I326" s="3">
        <f t="shared" si="199"/>
        <v>220</v>
      </c>
      <c r="J326" s="3">
        <v>233</v>
      </c>
      <c r="K326" s="3">
        <f>VLOOKUP($A326,'SegEnds_NonXtal_BW#'!$A:$Z,8,FALSE)+VLOOKUP($A326,A:AL,10,FALSE)-50</f>
        <v>246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251</v>
      </c>
      <c r="P326" s="3">
        <v>278</v>
      </c>
      <c r="Q326" s="3">
        <f>VLOOKUP($A326,'SegEnds_NonXtal_BW#'!$A:$Z,12,FALSE)+VLOOKUP($A326,A:AL,16,FALSE)-50</f>
        <v>284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297</v>
      </c>
      <c r="V326" s="3">
        <v>306</v>
      </c>
      <c r="W326" s="3">
        <f>IF(ISERROR(VLOOKUP($A326,'SegEnds_NonXtal_BW#'!$A:$Z,16,FALSE)+VLOOKUP($A326,A:AL,22,FALSE)-50),"-",(VLOOKUP($A326,'SegEnds_NonXtal_BW#'!$A:$Z,16,FALSE)+VLOOKUP($A326,A:AL,22,FALSE)-50))</f>
        <v>324</v>
      </c>
      <c r="X326" s="3">
        <f>IF(ISERROR(VLOOKUP($A326,'SegEnds_NonXtal_BW#'!$A:$Z,17,FALSE)+VLOOKUP($A326,A:AL,25,FALSE)-50),"-",(VLOOKUP($A326,'SegEnds_NonXtal_BW#'!$A:$Z,17,FALSE)+VLOOKUP($A326,A:AL,25,FALSE)-50))</f>
        <v>329</v>
      </c>
      <c r="Y326" s="3">
        <v>329</v>
      </c>
      <c r="Z326" s="3">
        <f t="shared" ref="Z326:Z351" si="200">Y326+2</f>
        <v>331</v>
      </c>
      <c r="AA326" s="3">
        <f>IF(ISERROR(VLOOKUP($A326,'SegEnds_NonXtal_BW#'!$A:$Z,19,FALSE)+VLOOKUP($A326,A:AL,28,FALSE)-50),"-",(VLOOKUP($A326,'SegEnds_NonXtal_BW#'!$A:$Z,19,FALSE)+VLOOKUP($A326,A:AL,28,FALSE)-50))</f>
        <v>334</v>
      </c>
      <c r="AB326" s="3">
        <v>348</v>
      </c>
      <c r="AC326" s="3">
        <f>IF(ISERROR((VLOOKUP($A326,'SegEnds_NonXtal_BW#'!$A:$Z,20,FALSE)+VLOOKUP($A326,A:AL,28,FALSE)-50)),"-",(VLOOKUP($A326,'SegEnds_NonXtal_BW#'!$A:$Z,20,FALSE)+VLOOKUP($A326,A:AL,28,FALSE)-50))</f>
        <v>367</v>
      </c>
      <c r="AD326" s="3">
        <f>IF(ISERROR(VLOOKUP($A326,'SegEnds_NonXtal_BW#'!$A:$Z,21,FALSE)+VLOOKUP($A326,A:AL,31,FALSE)-50),"-",(VLOOKUP($A326,'SegEnds_NonXtal_BW#'!$A:$Z,21,FALSE)+VLOOKUP($A326,A:AL,31,FALSE)-50))</f>
        <v>379</v>
      </c>
      <c r="AE326" s="3">
        <v>400</v>
      </c>
      <c r="AF326" s="3">
        <f>IF(ISERROR((VLOOKUP($A326,'SegEnds_NonXtal_BW#'!$A:$Z,22,FALSE)+VLOOKUP($A326,A:AL,31,FALSE)-50)),"-",(VLOOKUP($A326,'SegEnds_NonXtal_BW#'!$A:$Z,22,FALSE)+VLOOKUP($A326,A:AL,31,FALSE)-50))</f>
        <v>403</v>
      </c>
      <c r="AG326" s="3">
        <f>IF(ISERROR(VLOOKUP($A326,'SegEnds_NonXtal_BW#'!$A:$Z,23,FALSE)+VLOOKUP($A326,A:AL,34,FALSE)-50),"-",(VLOOKUP($A326,'SegEnds_NonXtal_BW#'!$A:$Z,23,FALSE)+VLOOKUP($A326,A:AL,34,FALSE)-50))</f>
        <v>410</v>
      </c>
      <c r="AH326" s="3">
        <v>432</v>
      </c>
      <c r="AI326" s="3">
        <f>IF(ISERROR((VLOOKUP($A326,'SegEnds_NonXtal_BW#'!$A:$Z,24,FALSE)+VLOOKUP($A326,A:AL,34,FALSE)-50)),"-",(VLOOKUP($A326,'SegEnds_NonXtal_BW#'!$A:$Z,24,FALSE)+VLOOKUP($A326,A:AL,34,FALSE)-50))</f>
        <v>438</v>
      </c>
      <c r="AJ326" s="3">
        <f>IF(ISERROR(VLOOKUP($A326,'SegEnds_NonXtal_BW#'!$A:$Z,25,FALSE)+VLOOKUP($A326,A:AL,37,FALSE)-50),"-",(VLOOKUP($A326,'SegEnds_NonXtal_BW#'!$A:$Z,25,FALSE)+VLOOKUP($A326,A:AL,37,FALSE)-50))</f>
        <v>439</v>
      </c>
      <c r="AK326" s="3">
        <v>442</v>
      </c>
      <c r="AL326" s="3">
        <f>IF(ISERROR((VLOOKUP($A326,'SegEnds_NonXtal_BW#'!$A:$Z,26,FALSE)+VLOOKUP($A326,A:AL,37,FALSE)-50)),"-",(VLOOKUP($A326,'SegEnds_NonXtal_BW#'!$A:$Z,26,FALSE)+VLOOKUP($A326,A:AL,37,FALSE)-50))</f>
        <v>455</v>
      </c>
      <c r="AM326" s="28" t="str">
        <f>VLOOKUP(A326,Classification!A:B,2,FALSE)</f>
        <v>B2</v>
      </c>
      <c r="AN326" s="28" t="b">
        <f t="shared" si="188"/>
        <v>1</v>
      </c>
      <c r="AO326" s="3" t="str">
        <f>IF(ISERROR(MATCH(A326,'SegEnds_Xtal_Prot#'!B:B, 0)), "NoXtal", "Xtal")</f>
        <v>NoXtal</v>
      </c>
      <c r="AP326" s="3">
        <f t="shared" ref="AP326:AP391" si="201">IF(ISERROR(F326-E326),"-",F326-E326)</f>
        <v>1</v>
      </c>
      <c r="AQ326" s="3">
        <f t="shared" ref="AQ326:AQ391" si="202">IF(ISERROR(I326-H326),"-",I326-H326)</f>
        <v>1</v>
      </c>
      <c r="AR326" s="3" t="str">
        <f t="shared" ref="AR326:AR391" si="203">IF(ISERROR(L326-K326),"-",L326-K326)</f>
        <v>-</v>
      </c>
      <c r="AS326" s="3" t="str">
        <f t="shared" ref="AS326:AS391" si="204">IF(ISERROR(O326-N326),"-",O326-N326)</f>
        <v>-</v>
      </c>
      <c r="AT326" s="3" t="str">
        <f t="shared" ref="AT326:AT391" si="205">IF(ISERROR(R326-Q326),"-",R326-Q326)</f>
        <v>-</v>
      </c>
      <c r="AU326" s="3" t="str">
        <f t="shared" ref="AU326:AU391" si="206">IF(ISERROR(U326-T326),"-",U326-T326)</f>
        <v>-</v>
      </c>
      <c r="AV326" s="3">
        <f t="shared" ref="AV326:AV391" si="207">IF(ISERROR(X326-W326),"-",X326-W326)</f>
        <v>5</v>
      </c>
      <c r="AW326" s="3">
        <f t="shared" ref="AW326:AW391" si="208">IF(ISERROR(AA326-Z326),"-",AA326-Z326)</f>
        <v>3</v>
      </c>
      <c r="AX326" s="3">
        <f t="shared" ref="AX326:AX391" si="209">IF(ISERROR(AD326-AC326),"-",AD326-AC326)</f>
        <v>12</v>
      </c>
      <c r="AY326" s="3">
        <f t="shared" ref="AY326:AY391" si="210">IF(ISERROR(AG326-AF326),"-",AG326-AF326)</f>
        <v>7</v>
      </c>
      <c r="AZ326" s="3">
        <f t="shared" ref="AZ326:AZ391" si="211">IF(ISERROR(AJ326-AI326),"-",AJ326-AI326)</f>
        <v>1</v>
      </c>
      <c r="BA326" s="3">
        <f>IF(ISERROR(LEN(VLOOKUP(A326,Seqs!A:E,2,FALSE))-AL326),"-",LEN(VLOOKUP(A326,Seqs!A:E,2,FALSE))-AL326)</f>
        <v>2</v>
      </c>
      <c r="BB326" s="16">
        <f t="shared" ref="BB326:BB391" si="212">J326-D326</f>
        <v>28</v>
      </c>
      <c r="BC326" s="9" t="str">
        <f t="shared" ref="BC326:BC391" si="213">IF(ISERROR(V326-S326),"-",V326-S326)</f>
        <v>-</v>
      </c>
      <c r="BD326" s="3">
        <f t="shared" ref="BD326:BD391" si="214">J326-D326</f>
        <v>28</v>
      </c>
      <c r="BE326" s="3">
        <f t="shared" ref="BE326:BE391" si="215">AE326-AB326</f>
        <v>52</v>
      </c>
      <c r="BF326" s="3">
        <f>AH326-AE326</f>
        <v>32</v>
      </c>
    </row>
    <row r="327" spans="1:59" s="3" customFormat="1" x14ac:dyDescent="0.2">
      <c r="A327" s="3" t="s">
        <v>1187</v>
      </c>
      <c r="B327" s="3" t="str">
        <f>LOWER(VLOOKUP(A327,Xtal_Templ!A:B,2,FALSE))</f>
        <v>pth1r_human</v>
      </c>
      <c r="C327" s="3">
        <f>VLOOKUP($A327,'SegEnds_NonXtal_BW#'!$A:$Z,3,FALSE)+D327-50</f>
        <v>573</v>
      </c>
      <c r="D327" s="3">
        <v>600</v>
      </c>
      <c r="E327" s="3">
        <f>IF(ISERROR(VLOOKUP($A327,'SegEnds_NonXtal_BW#'!$A:$Z,4,FALSE)+VLOOKUP($A327,A:AL,4,FALSE)-50),"-",(VLOOKUP($A327,'SegEnds_NonXtal_BW#'!$A:$Z,4,FALSE)+VLOOKUP($A327,A:AL,4,FALSE)-50))</f>
        <v>610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618</v>
      </c>
      <c r="J327" s="3">
        <v>631</v>
      </c>
      <c r="K327" s="3">
        <f>VLOOKUP($A327,'SegEnds_NonXtal_BW#'!$A:$Z,8,FALSE)+VLOOKUP($A327,A:AL,10,FALSE)-50</f>
        <v>644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655</v>
      </c>
      <c r="P327" s="3">
        <v>682</v>
      </c>
      <c r="Q327" s="3">
        <f>VLOOKUP($A327,'SegEnds_NonXtal_BW#'!$A:$Z,12,FALSE)+VLOOKUP($A327,A:AL,16,FALSE)-50</f>
        <v>688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694</v>
      </c>
      <c r="V327" s="3">
        <v>707</v>
      </c>
      <c r="W327" s="3">
        <f>IF(ISERROR(VLOOKUP($A327,'SegEnds_NonXtal_BW#'!$A:$Z,16,FALSE)+VLOOKUP($A327,A:AL,22,FALSE)-50),"-",(VLOOKUP($A327,'SegEnds_NonXtal_BW#'!$A:$Z,16,FALSE)+VLOOKUP($A327,A:AL,22,FALSE)-50))</f>
        <v>725</v>
      </c>
      <c r="X327" s="3">
        <f>IF(ISERROR(VLOOKUP($A327,'SegEnds_NonXtal_BW#'!$A:$Z,17,FALSE)+VLOOKUP($A327,A:AL,25,FALSE)-50),"-",(VLOOKUP($A327,'SegEnds_NonXtal_BW#'!$A:$Z,17,FALSE)+VLOOKUP($A327,A:AL,25,FALSE)-50))</f>
        <v>733</v>
      </c>
      <c r="Y327" s="3">
        <v>733</v>
      </c>
      <c r="Z327" s="3">
        <f t="shared" si="200"/>
        <v>735</v>
      </c>
      <c r="AA327" s="3">
        <f>IF(ISERROR(VLOOKUP($A327,'SegEnds_NonXtal_BW#'!$A:$Z,19,FALSE)+VLOOKUP($A327,A:AL,28,FALSE)-50),"-",(VLOOKUP($A327,'SegEnds_NonXtal_BW#'!$A:$Z,19,FALSE)+VLOOKUP($A327,A:AL,28,FALSE)-50))</f>
        <v>740</v>
      </c>
      <c r="AB327" s="3">
        <v>754</v>
      </c>
      <c r="AC327" s="3">
        <f>IF(ISERROR((VLOOKUP($A327,'SegEnds_NonXtal_BW#'!$A:$Z,20,FALSE)+VLOOKUP($A327,A:AL,28,FALSE)-50)),"-",(VLOOKUP($A327,'SegEnds_NonXtal_BW#'!$A:$Z,20,FALSE)+VLOOKUP($A327,A:AL,28,FALSE)-50))</f>
        <v>773</v>
      </c>
      <c r="AD327" s="3">
        <f>IF(ISERROR(VLOOKUP($A327,'SegEnds_NonXtal_BW#'!$A:$Z,21,FALSE)+VLOOKUP($A327,A:AL,31,FALSE)-50),"-",(VLOOKUP($A327,'SegEnds_NonXtal_BW#'!$A:$Z,21,FALSE)+VLOOKUP($A327,A:AL,31,FALSE)-50))</f>
        <v>785</v>
      </c>
      <c r="AE327" s="3">
        <v>806</v>
      </c>
      <c r="AF327" s="3">
        <f>IF(ISERROR((VLOOKUP($A327,'SegEnds_NonXtal_BW#'!$A:$Z,22,FALSE)+VLOOKUP($A327,A:AL,31,FALSE)-50)),"-",(VLOOKUP($A327,'SegEnds_NonXtal_BW#'!$A:$Z,22,FALSE)+VLOOKUP($A327,A:AL,31,FALSE)-50))</f>
        <v>810</v>
      </c>
      <c r="AG327" s="3">
        <f>IF(ISERROR(VLOOKUP($A327,'SegEnds_NonXtal_BW#'!$A:$Z,23,FALSE)+VLOOKUP($A327,A:AL,34,FALSE)-50),"-",(VLOOKUP($A327,'SegEnds_NonXtal_BW#'!$A:$Z,23,FALSE)+VLOOKUP($A327,A:AL,34,FALSE)-50))</f>
        <v>816</v>
      </c>
      <c r="AH327" s="3">
        <v>835</v>
      </c>
      <c r="AI327" s="3">
        <f>IF(ISERROR((VLOOKUP($A327,'SegEnds_NonXtal_BW#'!$A:$Z,24,FALSE)+VLOOKUP($A327,A:AL,34,FALSE)-50)),"-",(VLOOKUP($A327,'SegEnds_NonXtal_BW#'!$A:$Z,24,FALSE)+VLOOKUP($A327,A:AL,34,FALSE)-50))</f>
        <v>841</v>
      </c>
      <c r="AJ327" s="3">
        <f>IF(ISERROR(VLOOKUP($A327,'SegEnds_NonXtal_BW#'!$A:$Z,25,FALSE)+VLOOKUP($A327,A:AL,37,FALSE)-50),"-",(VLOOKUP($A327,'SegEnds_NonXtal_BW#'!$A:$Z,25,FALSE)+VLOOKUP($A327,A:AL,37,FALSE)-50))</f>
        <v>842</v>
      </c>
      <c r="AK327" s="3">
        <v>845</v>
      </c>
      <c r="AL327" s="3">
        <f>IF(ISERROR((VLOOKUP($A327,'SegEnds_NonXtal_BW#'!$A:$Z,26,FALSE)+VLOOKUP($A327,A:AL,37,FALSE)-50)),"-",(VLOOKUP($A327,'SegEnds_NonXtal_BW#'!$A:$Z,26,FALSE)+VLOOKUP($A327,A:AL,37,FALSE)-50))</f>
        <v>858</v>
      </c>
      <c r="AM327" s="28" t="str">
        <f>VLOOKUP(A327,Classification!A:B,2,FALSE)</f>
        <v>B2</v>
      </c>
      <c r="AN327" s="28" t="b">
        <f t="shared" ref="AN327:AN392" si="216">AND(IF(Y327="-",IF(AA327-W327&gt;3,TRUE,FALSE),TRUE),IF(M327="-",IF(O327-K327&gt;3,TRUE,FALSE),TRUE),IF(AG327-AF327&gt;1,TRUE,FALSE),C327&lt;E327,OR(E327&lt;F327,F327="-"),OR(F327&lt;H327,F327="-"),OR(H327&lt;I327,H327="-"),I327&lt;K327,OR(K327&lt;L327,L327="-"),OR(L327&lt;N327,L327="-"),OR(N327&lt;O327,N327="-"),O327&lt;Q327,OR(Q327&lt;R327,R327="-"),OR(R327&lt;T327,R327="-"),OR(T327&lt;U327,T327="-"),U327&lt;W327,OR(W327&lt;X327,X327="-"),OR(X327&lt;Z327,X327="-"),OR(Z327&lt;AA327,Z327="-"),AA327&lt;AC327,AC327&lt;AD327,AD327&lt;AF327,AF327&lt;AG327,AG327&lt;AI327,OR(AI327&lt;AJ327,AJ327="-"),OR(AJ327&lt;AL327,AJ327="-"))</f>
        <v>1</v>
      </c>
      <c r="AO327" s="3" t="str">
        <f>IF(ISERROR(MATCH(A327,'SegEnds_Xtal_Prot#'!B:B, 0)), "NoXtal", "Xtal")</f>
        <v>NoXtal</v>
      </c>
      <c r="AP327" s="3" t="str">
        <f t="shared" si="201"/>
        <v>-</v>
      </c>
      <c r="AQ327" s="3" t="str">
        <f t="shared" si="202"/>
        <v>-</v>
      </c>
      <c r="AR327" s="3" t="str">
        <f t="shared" si="203"/>
        <v>-</v>
      </c>
      <c r="AS327" s="3" t="str">
        <f t="shared" si="204"/>
        <v>-</v>
      </c>
      <c r="AT327" s="3" t="str">
        <f t="shared" si="205"/>
        <v>-</v>
      </c>
      <c r="AU327" s="3" t="str">
        <f t="shared" si="206"/>
        <v>-</v>
      </c>
      <c r="AV327" s="3">
        <f t="shared" si="207"/>
        <v>8</v>
      </c>
      <c r="AW327" s="3">
        <f t="shared" si="208"/>
        <v>5</v>
      </c>
      <c r="AX327" s="3">
        <f t="shared" si="209"/>
        <v>12</v>
      </c>
      <c r="AY327" s="3">
        <f t="shared" si="210"/>
        <v>6</v>
      </c>
      <c r="AZ327" s="3">
        <f t="shared" si="211"/>
        <v>1</v>
      </c>
      <c r="BA327" s="3">
        <f>IF(ISERROR(LEN(VLOOKUP(A327,Seqs!A:E,2,FALSE))-AL327),"-",LEN(VLOOKUP(A327,Seqs!A:E,2,FALSE))-AL327)</f>
        <v>52</v>
      </c>
      <c r="BB327" s="16">
        <f t="shared" si="212"/>
        <v>31</v>
      </c>
      <c r="BC327" s="9" t="str">
        <f t="shared" si="213"/>
        <v>-</v>
      </c>
      <c r="BD327" s="3">
        <f t="shared" si="214"/>
        <v>31</v>
      </c>
      <c r="BE327" s="3">
        <f t="shared" si="215"/>
        <v>52</v>
      </c>
    </row>
    <row r="328" spans="1:59" s="3" customFormat="1" x14ac:dyDescent="0.2">
      <c r="A328" s="3" t="s">
        <v>1188</v>
      </c>
      <c r="B328" s="3" t="str">
        <f>LOWER(VLOOKUP(A328,Xtal_Templ!A:B,2,FALSE))</f>
        <v>calrl_human</v>
      </c>
      <c r="C328" s="3">
        <f>VLOOKUP($A328,'SegEnds_NonXtal_BW#'!$A:$Z,3,FALSE)+D328-50</f>
        <v>434</v>
      </c>
      <c r="D328" s="3">
        <v>461</v>
      </c>
      <c r="E328" s="3">
        <f>IF(ISERROR(VLOOKUP($A328,'SegEnds_NonXtal_BW#'!$A:$Z,4,FALSE)+VLOOKUP($A328,A:AL,4,FALSE)-50),"-",(VLOOKUP($A328,'SegEnds_NonXtal_BW#'!$A:$Z,4,FALSE)+VLOOKUP($A328,A:AL,4,FALSE)-50))</f>
        <v>471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479</v>
      </c>
      <c r="J328" s="3">
        <v>492</v>
      </c>
      <c r="K328" s="3">
        <f>VLOOKUP($A328,'SegEnds_NonXtal_BW#'!$A:$Z,8,FALSE)+VLOOKUP($A328,A:AL,10,FALSE)-50</f>
        <v>505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516</v>
      </c>
      <c r="P328" s="3">
        <v>543</v>
      </c>
      <c r="Q328" s="3">
        <f>VLOOKUP($A328,'SegEnds_NonXtal_BW#'!$A:$Z,12,FALSE)+VLOOKUP($A328,A:AL,16,FALSE)-50</f>
        <v>549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559</v>
      </c>
      <c r="V328" s="3">
        <v>568</v>
      </c>
      <c r="W328" s="3">
        <f>IF(ISERROR(VLOOKUP($A328,'SegEnds_NonXtal_BW#'!$A:$Z,16,FALSE)+VLOOKUP($A328,A:AL,22,FALSE)-50),"-",(VLOOKUP($A328,'SegEnds_NonXtal_BW#'!$A:$Z,16,FALSE)+VLOOKUP($A328,A:AL,22,FALSE)-50))</f>
        <v>585</v>
      </c>
      <c r="X328" s="3">
        <f>IF(ISERROR(VLOOKUP($A328,'SegEnds_NonXtal_BW#'!$A:$Z,17,FALSE)+VLOOKUP($A328,A:AL,25,FALSE)-50),"-",(VLOOKUP($A328,'SegEnds_NonXtal_BW#'!$A:$Z,17,FALSE)+VLOOKUP($A328,A:AL,25,FALSE)-50))</f>
        <v>594</v>
      </c>
      <c r="Y328" s="3">
        <v>594</v>
      </c>
      <c r="Z328" s="3">
        <f t="shared" si="200"/>
        <v>596</v>
      </c>
      <c r="AA328" s="3">
        <f>IF(ISERROR(VLOOKUP($A328,'SegEnds_NonXtal_BW#'!$A:$Z,19,FALSE)+VLOOKUP($A328,A:AL,28,FALSE)-50),"-",(VLOOKUP($A328,'SegEnds_NonXtal_BW#'!$A:$Z,19,FALSE)+VLOOKUP($A328,A:AL,28,FALSE)-50))</f>
        <v>600</v>
      </c>
      <c r="AB328" s="3">
        <v>614</v>
      </c>
      <c r="AC328" s="3">
        <f>IF(ISERROR((VLOOKUP($A328,'SegEnds_NonXtal_BW#'!$A:$Z,20,FALSE)+VLOOKUP($A328,A:AL,28,FALSE)-50)),"-",(VLOOKUP($A328,'SegEnds_NonXtal_BW#'!$A:$Z,20,FALSE)+VLOOKUP($A328,A:AL,28,FALSE)-50))</f>
        <v>633</v>
      </c>
      <c r="AD328" s="3">
        <f>IF(ISERROR(VLOOKUP($A328,'SegEnds_NonXtal_BW#'!$A:$Z,21,FALSE)+VLOOKUP($A328,A:AL,31,FALSE)-50),"-",(VLOOKUP($A328,'SegEnds_NonXtal_BW#'!$A:$Z,21,FALSE)+VLOOKUP($A328,A:AL,31,FALSE)-50))</f>
        <v>650</v>
      </c>
      <c r="AE328" s="3">
        <v>671</v>
      </c>
      <c r="AF328" s="3">
        <f>IF(ISERROR((VLOOKUP($A328,'SegEnds_NonXtal_BW#'!$A:$Z,22,FALSE)+VLOOKUP($A328,A:AL,31,FALSE)-50)),"-",(VLOOKUP($A328,'SegEnds_NonXtal_BW#'!$A:$Z,22,FALSE)+VLOOKUP($A328,A:AL,31,FALSE)-50))</f>
        <v>671</v>
      </c>
      <c r="AG328" s="3">
        <f>IF(ISERROR(VLOOKUP($A328,'SegEnds_NonXtal_BW#'!$A:$Z,23,FALSE)+VLOOKUP($A328,A:AL,34,FALSE)-50),"-",(VLOOKUP($A328,'SegEnds_NonXtal_BW#'!$A:$Z,23,FALSE)+VLOOKUP($A328,A:AL,34,FALSE)-50))</f>
        <v>675</v>
      </c>
      <c r="AH328" s="3">
        <v>694</v>
      </c>
      <c r="AI328" s="3">
        <f>IF(ISERROR((VLOOKUP($A328,'SegEnds_NonXtal_BW#'!$A:$Z,24,FALSE)+VLOOKUP($A328,A:AL,34,FALSE)-50)),"-",(VLOOKUP($A328,'SegEnds_NonXtal_BW#'!$A:$Z,24,FALSE)+VLOOKUP($A328,A:AL,34,FALSE)-50))</f>
        <v>700</v>
      </c>
      <c r="AJ328" s="3" t="s">
        <v>23</v>
      </c>
      <c r="AK328" s="3" t="s">
        <v>23</v>
      </c>
      <c r="AL328" s="3" t="s">
        <v>23</v>
      </c>
      <c r="AM328" s="28" t="str">
        <f>VLOOKUP(A328,Classification!A:B,2,FALSE)</f>
        <v>B2</v>
      </c>
      <c r="AN328" s="28" t="b">
        <f t="shared" si="216"/>
        <v>1</v>
      </c>
      <c r="AO328" s="3" t="str">
        <f>IF(ISERROR(MATCH(A328,'SegEnds_Xtal_Prot#'!B:B, 0)), "NoXtal", "Xtal")</f>
        <v>NoXtal</v>
      </c>
      <c r="AP328" s="3" t="str">
        <f t="shared" si="201"/>
        <v>-</v>
      </c>
      <c r="AQ328" s="3" t="str">
        <f t="shared" si="202"/>
        <v>-</v>
      </c>
      <c r="AR328" s="3" t="str">
        <f t="shared" si="203"/>
        <v>-</v>
      </c>
      <c r="AS328" s="3" t="str">
        <f t="shared" si="204"/>
        <v>-</v>
      </c>
      <c r="AT328" s="3" t="str">
        <f t="shared" si="205"/>
        <v>-</v>
      </c>
      <c r="AU328" s="3" t="str">
        <f t="shared" si="206"/>
        <v>-</v>
      </c>
      <c r="AV328" s="3">
        <f t="shared" si="207"/>
        <v>9</v>
      </c>
      <c r="AW328" s="3">
        <f t="shared" si="208"/>
        <v>4</v>
      </c>
      <c r="AX328" s="3">
        <f t="shared" si="209"/>
        <v>17</v>
      </c>
      <c r="AY328" s="3">
        <f t="shared" si="210"/>
        <v>4</v>
      </c>
      <c r="AZ328" s="3" t="str">
        <f t="shared" si="211"/>
        <v>-</v>
      </c>
      <c r="BA328" s="3" t="str">
        <f>IF(ISERROR(LEN(VLOOKUP(A328,Seqs!A:E,2,FALSE))-AL328),"-",LEN(VLOOKUP(A328,Seqs!A:E,2,FALSE))-AL328)</f>
        <v>-</v>
      </c>
      <c r="BB328" s="16">
        <f t="shared" si="212"/>
        <v>31</v>
      </c>
      <c r="BC328" s="9" t="str">
        <f t="shared" si="213"/>
        <v>-</v>
      </c>
      <c r="BD328" s="3">
        <f t="shared" si="214"/>
        <v>31</v>
      </c>
      <c r="BE328" s="3">
        <f t="shared" si="215"/>
        <v>57</v>
      </c>
      <c r="BF328" s="3">
        <f>AH328-AE328</f>
        <v>23</v>
      </c>
      <c r="BG328" s="3" t="s">
        <v>1306</v>
      </c>
    </row>
    <row r="329" spans="1:59" s="3" customFormat="1" x14ac:dyDescent="0.2">
      <c r="A329" s="3" t="s">
        <v>1189</v>
      </c>
      <c r="B329" s="3" t="str">
        <f>LOWER(VLOOKUP(A329,Xtal_Templ!A:B,2,FALSE))</f>
        <v>calrl_human</v>
      </c>
      <c r="C329" s="3">
        <f>VLOOKUP($A329,'SegEnds_NonXtal_BW#'!$A:$Z,3,FALSE)+D329-50</f>
        <v>758</v>
      </c>
      <c r="D329" s="3">
        <v>785</v>
      </c>
      <c r="E329" s="3">
        <f>IF(ISERROR(VLOOKUP($A329,'SegEnds_NonXtal_BW#'!$A:$Z,4,FALSE)+VLOOKUP($A329,A:AL,4,FALSE)-50),"-",(VLOOKUP($A329,'SegEnds_NonXtal_BW#'!$A:$Z,4,FALSE)+VLOOKUP($A329,A:AL,4,FALSE)-50))</f>
        <v>795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803</v>
      </c>
      <c r="J329" s="3">
        <v>816</v>
      </c>
      <c r="K329" s="3">
        <f>VLOOKUP($A329,'SegEnds_NonXtal_BW#'!$A:$Z,8,FALSE)+VLOOKUP($A329,A:AL,10,FALSE)-50</f>
        <v>829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839</v>
      </c>
      <c r="P329" s="3">
        <v>866</v>
      </c>
      <c r="Q329" s="3">
        <f>VLOOKUP($A329,'SegEnds_NonXtal_BW#'!$A:$Z,12,FALSE)+VLOOKUP($A329,A:AL,16,FALSE)-50</f>
        <v>872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882</v>
      </c>
      <c r="V329" s="3">
        <v>891</v>
      </c>
      <c r="W329" s="3">
        <f>IF(ISERROR(VLOOKUP($A329,'SegEnds_NonXtal_BW#'!$A:$Z,16,FALSE)+VLOOKUP($A329,A:AL,22,FALSE)-50),"-",(VLOOKUP($A329,'SegEnds_NonXtal_BW#'!$A:$Z,16,FALSE)+VLOOKUP($A329,A:AL,22,FALSE)-50))</f>
        <v>908</v>
      </c>
      <c r="X329" s="3">
        <f>IF(ISERROR(VLOOKUP($A329,'SegEnds_NonXtal_BW#'!$A:$Z,17,FALSE)+VLOOKUP($A329,A:AL,25,FALSE)-50),"-",(VLOOKUP($A329,'SegEnds_NonXtal_BW#'!$A:$Z,17,FALSE)+VLOOKUP($A329,A:AL,25,FALSE)-50))</f>
        <v>917</v>
      </c>
      <c r="Y329" s="3">
        <v>917</v>
      </c>
      <c r="Z329" s="3">
        <f t="shared" si="200"/>
        <v>919</v>
      </c>
      <c r="AA329" s="3">
        <f>IF(ISERROR(VLOOKUP($A329,'SegEnds_NonXtal_BW#'!$A:$Z,19,FALSE)+VLOOKUP($A329,A:AL,28,FALSE)-50),"-",(VLOOKUP($A329,'SegEnds_NonXtal_BW#'!$A:$Z,19,FALSE)+VLOOKUP($A329,A:AL,28,FALSE)-50))</f>
        <v>922</v>
      </c>
      <c r="AB329" s="3">
        <v>936</v>
      </c>
      <c r="AC329" s="3">
        <f>IF(ISERROR((VLOOKUP($A329,'SegEnds_NonXtal_BW#'!$A:$Z,20,FALSE)+VLOOKUP($A329,A:AL,28,FALSE)-50)),"-",(VLOOKUP($A329,'SegEnds_NonXtal_BW#'!$A:$Z,20,FALSE)+VLOOKUP($A329,A:AL,28,FALSE)-50))</f>
        <v>955</v>
      </c>
      <c r="AD329" s="3">
        <f>IF(ISERROR(VLOOKUP($A329,'SegEnds_NonXtal_BW#'!$A:$Z,21,FALSE)+VLOOKUP($A329,A:AL,31,FALSE)-50),"-",(VLOOKUP($A329,'SegEnds_NonXtal_BW#'!$A:$Z,21,FALSE)+VLOOKUP($A329,A:AL,31,FALSE)-50))</f>
        <v>967</v>
      </c>
      <c r="AE329" s="3">
        <v>988</v>
      </c>
      <c r="AF329" s="3">
        <f>IF(ISERROR((VLOOKUP($A329,'SegEnds_NonXtal_BW#'!$A:$Z,22,FALSE)+VLOOKUP($A329,A:AL,31,FALSE)-50)),"-",(VLOOKUP($A329,'SegEnds_NonXtal_BW#'!$A:$Z,22,FALSE)+VLOOKUP($A329,A:AL,31,FALSE)-50))</f>
        <v>991</v>
      </c>
      <c r="AG329" s="3">
        <f>IF(ISERROR(VLOOKUP($A329,'SegEnds_NonXtal_BW#'!$A:$Z,23,FALSE)+VLOOKUP($A329,A:AL,34,FALSE)-50),"-",(VLOOKUP($A329,'SegEnds_NonXtal_BW#'!$A:$Z,23,FALSE)+VLOOKUP($A329,A:AL,34,FALSE)-50))</f>
        <v>998</v>
      </c>
      <c r="AH329" s="3">
        <v>1017</v>
      </c>
      <c r="AI329" s="3">
        <f>IF(ISERROR((VLOOKUP($A329,'SegEnds_NonXtal_BW#'!$A:$Z,24,FALSE)+VLOOKUP($A329,A:AL,34,FALSE)-50)),"-",(VLOOKUP($A329,'SegEnds_NonXtal_BW#'!$A:$Z,24,FALSE)+VLOOKUP($A329,A:AL,34,FALSE)-50))</f>
        <v>1023</v>
      </c>
      <c r="AJ329" s="3">
        <f>IF(ISERROR(VLOOKUP($A329,'SegEnds_NonXtal_BW#'!$A:$Z,25,FALSE)+VLOOKUP($A329,A:AL,37,FALSE)-50),"-",(VLOOKUP($A329,'SegEnds_NonXtal_BW#'!$A:$Z,25,FALSE)+VLOOKUP($A329,A:AL,37,FALSE)-50))</f>
        <v>1024</v>
      </c>
      <c r="AK329" s="3">
        <v>1027</v>
      </c>
      <c r="AL329" s="3">
        <f>IF(ISERROR((VLOOKUP($A329,'SegEnds_NonXtal_BW#'!$A:$Z,26,FALSE)+VLOOKUP($A329,A:AL,37,FALSE)-50)),"-",(VLOOKUP($A329,'SegEnds_NonXtal_BW#'!$A:$Z,26,FALSE)+VLOOKUP($A329,A:AL,37,FALSE)-50))</f>
        <v>1040</v>
      </c>
      <c r="AM329" s="28" t="str">
        <f>VLOOKUP(A329,Classification!A:B,2,FALSE)</f>
        <v>B2</v>
      </c>
      <c r="AN329" s="28" t="b">
        <f t="shared" si="216"/>
        <v>1</v>
      </c>
      <c r="AO329" s="3" t="str">
        <f>IF(ISERROR(MATCH(A329,'SegEnds_Xtal_Prot#'!B:B, 0)), "NoXtal", "Xtal")</f>
        <v>NoXtal</v>
      </c>
      <c r="AP329" s="3" t="str">
        <f t="shared" si="201"/>
        <v>-</v>
      </c>
      <c r="AQ329" s="3" t="str">
        <f t="shared" si="202"/>
        <v>-</v>
      </c>
      <c r="AR329" s="3" t="str">
        <f t="shared" si="203"/>
        <v>-</v>
      </c>
      <c r="AS329" s="3" t="str">
        <f t="shared" si="204"/>
        <v>-</v>
      </c>
      <c r="AT329" s="3" t="str">
        <f t="shared" si="205"/>
        <v>-</v>
      </c>
      <c r="AU329" s="3" t="str">
        <f t="shared" si="206"/>
        <v>-</v>
      </c>
      <c r="AV329" s="3">
        <f t="shared" si="207"/>
        <v>9</v>
      </c>
      <c r="AW329" s="3">
        <f t="shared" si="208"/>
        <v>3</v>
      </c>
      <c r="AX329" s="3">
        <f t="shared" si="209"/>
        <v>12</v>
      </c>
      <c r="AY329" s="3">
        <f t="shared" si="210"/>
        <v>7</v>
      </c>
      <c r="AZ329" s="3">
        <f t="shared" si="211"/>
        <v>1</v>
      </c>
      <c r="BA329" s="3">
        <f>IF(ISERROR(LEN(VLOOKUP(A329,Seqs!A:E,2,FALSE))-AL329),"-",LEN(VLOOKUP(A329,Seqs!A:E,2,FALSE))-AL329)</f>
        <v>39</v>
      </c>
      <c r="BB329" s="16">
        <f t="shared" si="212"/>
        <v>31</v>
      </c>
      <c r="BC329" s="9" t="str">
        <f t="shared" si="213"/>
        <v>-</v>
      </c>
      <c r="BD329" s="3">
        <f t="shared" si="214"/>
        <v>31</v>
      </c>
      <c r="BE329" s="3">
        <f t="shared" si="215"/>
        <v>52</v>
      </c>
    </row>
    <row r="330" spans="1:59" s="3" customFormat="1" x14ac:dyDescent="0.2">
      <c r="A330" s="3" t="s">
        <v>1190</v>
      </c>
      <c r="B330" s="3" t="str">
        <f>LOWER(VLOOKUP(A330,Xtal_Templ!A:B,2,FALSE))</f>
        <v>crfr1_human</v>
      </c>
      <c r="C330" s="3">
        <f>VLOOKUP($A330,'SegEnds_NonXtal_BW#'!$A:$Z,3,FALSE)+D330-50</f>
        <v>389</v>
      </c>
      <c r="D330" s="3">
        <v>416</v>
      </c>
      <c r="E330" s="3">
        <f>IF(ISERROR(VLOOKUP($A330,'SegEnds_NonXtal_BW#'!$A:$Z,4,FALSE)+VLOOKUP($A330,A:AL,4,FALSE)-50),"-",(VLOOKUP($A330,'SegEnds_NonXtal_BW#'!$A:$Z,4,FALSE)+VLOOKUP($A330,A:AL,4,FALSE)-50))</f>
        <v>426</v>
      </c>
      <c r="F330" s="3" t="s">
        <v>23</v>
      </c>
      <c r="G330" s="3" t="s">
        <v>23</v>
      </c>
      <c r="H330" s="3" t="s">
        <v>23</v>
      </c>
      <c r="I330" s="3">
        <f>VLOOKUP($A330,'SegEnds_NonXtal_BW#'!$A:$Z,7,FALSE)+J330-50</f>
        <v>434</v>
      </c>
      <c r="J330" s="3">
        <v>447</v>
      </c>
      <c r="K330" s="3">
        <f>VLOOKUP($A330,'SegEnds_NonXtal_BW#'!$A:$Z,8,FALSE)+VLOOKUP($A330,A:AL,10,FALSE)-50</f>
        <v>460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471</v>
      </c>
      <c r="P330" s="3">
        <v>498</v>
      </c>
      <c r="Q330" s="3">
        <f>VLOOKUP($A330,'SegEnds_NonXtal_BW#'!$A:$Z,12,FALSE)+VLOOKUP($A330,A:AL,16,FALSE)-50</f>
        <v>504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513</v>
      </c>
      <c r="V330" s="3">
        <v>523</v>
      </c>
      <c r="W330" s="3">
        <f>IF(ISERROR(VLOOKUP($A330,'SegEnds_NonXtal_BW#'!$A:$Z,16,FALSE)+VLOOKUP($A330,A:AL,22,FALSE)-50),"-",(VLOOKUP($A330,'SegEnds_NonXtal_BW#'!$A:$Z,16,FALSE)+VLOOKUP($A330,A:AL,22,FALSE)-50))</f>
        <v>541</v>
      </c>
      <c r="X330" s="3">
        <f>IF(ISERROR(VLOOKUP($A330,'SegEnds_NonXtal_BW#'!$A:$Z,17,FALSE)+VLOOKUP($A330,A:AL,25,FALSE)-50),"-",(VLOOKUP($A330,'SegEnds_NonXtal_BW#'!$A:$Z,17,FALSE)+VLOOKUP($A330,A:AL,25,FALSE)-50))</f>
        <v>549</v>
      </c>
      <c r="Y330" s="3">
        <v>549</v>
      </c>
      <c r="Z330" s="3">
        <f t="shared" si="200"/>
        <v>551</v>
      </c>
      <c r="AA330" s="3">
        <f>IF(ISERROR(VLOOKUP($A330,'SegEnds_NonXtal_BW#'!$A:$Z,19,FALSE)+VLOOKUP($A330,A:AL,28,FALSE)-50),"-",(VLOOKUP($A330,'SegEnds_NonXtal_BW#'!$A:$Z,19,FALSE)+VLOOKUP($A330,A:AL,28,FALSE)-50))</f>
        <v>555</v>
      </c>
      <c r="AB330" s="3">
        <v>569</v>
      </c>
      <c r="AC330" s="3">
        <f>IF(ISERROR((VLOOKUP($A330,'SegEnds_NonXtal_BW#'!$A:$Z,20,FALSE)+VLOOKUP($A330,A:AL,28,FALSE)-50)),"-",(VLOOKUP($A330,'SegEnds_NonXtal_BW#'!$A:$Z,20,FALSE)+VLOOKUP($A330,A:AL,28,FALSE)-50))</f>
        <v>588</v>
      </c>
      <c r="AD330" s="3">
        <f>IF(ISERROR(VLOOKUP($A330,'SegEnds_NonXtal_BW#'!$A:$Z,21,FALSE)+VLOOKUP($A330,A:AL,31,FALSE)-50),"-",(VLOOKUP($A330,'SegEnds_NonXtal_BW#'!$A:$Z,21,FALSE)+VLOOKUP($A330,A:AL,31,FALSE)-50))</f>
        <v>599</v>
      </c>
      <c r="AE330" s="3">
        <v>620</v>
      </c>
      <c r="AF330" s="3">
        <f>IF(ISERROR((VLOOKUP($A330,'SegEnds_NonXtal_BW#'!$A:$Z,22,FALSE)+VLOOKUP($A330,A:AL,31,FALSE)-50)),"-",(VLOOKUP($A330,'SegEnds_NonXtal_BW#'!$A:$Z,22,FALSE)+VLOOKUP($A330,A:AL,31,FALSE)-50))</f>
        <v>623</v>
      </c>
      <c r="AG330" s="3">
        <f>IF(ISERROR(VLOOKUP($A330,'SegEnds_NonXtal_BW#'!$A:$Z,23,FALSE)+VLOOKUP($A330,A:AL,34,FALSE)-50),"-",(VLOOKUP($A330,'SegEnds_NonXtal_BW#'!$A:$Z,23,FALSE)+VLOOKUP($A330,A:AL,34,FALSE)-50))</f>
        <v>630</v>
      </c>
      <c r="AH330" s="3">
        <v>649</v>
      </c>
      <c r="AI330" s="3">
        <f>IF(ISERROR((VLOOKUP($A330,'SegEnds_NonXtal_BW#'!$A:$Z,24,FALSE)+VLOOKUP($A330,A:AL,34,FALSE)-50)),"-",(VLOOKUP($A330,'SegEnds_NonXtal_BW#'!$A:$Z,24,FALSE)+VLOOKUP($A330,A:AL,34,FALSE)-50))</f>
        <v>655</v>
      </c>
      <c r="AJ330" s="3">
        <f>IF(ISERROR(VLOOKUP($A330,'SegEnds_NonXtal_BW#'!$A:$Z,25,FALSE)+VLOOKUP($A330,A:AL,37,FALSE)-50),"-",(VLOOKUP($A330,'SegEnds_NonXtal_BW#'!$A:$Z,25,FALSE)+VLOOKUP($A330,A:AL,37,FALSE)-50))</f>
        <v>656</v>
      </c>
      <c r="AK330" s="3">
        <v>659</v>
      </c>
      <c r="AL330" s="3">
        <f>IF(ISERROR((VLOOKUP($A330,'SegEnds_NonXtal_BW#'!$A:$Z,26,FALSE)+VLOOKUP($A330,A:AL,37,FALSE)-50)),"-",(VLOOKUP($A330,'SegEnds_NonXtal_BW#'!$A:$Z,26,FALSE)+VLOOKUP($A330,A:AL,37,FALSE)-50))</f>
        <v>672</v>
      </c>
      <c r="AM330" s="28" t="str">
        <f>VLOOKUP(A330,Classification!A:B,2,FALSE)</f>
        <v>B2</v>
      </c>
      <c r="AN330" s="28" t="b">
        <f t="shared" si="216"/>
        <v>1</v>
      </c>
      <c r="AO330" s="3" t="str">
        <f>IF(ISERROR(MATCH(A330,'SegEnds_Xtal_Prot#'!B:B, 0)), "NoXtal", "Xtal")</f>
        <v>NoXtal</v>
      </c>
      <c r="AP330" s="3" t="str">
        <f t="shared" si="201"/>
        <v>-</v>
      </c>
      <c r="AQ330" s="3" t="str">
        <f t="shared" si="202"/>
        <v>-</v>
      </c>
      <c r="AR330" s="3" t="str">
        <f t="shared" si="203"/>
        <v>-</v>
      </c>
      <c r="AS330" s="3" t="str">
        <f t="shared" si="204"/>
        <v>-</v>
      </c>
      <c r="AT330" s="3" t="str">
        <f t="shared" si="205"/>
        <v>-</v>
      </c>
      <c r="AU330" s="3" t="str">
        <f t="shared" si="206"/>
        <v>-</v>
      </c>
      <c r="AV330" s="3">
        <f t="shared" si="207"/>
        <v>8</v>
      </c>
      <c r="AW330" s="3">
        <f t="shared" si="208"/>
        <v>4</v>
      </c>
      <c r="AX330" s="3">
        <f t="shared" si="209"/>
        <v>11</v>
      </c>
      <c r="AY330" s="3">
        <f t="shared" si="210"/>
        <v>7</v>
      </c>
      <c r="AZ330" s="3">
        <f t="shared" si="211"/>
        <v>1</v>
      </c>
      <c r="BA330" s="3">
        <f>IF(ISERROR(LEN(VLOOKUP(A330,Seqs!A:E,2,FALSE))-AL330),"-",LEN(VLOOKUP(A330,Seqs!A:E,2,FALSE))-AL330)</f>
        <v>23</v>
      </c>
      <c r="BB330" s="16">
        <f t="shared" si="212"/>
        <v>31</v>
      </c>
      <c r="BC330" s="9" t="str">
        <f t="shared" si="213"/>
        <v>-</v>
      </c>
      <c r="BD330" s="3">
        <f t="shared" si="214"/>
        <v>31</v>
      </c>
      <c r="BE330" s="3">
        <f t="shared" si="215"/>
        <v>51</v>
      </c>
      <c r="BF330" s="3">
        <f>AH330-AE330</f>
        <v>29</v>
      </c>
    </row>
    <row r="331" spans="1:59" s="3" customFormat="1" x14ac:dyDescent="0.2">
      <c r="A331" s="3" t="s">
        <v>1191</v>
      </c>
      <c r="B331" s="3" t="str">
        <f>LOWER(VLOOKUP(A331,Xtal_Templ!A:B,2,FALSE))</f>
        <v>crfr1_human</v>
      </c>
      <c r="C331" s="3">
        <f>VLOOKUP($A331,'SegEnds_NonXtal_BW#'!$A:$Z,3,FALSE)+D331-50</f>
        <v>1000</v>
      </c>
      <c r="D331" s="3">
        <v>1027</v>
      </c>
      <c r="E331" s="3">
        <f>IF(ISERROR(VLOOKUP($A331,'SegEnds_NonXtal_BW#'!$A:$Z,4,FALSE)+VLOOKUP($A331,A:AL,4,FALSE)-50),"-",(VLOOKUP($A331,'SegEnds_NonXtal_BW#'!$A:$Z,4,FALSE)+VLOOKUP($A331,A:AL,4,FALSE)-50))</f>
        <v>1037</v>
      </c>
      <c r="F331" s="3">
        <f>G331-2</f>
        <v>1039</v>
      </c>
      <c r="G331" s="3">
        <v>1041</v>
      </c>
      <c r="H331" s="3">
        <f>G331+1</f>
        <v>1042</v>
      </c>
      <c r="I331" s="3">
        <f>H331+1</f>
        <v>1043</v>
      </c>
      <c r="J331" s="3">
        <v>1058</v>
      </c>
      <c r="K331" s="3">
        <f>VLOOKUP($A331,'SegEnds_NonXtal_BW#'!$A:$Z,8,FALSE)+VLOOKUP($A331,A:AL,10,FALSE)-50</f>
        <v>1071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1084</v>
      </c>
      <c r="P331" s="3">
        <v>1111</v>
      </c>
      <c r="Q331" s="3">
        <f>VLOOKUP($A331,'SegEnds_NonXtal_BW#'!$A:$Z,12,FALSE)+VLOOKUP($A331,A:AL,16,FALSE)-50</f>
        <v>1117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1126</v>
      </c>
      <c r="V331" s="3">
        <v>1136</v>
      </c>
      <c r="W331" s="3">
        <f>IF(ISERROR(VLOOKUP($A331,'SegEnds_NonXtal_BW#'!$A:$Z,16,FALSE)+VLOOKUP($A331,A:AL,22,FALSE)-50),"-",(VLOOKUP($A331,'SegEnds_NonXtal_BW#'!$A:$Z,16,FALSE)+VLOOKUP($A331,A:AL,22,FALSE)-50))</f>
        <v>1154</v>
      </c>
      <c r="X331" s="3">
        <f>IF(ISERROR(VLOOKUP($A331,'SegEnds_NonXtal_BW#'!$A:$Z,17,FALSE)+VLOOKUP($A331,A:AL,25,FALSE)-50),"-",(VLOOKUP($A331,'SegEnds_NonXtal_BW#'!$A:$Z,17,FALSE)+VLOOKUP($A331,A:AL,25,FALSE)-50))</f>
        <v>1162</v>
      </c>
      <c r="Y331" s="3">
        <v>1162</v>
      </c>
      <c r="Z331" s="3">
        <f t="shared" si="200"/>
        <v>1164</v>
      </c>
      <c r="AA331" s="3">
        <f>IF(ISERROR(VLOOKUP($A331,'SegEnds_NonXtal_BW#'!$A:$Z,19,FALSE)+VLOOKUP($A331,A:AL,28,FALSE)-50),"-",(VLOOKUP($A331,'SegEnds_NonXtal_BW#'!$A:$Z,19,FALSE)+VLOOKUP($A331,A:AL,28,FALSE)-50))</f>
        <v>1168</v>
      </c>
      <c r="AB331" s="3">
        <v>1182</v>
      </c>
      <c r="AC331" s="3">
        <f>IF(ISERROR((VLOOKUP($A331,'SegEnds_NonXtal_BW#'!$A:$Z,20,FALSE)+VLOOKUP($A331,A:AL,28,FALSE)-50)),"-",(VLOOKUP($A331,'SegEnds_NonXtal_BW#'!$A:$Z,20,FALSE)+VLOOKUP($A331,A:AL,28,FALSE)-50))</f>
        <v>1201</v>
      </c>
      <c r="AD331" s="3">
        <f>IF(ISERROR(VLOOKUP($A331,'SegEnds_NonXtal_BW#'!$A:$Z,21,FALSE)+VLOOKUP($A331,A:AL,31,FALSE)-50),"-",(VLOOKUP($A331,'SegEnds_NonXtal_BW#'!$A:$Z,21,FALSE)+VLOOKUP($A331,A:AL,31,FALSE)-50))</f>
        <v>1213</v>
      </c>
      <c r="AE331" s="3">
        <v>1234</v>
      </c>
      <c r="AF331" s="3">
        <f>IF(ISERROR((VLOOKUP($A331,'SegEnds_NonXtal_BW#'!$A:$Z,22,FALSE)+VLOOKUP($A331,A:AL,31,FALSE)-50)),"-",(VLOOKUP($A331,'SegEnds_NonXtal_BW#'!$A:$Z,22,FALSE)+VLOOKUP($A331,A:AL,31,FALSE)-50))</f>
        <v>1237</v>
      </c>
      <c r="AG331" s="3">
        <f>IF(ISERROR(VLOOKUP($A331,'SegEnds_NonXtal_BW#'!$A:$Z,23,FALSE)+VLOOKUP($A331,A:AL,34,FALSE)-50),"-",(VLOOKUP($A331,'SegEnds_NonXtal_BW#'!$A:$Z,23,FALSE)+VLOOKUP($A331,A:AL,34,FALSE)-50))</f>
        <v>1244</v>
      </c>
      <c r="AH331" s="3">
        <v>1263</v>
      </c>
      <c r="AI331" s="3">
        <f>IF(ISERROR((VLOOKUP($A331,'SegEnds_NonXtal_BW#'!$A:$Z,24,FALSE)+VLOOKUP($A331,A:AL,34,FALSE)-50)),"-",(VLOOKUP($A331,'SegEnds_NonXtal_BW#'!$A:$Z,24,FALSE)+VLOOKUP($A331,A:AL,34,FALSE)-50))</f>
        <v>1269</v>
      </c>
      <c r="AJ331" s="3">
        <f>IF(ISERROR(VLOOKUP($A331,'SegEnds_NonXtal_BW#'!$A:$Z,25,FALSE)+VLOOKUP($A331,A:AL,37,FALSE)-50),"-",(VLOOKUP($A331,'SegEnds_NonXtal_BW#'!$A:$Z,25,FALSE)+VLOOKUP($A331,A:AL,37,FALSE)-50))</f>
        <v>1270</v>
      </c>
      <c r="AK331" s="3">
        <v>1273</v>
      </c>
      <c r="AL331" s="3">
        <f>IF(ISERROR((VLOOKUP($A331,'SegEnds_NonXtal_BW#'!$A:$Z,26,FALSE)+VLOOKUP($A331,A:AL,37,FALSE)-50)),"-",(VLOOKUP($A331,'SegEnds_NonXtal_BW#'!$A:$Z,26,FALSE)+VLOOKUP($A331,A:AL,37,FALSE)-50))</f>
        <v>1286</v>
      </c>
      <c r="AM331" s="28" t="str">
        <f>VLOOKUP(A331,Classification!A:B,2,FALSE)</f>
        <v>B2</v>
      </c>
      <c r="AN331" s="28" t="b">
        <f t="shared" si="216"/>
        <v>1</v>
      </c>
      <c r="AO331" s="3" t="str">
        <f>IF(ISERROR(MATCH(A331,'SegEnds_Xtal_Prot#'!B:B, 0)), "NoXtal", "Xtal")</f>
        <v>NoXtal</v>
      </c>
      <c r="AP331" s="3">
        <f t="shared" si="201"/>
        <v>2</v>
      </c>
      <c r="AQ331" s="3">
        <f t="shared" si="202"/>
        <v>1</v>
      </c>
      <c r="AR331" s="3" t="str">
        <f t="shared" si="203"/>
        <v>-</v>
      </c>
      <c r="AS331" s="3" t="str">
        <f t="shared" si="204"/>
        <v>-</v>
      </c>
      <c r="AT331" s="3" t="str">
        <f t="shared" si="205"/>
        <v>-</v>
      </c>
      <c r="AU331" s="3" t="str">
        <f t="shared" si="206"/>
        <v>-</v>
      </c>
      <c r="AV331" s="3">
        <f t="shared" si="207"/>
        <v>8</v>
      </c>
      <c r="AW331" s="3">
        <f t="shared" si="208"/>
        <v>4</v>
      </c>
      <c r="AX331" s="3">
        <f t="shared" si="209"/>
        <v>12</v>
      </c>
      <c r="AY331" s="3">
        <f t="shared" si="210"/>
        <v>7</v>
      </c>
      <c r="AZ331" s="3">
        <f t="shared" si="211"/>
        <v>1</v>
      </c>
      <c r="BA331" s="3">
        <f>IF(ISERROR(LEN(VLOOKUP(A331,Seqs!A:E,2,FALSE))-AL331),"-",LEN(VLOOKUP(A331,Seqs!A:E,2,FALSE))-AL331)</f>
        <v>60</v>
      </c>
      <c r="BB331" s="16">
        <f t="shared" si="212"/>
        <v>31</v>
      </c>
      <c r="BC331" s="9" t="str">
        <f t="shared" si="213"/>
        <v>-</v>
      </c>
      <c r="BD331" s="3">
        <f t="shared" si="214"/>
        <v>31</v>
      </c>
      <c r="BE331" s="3">
        <f t="shared" si="215"/>
        <v>52</v>
      </c>
    </row>
    <row r="332" spans="1:59" s="3" customFormat="1" x14ac:dyDescent="0.2">
      <c r="A332" s="3" t="s">
        <v>1192</v>
      </c>
      <c r="B332" s="3" t="str">
        <f>LOWER(VLOOKUP(A332,Xtal_Templ!A:B,2,FALSE))</f>
        <v>crfr1_human</v>
      </c>
      <c r="C332" s="3">
        <f>VLOOKUP($A332,'SegEnds_NonXtal_BW#'!$A:$Z,3,FALSE)+D332-50</f>
        <v>391</v>
      </c>
      <c r="D332" s="3">
        <v>418</v>
      </c>
      <c r="E332" s="3">
        <f>IF(ISERROR(VLOOKUP($A332,'SegEnds_NonXtal_BW#'!$A:$Z,4,FALSE)+VLOOKUP($A332,A:AL,4,FALSE)-50),"-",(VLOOKUP($A332,'SegEnds_NonXtal_BW#'!$A:$Z,4,FALSE)+VLOOKUP($A332,A:AL,4,FALSE)-50))</f>
        <v>428</v>
      </c>
      <c r="F332" s="3">
        <f>G332-2</f>
        <v>430</v>
      </c>
      <c r="G332" s="3">
        <v>432</v>
      </c>
      <c r="H332" s="3">
        <f>G332+1</f>
        <v>433</v>
      </c>
      <c r="I332" s="3">
        <f>H332+1</f>
        <v>434</v>
      </c>
      <c r="J332" s="3">
        <v>453</v>
      </c>
      <c r="K332" s="3">
        <f>VLOOKUP($A332,'SegEnds_NonXtal_BW#'!$A:$Z,8,FALSE)+VLOOKUP($A332,A:AL,10,FALSE)-50</f>
        <v>466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473</v>
      </c>
      <c r="P332" s="3">
        <v>500</v>
      </c>
      <c r="Q332" s="3">
        <f>VLOOKUP($A332,'SegEnds_NonXtal_BW#'!$A:$Z,12,FALSE)+VLOOKUP($A332,A:AL,16,FALSE)-50</f>
        <v>506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514</v>
      </c>
      <c r="V332" s="3">
        <v>524</v>
      </c>
      <c r="W332" s="3">
        <f>IF(ISERROR(VLOOKUP($A332,'SegEnds_NonXtal_BW#'!$A:$Z,16,FALSE)+VLOOKUP($A332,A:AL,22,FALSE)-50),"-",(VLOOKUP($A332,'SegEnds_NonXtal_BW#'!$A:$Z,16,FALSE)+VLOOKUP($A332,A:AL,22,FALSE)-50))</f>
        <v>542</v>
      </c>
      <c r="X332" s="3">
        <f>IF(ISERROR(VLOOKUP($A332,'SegEnds_NonXtal_BW#'!$A:$Z,17,FALSE)+VLOOKUP($A332,A:AL,25,FALSE)-50),"-",(VLOOKUP($A332,'SegEnds_NonXtal_BW#'!$A:$Z,17,FALSE)+VLOOKUP($A332,A:AL,25,FALSE)-50))</f>
        <v>562</v>
      </c>
      <c r="Y332" s="3">
        <v>562</v>
      </c>
      <c r="Z332" s="3">
        <f t="shared" si="200"/>
        <v>564</v>
      </c>
      <c r="AA332" s="3">
        <f>IF(ISERROR(VLOOKUP($A332,'SegEnds_NonXtal_BW#'!$A:$Z,19,FALSE)+VLOOKUP($A332,A:AL,28,FALSE)-50),"-",(VLOOKUP($A332,'SegEnds_NonXtal_BW#'!$A:$Z,19,FALSE)+VLOOKUP($A332,A:AL,28,FALSE)-50))</f>
        <v>567</v>
      </c>
      <c r="AB332" s="3">
        <v>581</v>
      </c>
      <c r="AC332" s="3">
        <f>IF(ISERROR((VLOOKUP($A332,'SegEnds_NonXtal_BW#'!$A:$Z,20,FALSE)+VLOOKUP($A332,A:AL,28,FALSE)-50)),"-",(VLOOKUP($A332,'SegEnds_NonXtal_BW#'!$A:$Z,20,FALSE)+VLOOKUP($A332,A:AL,28,FALSE)-50))</f>
        <v>600</v>
      </c>
      <c r="AD332" s="3">
        <f>IF(ISERROR(VLOOKUP($A332,'SegEnds_NonXtal_BW#'!$A:$Z,21,FALSE)+VLOOKUP($A332,A:AL,31,FALSE)-50),"-",(VLOOKUP($A332,'SegEnds_NonXtal_BW#'!$A:$Z,21,FALSE)+VLOOKUP($A332,A:AL,31,FALSE)-50))</f>
        <v>604</v>
      </c>
      <c r="AE332" s="3">
        <v>625</v>
      </c>
      <c r="AF332" s="3">
        <f>IF(ISERROR((VLOOKUP($A332,'SegEnds_NonXtal_BW#'!$A:$Z,22,FALSE)+VLOOKUP($A332,A:AL,31,FALSE)-50)),"-",(VLOOKUP($A332,'SegEnds_NonXtal_BW#'!$A:$Z,22,FALSE)+VLOOKUP($A332,A:AL,31,FALSE)-50))</f>
        <v>628</v>
      </c>
      <c r="AG332" s="3">
        <f>IF(ISERROR(VLOOKUP($A332,'SegEnds_NonXtal_BW#'!$A:$Z,23,FALSE)+VLOOKUP($A332,A:AL,34,FALSE)-50),"-",(VLOOKUP($A332,'SegEnds_NonXtal_BW#'!$A:$Z,23,FALSE)+VLOOKUP($A332,A:AL,34,FALSE)-50))</f>
        <v>633</v>
      </c>
      <c r="AH332" s="3">
        <v>655</v>
      </c>
      <c r="AI332" s="3">
        <f>IF(ISERROR((VLOOKUP($A332,'SegEnds_NonXtal_BW#'!$A:$Z,24,FALSE)+VLOOKUP($A332,A:AL,34,FALSE)-50)),"-",(VLOOKUP($A332,'SegEnds_NonXtal_BW#'!$A:$Z,24,FALSE)+VLOOKUP($A332,A:AL,34,FALSE)-50))</f>
        <v>661</v>
      </c>
      <c r="AJ332" s="3">
        <f>IF(ISERROR(VLOOKUP($A332,'SegEnds_NonXtal_BW#'!$A:$Z,25,FALSE)+VLOOKUP($A332,A:AL,37,FALSE)-50),"-",(VLOOKUP($A332,'SegEnds_NonXtal_BW#'!$A:$Z,25,FALSE)+VLOOKUP($A332,A:AL,37,FALSE)-50))</f>
        <v>662</v>
      </c>
      <c r="AK332" s="3">
        <v>665</v>
      </c>
      <c r="AL332" s="3">
        <f>IF(ISERROR((VLOOKUP($A332,'SegEnds_NonXtal_BW#'!$A:$Z,26,FALSE)+VLOOKUP($A332,A:AL,37,FALSE)-50)),"-",(VLOOKUP($A332,'SegEnds_NonXtal_BW#'!$A:$Z,26,FALSE)+VLOOKUP($A332,A:AL,37,FALSE)-50))</f>
        <v>678</v>
      </c>
      <c r="AM332" s="28" t="str">
        <f>VLOOKUP(A332,Classification!A:B,2,FALSE)</f>
        <v>B2</v>
      </c>
      <c r="AN332" s="28" t="b">
        <f t="shared" si="216"/>
        <v>1</v>
      </c>
      <c r="AO332" s="3" t="str">
        <f>IF(ISERROR(MATCH(A332,'SegEnds_Xtal_Prot#'!B:B, 0)), "NoXtal", "Xtal")</f>
        <v>NoXtal</v>
      </c>
      <c r="AP332" s="3">
        <f t="shared" si="201"/>
        <v>2</v>
      </c>
      <c r="AQ332" s="3">
        <f t="shared" si="202"/>
        <v>1</v>
      </c>
      <c r="AR332" s="3" t="str">
        <f t="shared" si="203"/>
        <v>-</v>
      </c>
      <c r="AS332" s="3" t="str">
        <f t="shared" si="204"/>
        <v>-</v>
      </c>
      <c r="AT332" s="3" t="str">
        <f t="shared" si="205"/>
        <v>-</v>
      </c>
      <c r="AU332" s="3" t="str">
        <f t="shared" si="206"/>
        <v>-</v>
      </c>
      <c r="AV332" s="3">
        <f t="shared" si="207"/>
        <v>20</v>
      </c>
      <c r="AW332" s="3">
        <f t="shared" si="208"/>
        <v>3</v>
      </c>
      <c r="AX332" s="3">
        <f t="shared" si="209"/>
        <v>4</v>
      </c>
      <c r="AY332" s="3">
        <f t="shared" si="210"/>
        <v>5</v>
      </c>
      <c r="AZ332" s="3">
        <f t="shared" si="211"/>
        <v>1</v>
      </c>
      <c r="BA332" s="3">
        <f>IF(ISERROR(LEN(VLOOKUP(A332,Seqs!A:E,2,FALSE))-AL332),"-",LEN(VLOOKUP(A332,Seqs!A:E,2,FALSE))-AL332)</f>
        <v>15</v>
      </c>
      <c r="BB332" s="16">
        <f t="shared" si="212"/>
        <v>35</v>
      </c>
      <c r="BC332" s="9" t="str">
        <f t="shared" si="213"/>
        <v>-</v>
      </c>
      <c r="BD332" s="3">
        <f t="shared" si="214"/>
        <v>35</v>
      </c>
      <c r="BE332" s="3">
        <f t="shared" si="215"/>
        <v>44</v>
      </c>
      <c r="BF332" s="3">
        <f>AH332-AE332</f>
        <v>30</v>
      </c>
    </row>
    <row r="333" spans="1:59" s="3" customFormat="1" x14ac:dyDescent="0.2">
      <c r="A333" s="3" t="s">
        <v>1193</v>
      </c>
      <c r="B333" s="3" t="str">
        <f>LOWER(VLOOKUP(A333,Xtal_Templ!A:B,2,FALSE))</f>
        <v>pth1r_human</v>
      </c>
      <c r="C333" s="3">
        <f>VLOOKUP($A333,'SegEnds_NonXtal_BW#'!$A:$Z,3,FALSE)+D333-50</f>
        <v>616</v>
      </c>
      <c r="D333" s="3">
        <v>643</v>
      </c>
      <c r="E333" s="3">
        <f>IF(ISERROR(VLOOKUP($A333,'SegEnds_NonXtal_BW#'!$A:$Z,4,FALSE)+VLOOKUP($A333,A:AL,4,FALSE)-50),"-",(VLOOKUP($A333,'SegEnds_NonXtal_BW#'!$A:$Z,4,FALSE)+VLOOKUP($A333,A:AL,4,FALSE)-50))</f>
        <v>653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659</v>
      </c>
      <c r="J333" s="3">
        <v>672</v>
      </c>
      <c r="K333" s="3">
        <f>VLOOKUP($A333,'SegEnds_NonXtal_BW#'!$A:$Z,8,FALSE)+VLOOKUP($A333,A:AL,10,FALSE)-50</f>
        <v>685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692</v>
      </c>
      <c r="P333" s="3">
        <v>719</v>
      </c>
      <c r="Q333" s="3">
        <f>VLOOKUP($A333,'SegEnds_NonXtal_BW#'!$A:$Z,12,FALSE)+VLOOKUP($A333,A:AL,16,FALSE)-50</f>
        <v>725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730</v>
      </c>
      <c r="V333" s="3">
        <v>743</v>
      </c>
      <c r="W333" s="3">
        <f>IF(ISERROR(VLOOKUP($A333,'SegEnds_NonXtal_BW#'!$A:$Z,16,FALSE)+VLOOKUP($A333,A:AL,22,FALSE)-50),"-",(VLOOKUP($A333,'SegEnds_NonXtal_BW#'!$A:$Z,16,FALSE)+VLOOKUP($A333,A:AL,22,FALSE)-50))</f>
        <v>761</v>
      </c>
      <c r="X333" s="3">
        <f>IF(ISERROR(VLOOKUP($A333,'SegEnds_NonXtal_BW#'!$A:$Z,17,FALSE)+VLOOKUP($A333,A:AL,25,FALSE)-50),"-",(VLOOKUP($A333,'SegEnds_NonXtal_BW#'!$A:$Z,17,FALSE)+VLOOKUP($A333,A:AL,25,FALSE)-50))</f>
        <v>778</v>
      </c>
      <c r="Y333" s="3">
        <v>778</v>
      </c>
      <c r="Z333" s="3">
        <f t="shared" si="200"/>
        <v>780</v>
      </c>
      <c r="AA333" s="3">
        <f>IF(ISERROR(VLOOKUP($A333,'SegEnds_NonXtal_BW#'!$A:$Z,19,FALSE)+VLOOKUP($A333,A:AL,28,FALSE)-50),"-",(VLOOKUP($A333,'SegEnds_NonXtal_BW#'!$A:$Z,19,FALSE)+VLOOKUP($A333,A:AL,28,FALSE)-50))</f>
        <v>783</v>
      </c>
      <c r="AB333" s="3">
        <v>797</v>
      </c>
      <c r="AC333" s="3">
        <f>IF(ISERROR((VLOOKUP($A333,'SegEnds_NonXtal_BW#'!$A:$Z,20,FALSE)+VLOOKUP($A333,A:AL,28,FALSE)-50)),"-",(VLOOKUP($A333,'SegEnds_NonXtal_BW#'!$A:$Z,20,FALSE)+VLOOKUP($A333,A:AL,28,FALSE)-50))</f>
        <v>816</v>
      </c>
      <c r="AD333" s="3">
        <f>IF(ISERROR(VLOOKUP($A333,'SegEnds_NonXtal_BW#'!$A:$Z,21,FALSE)+VLOOKUP($A333,A:AL,31,FALSE)-50),"-",(VLOOKUP($A333,'SegEnds_NonXtal_BW#'!$A:$Z,21,FALSE)+VLOOKUP($A333,A:AL,31,FALSE)-50))</f>
        <v>827</v>
      </c>
      <c r="AE333" s="3">
        <v>848</v>
      </c>
      <c r="AF333" s="3">
        <f>IF(ISERROR((VLOOKUP($A333,'SegEnds_NonXtal_BW#'!$A:$Z,22,FALSE)+VLOOKUP($A333,A:AL,31,FALSE)-50)),"-",(VLOOKUP($A333,'SegEnds_NonXtal_BW#'!$A:$Z,22,FALSE)+VLOOKUP($A333,A:AL,31,FALSE)-50))</f>
        <v>852</v>
      </c>
      <c r="AG333" s="3">
        <f>IF(ISERROR(VLOOKUP($A333,'SegEnds_NonXtal_BW#'!$A:$Z,23,FALSE)+VLOOKUP($A333,A:AL,34,FALSE)-50),"-",(VLOOKUP($A333,'SegEnds_NonXtal_BW#'!$A:$Z,23,FALSE)+VLOOKUP($A333,A:AL,34,FALSE)-50))</f>
        <v>857</v>
      </c>
      <c r="AH333" s="3">
        <v>876</v>
      </c>
      <c r="AI333" s="3">
        <f>IF(ISERROR((VLOOKUP($A333,'SegEnds_NonXtal_BW#'!$A:$Z,24,FALSE)+VLOOKUP($A333,A:AL,34,FALSE)-50)),"-",(VLOOKUP($A333,'SegEnds_NonXtal_BW#'!$A:$Z,24,FALSE)+VLOOKUP($A333,A:AL,34,FALSE)-50))</f>
        <v>882</v>
      </c>
      <c r="AJ333" s="3">
        <f>IF(ISERROR(VLOOKUP($A333,'SegEnds_NonXtal_BW#'!$A:$Z,25,FALSE)+VLOOKUP($A333,A:AL,37,FALSE)-50),"-",(VLOOKUP($A333,'SegEnds_NonXtal_BW#'!$A:$Z,25,FALSE)+VLOOKUP($A333,A:AL,37,FALSE)-50))</f>
        <v>883</v>
      </c>
      <c r="AK333" s="3">
        <v>886</v>
      </c>
      <c r="AL333" s="3">
        <f>IF(ISERROR((VLOOKUP($A333,'SegEnds_NonXtal_BW#'!$A:$Z,26,FALSE)+VLOOKUP($A333,A:AL,37,FALSE)-50)),"-",(VLOOKUP($A333,'SegEnds_NonXtal_BW#'!$A:$Z,26,FALSE)+VLOOKUP($A333,A:AL,37,FALSE)-50))</f>
        <v>899</v>
      </c>
      <c r="AM333" s="28" t="str">
        <f>VLOOKUP(A333,Classification!A:B,2,FALSE)</f>
        <v>B2</v>
      </c>
      <c r="AN333" s="28" t="b">
        <f t="shared" si="216"/>
        <v>1</v>
      </c>
      <c r="AO333" s="3" t="str">
        <f>IF(ISERROR(MATCH(A333,'SegEnds_Xtal_Prot#'!B:B, 0)), "NoXtal", "Xtal")</f>
        <v>NoXtal</v>
      </c>
      <c r="AP333" s="3" t="str">
        <f t="shared" si="201"/>
        <v>-</v>
      </c>
      <c r="AQ333" s="3" t="str">
        <f t="shared" si="202"/>
        <v>-</v>
      </c>
      <c r="AR333" s="3" t="str">
        <f t="shared" si="203"/>
        <v>-</v>
      </c>
      <c r="AS333" s="3" t="str">
        <f t="shared" si="204"/>
        <v>-</v>
      </c>
      <c r="AT333" s="3" t="str">
        <f t="shared" si="205"/>
        <v>-</v>
      </c>
      <c r="AU333" s="3" t="str">
        <f t="shared" si="206"/>
        <v>-</v>
      </c>
      <c r="AV333" s="3">
        <f t="shared" si="207"/>
        <v>17</v>
      </c>
      <c r="AW333" s="3">
        <f t="shared" si="208"/>
        <v>3</v>
      </c>
      <c r="AX333" s="3">
        <f t="shared" si="209"/>
        <v>11</v>
      </c>
      <c r="AY333" s="3">
        <f t="shared" si="210"/>
        <v>5</v>
      </c>
      <c r="AZ333" s="3">
        <f t="shared" si="211"/>
        <v>1</v>
      </c>
      <c r="BA333" s="3">
        <f>IF(ISERROR(LEN(VLOOKUP(A333,Seqs!A:E,2,FALSE))-AL333),"-",LEN(VLOOKUP(A333,Seqs!A:E,2,FALSE))-AL333)</f>
        <v>118</v>
      </c>
      <c r="BB333" s="16">
        <f t="shared" si="212"/>
        <v>29</v>
      </c>
      <c r="BC333" s="9" t="str">
        <f t="shared" si="213"/>
        <v>-</v>
      </c>
      <c r="BD333" s="3">
        <f t="shared" si="214"/>
        <v>29</v>
      </c>
      <c r="BE333" s="3">
        <f t="shared" si="215"/>
        <v>51</v>
      </c>
    </row>
    <row r="334" spans="1:59" s="3" customFormat="1" x14ac:dyDescent="0.2">
      <c r="A334" s="3" t="s">
        <v>1194</v>
      </c>
      <c r="B334" s="3" t="str">
        <f>LOWER(VLOOKUP(A334,Xtal_Templ!A:B,2,FALSE))</f>
        <v>pth1r_human</v>
      </c>
      <c r="C334" s="3">
        <f>VLOOKUP($A334,'SegEnds_NonXtal_BW#'!$A:$Z,3,FALSE)+D334-50</f>
        <v>256</v>
      </c>
      <c r="D334" s="3">
        <v>283</v>
      </c>
      <c r="E334" s="3">
        <f>IF(ISERROR(VLOOKUP($A334,'SegEnds_NonXtal_BW#'!$A:$Z,4,FALSE)+VLOOKUP($A334,A:AL,4,FALSE)-50),"-",(VLOOKUP($A334,'SegEnds_NonXtal_BW#'!$A:$Z,4,FALSE)+VLOOKUP($A334,A:AL,4,FALSE)-50))</f>
        <v>293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303</v>
      </c>
      <c r="J334" s="3">
        <v>316</v>
      </c>
      <c r="K334" s="3">
        <f>VLOOKUP($A334,'SegEnds_NonXtal_BW#'!$A:$Z,8,FALSE)+VLOOKUP($A334,A:AL,10,FALSE)-50</f>
        <v>329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336</v>
      </c>
      <c r="P334" s="3">
        <v>363</v>
      </c>
      <c r="Q334" s="3">
        <f>VLOOKUP($A334,'SegEnds_NonXtal_BW#'!$A:$Z,12,FALSE)+VLOOKUP($A334,A:AL,16,FALSE)-50</f>
        <v>369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387</v>
      </c>
      <c r="W334" s="3">
        <f>IF(ISERROR(VLOOKUP($A334,'SegEnds_NonXtal_BW#'!$A:$Z,16,FALSE)+VLOOKUP($A334,A:AL,22,FALSE)-50),"-",(VLOOKUP($A334,'SegEnds_NonXtal_BW#'!$A:$Z,16,FALSE)+VLOOKUP($A334,A:AL,22,FALSE)-50))</f>
        <v>405</v>
      </c>
      <c r="X334" s="3">
        <f>IF(ISERROR(VLOOKUP($A334,'SegEnds_NonXtal_BW#'!$A:$Z,17,FALSE)+VLOOKUP($A334,A:AL,25,FALSE)-50),"-",(VLOOKUP($A334,'SegEnds_NonXtal_BW#'!$A:$Z,17,FALSE)+VLOOKUP($A334,A:AL,25,FALSE)-50))</f>
        <v>420</v>
      </c>
      <c r="Y334" s="3">
        <v>420</v>
      </c>
      <c r="Z334" s="3">
        <f t="shared" si="200"/>
        <v>422</v>
      </c>
      <c r="AA334" s="3">
        <f>IF(ISERROR(VLOOKUP($A334,'SegEnds_NonXtal_BW#'!$A:$Z,19,FALSE)+VLOOKUP($A334,A:AL,28,FALSE)-50),"-",(VLOOKUP($A334,'SegEnds_NonXtal_BW#'!$A:$Z,19,FALSE)+VLOOKUP($A334,A:AL,28,FALSE)-50))</f>
        <v>424</v>
      </c>
      <c r="AB334" s="3">
        <v>438</v>
      </c>
      <c r="AC334" s="3">
        <f>IF(ISERROR((VLOOKUP($A334,'SegEnds_NonXtal_BW#'!$A:$Z,20,FALSE)+VLOOKUP($A334,A:AL,28,FALSE)-50)),"-",(VLOOKUP($A334,'SegEnds_NonXtal_BW#'!$A:$Z,20,FALSE)+VLOOKUP($A334,A:AL,28,FALSE)-50))</f>
        <v>457</v>
      </c>
      <c r="AD334" s="3">
        <f>IF(ISERROR(VLOOKUP($A334,'SegEnds_NonXtal_BW#'!$A:$Z,21,FALSE)+VLOOKUP($A334,A:AL,31,FALSE)-50),"-",(VLOOKUP($A334,'SegEnds_NonXtal_BW#'!$A:$Z,21,FALSE)+VLOOKUP($A334,A:AL,31,FALSE)-50))</f>
        <v>471</v>
      </c>
      <c r="AE334" s="3">
        <v>492</v>
      </c>
      <c r="AF334" s="3">
        <f>IF(ISERROR((VLOOKUP($A334,'SegEnds_NonXtal_BW#'!$A:$Z,22,FALSE)+VLOOKUP($A334,A:AL,31,FALSE)-50)),"-",(VLOOKUP($A334,'SegEnds_NonXtal_BW#'!$A:$Z,22,FALSE)+VLOOKUP($A334,A:AL,31,FALSE)-50))</f>
        <v>492</v>
      </c>
      <c r="AG334" s="3">
        <f>IF(ISERROR(VLOOKUP($A334,'SegEnds_NonXtal_BW#'!$A:$Z,23,FALSE)+VLOOKUP($A334,A:AL,34,FALSE)-50),"-",(VLOOKUP($A334,'SegEnds_NonXtal_BW#'!$A:$Z,23,FALSE)+VLOOKUP($A334,A:AL,34,FALSE)-50))</f>
        <v>499</v>
      </c>
      <c r="AH334" s="3">
        <v>518</v>
      </c>
      <c r="AI334" s="3">
        <f>IF(ISERROR((VLOOKUP($A334,'SegEnds_NonXtal_BW#'!$A:$Z,24,FALSE)+VLOOKUP($A334,A:AL,34,FALSE)-50)),"-",(VLOOKUP($A334,'SegEnds_NonXtal_BW#'!$A:$Z,24,FALSE)+VLOOKUP($A334,A:AL,34,FALSE)-50))</f>
        <v>524</v>
      </c>
      <c r="AJ334" s="3">
        <f>IF(ISERROR(VLOOKUP($A334,'SegEnds_NonXtal_BW#'!$A:$Z,25,FALSE)+VLOOKUP($A334,A:AL,37,FALSE)-50),"-",(VLOOKUP($A334,'SegEnds_NonXtal_BW#'!$A:$Z,25,FALSE)+VLOOKUP($A334,A:AL,37,FALSE)-50))</f>
        <v>525</v>
      </c>
      <c r="AK334" s="3">
        <v>528</v>
      </c>
      <c r="AL334" s="3">
        <f>IF(ISERROR((VLOOKUP($A334,'SegEnds_NonXtal_BW#'!$A:$Z,26,FALSE)+VLOOKUP($A334,A:AL,37,FALSE)-50)),"-",(VLOOKUP($A334,'SegEnds_NonXtal_BW#'!$A:$Z,26,FALSE)+VLOOKUP($A334,A:AL,37,FALSE)-50))</f>
        <v>541</v>
      </c>
      <c r="AM334" s="28" t="str">
        <f>VLOOKUP(A334,Classification!A:B,2,FALSE)</f>
        <v>B2</v>
      </c>
      <c r="AN334" s="28" t="b">
        <f t="shared" si="216"/>
        <v>1</v>
      </c>
      <c r="AO334" s="3" t="str">
        <f>IF(ISERROR(MATCH(A334,'SegEnds_Xtal_Prot#'!B:B, 0)), "NoXtal", "Xtal")</f>
        <v>NoXtal</v>
      </c>
      <c r="AP334" s="3" t="str">
        <f t="shared" si="201"/>
        <v>-</v>
      </c>
      <c r="AQ334" s="3" t="str">
        <f t="shared" si="202"/>
        <v>-</v>
      </c>
      <c r="AR334" s="3" t="str">
        <f t="shared" si="203"/>
        <v>-</v>
      </c>
      <c r="AS334" s="3" t="str">
        <f t="shared" si="204"/>
        <v>-</v>
      </c>
      <c r="AT334" s="3" t="str">
        <f t="shared" si="205"/>
        <v>-</v>
      </c>
      <c r="AU334" s="3" t="str">
        <f t="shared" si="206"/>
        <v>-</v>
      </c>
      <c r="AV334" s="3">
        <f t="shared" si="207"/>
        <v>15</v>
      </c>
      <c r="AW334" s="3">
        <f t="shared" si="208"/>
        <v>2</v>
      </c>
      <c r="AX334" s="3">
        <f t="shared" si="209"/>
        <v>14</v>
      </c>
      <c r="AY334" s="3">
        <f t="shared" si="210"/>
        <v>7</v>
      </c>
      <c r="AZ334" s="3">
        <f t="shared" si="211"/>
        <v>1</v>
      </c>
      <c r="BA334" s="3">
        <f>IF(ISERROR(LEN(VLOOKUP(A334,Seqs!A:E,2,FALSE))-AL334),"-",LEN(VLOOKUP(A334,Seqs!A:E,2,FALSE))-AL334)</f>
        <v>8</v>
      </c>
      <c r="BB334" s="16">
        <f t="shared" si="212"/>
        <v>33</v>
      </c>
      <c r="BC334" s="9" t="str">
        <f t="shared" si="213"/>
        <v>-</v>
      </c>
      <c r="BD334" s="3">
        <f t="shared" si="214"/>
        <v>33</v>
      </c>
      <c r="BE334" s="3">
        <f t="shared" si="215"/>
        <v>54</v>
      </c>
      <c r="BF334" s="3">
        <f>AH334-AE334</f>
        <v>26</v>
      </c>
    </row>
    <row r="335" spans="1:59" s="3" customFormat="1" x14ac:dyDescent="0.2">
      <c r="A335" s="3" t="s">
        <v>1195</v>
      </c>
      <c r="B335" s="3" t="str">
        <f>LOWER(VLOOKUP(A335,Xtal_Templ!A:B,2,FALSE))</f>
        <v>crfr1_human</v>
      </c>
      <c r="C335" s="3">
        <f>VLOOKUP($A335,'SegEnds_NonXtal_BW#'!$A:$Z,3,FALSE)+D335-50</f>
        <v>2731</v>
      </c>
      <c r="D335" s="3">
        <v>2758</v>
      </c>
      <c r="E335" s="3">
        <f>IF(ISERROR(VLOOKUP($A335,'SegEnds_NonXtal_BW#'!$A:$Z,4,FALSE)+VLOOKUP($A335,A:AL,4,FALSE)-50),"-",(VLOOKUP($A335,'SegEnds_NonXtal_BW#'!$A:$Z,4,FALSE)+VLOOKUP($A335,A:AL,4,FALSE)-50))</f>
        <v>2768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2774</v>
      </c>
      <c r="J335" s="3">
        <v>2787</v>
      </c>
      <c r="K335" s="3">
        <f>VLOOKUP($A335,'SegEnds_NonXtal_BW#'!$A:$Z,8,FALSE)+VLOOKUP($A335,A:AL,10,FALSE)-50</f>
        <v>2800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2807</v>
      </c>
      <c r="P335" s="3">
        <v>2834</v>
      </c>
      <c r="Q335" s="3">
        <f>VLOOKUP($A335,'SegEnds_NonXtal_BW#'!$A:$Z,12,FALSE)+VLOOKUP($A335,A:AL,16,FALSE)-50</f>
        <v>2840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2848</v>
      </c>
      <c r="V335" s="3">
        <v>2858</v>
      </c>
      <c r="W335" s="3">
        <f>IF(ISERROR(VLOOKUP($A335,'SegEnds_NonXtal_BW#'!$A:$Z,16,FALSE)+VLOOKUP($A335,A:AL,22,FALSE)-50),"-",(VLOOKUP($A335,'SegEnds_NonXtal_BW#'!$A:$Z,16,FALSE)+VLOOKUP($A335,A:AL,22,FALSE)-50))</f>
        <v>2876</v>
      </c>
      <c r="X335" s="3">
        <f>IF(ISERROR(VLOOKUP($A335,'SegEnds_NonXtal_BW#'!$A:$Z,17,FALSE)+VLOOKUP($A335,A:AL,25,FALSE)-50),"-",(VLOOKUP($A335,'SegEnds_NonXtal_BW#'!$A:$Z,17,FALSE)+VLOOKUP($A335,A:AL,25,FALSE)-50))</f>
        <v>2886</v>
      </c>
      <c r="Y335" s="3">
        <v>2886</v>
      </c>
      <c r="Z335" s="3">
        <f t="shared" si="200"/>
        <v>2888</v>
      </c>
      <c r="AA335" s="3">
        <f>IF(ISERROR(VLOOKUP($A335,'SegEnds_NonXtal_BW#'!$A:$Z,19,FALSE)+VLOOKUP($A335,A:AL,28,FALSE)-50),"-",(VLOOKUP($A335,'SegEnds_NonXtal_BW#'!$A:$Z,19,FALSE)+VLOOKUP($A335,A:AL,28,FALSE)-50))</f>
        <v>2891</v>
      </c>
      <c r="AB335" s="3">
        <v>2905</v>
      </c>
      <c r="AC335" s="3">
        <f>IF(ISERROR((VLOOKUP($A335,'SegEnds_NonXtal_BW#'!$A:$Z,20,FALSE)+VLOOKUP($A335,A:AL,28,FALSE)-50)),"-",(VLOOKUP($A335,'SegEnds_NonXtal_BW#'!$A:$Z,20,FALSE)+VLOOKUP($A335,A:AL,28,FALSE)-50))</f>
        <v>2924</v>
      </c>
      <c r="AD335" s="3">
        <f>IF(ISERROR(VLOOKUP($A335,'SegEnds_NonXtal_BW#'!$A:$Z,21,FALSE)+VLOOKUP($A335,A:AL,31,FALSE)-50),"-",(VLOOKUP($A335,'SegEnds_NonXtal_BW#'!$A:$Z,21,FALSE)+VLOOKUP($A335,A:AL,31,FALSE)-50))</f>
        <v>2934</v>
      </c>
      <c r="AE335" s="3">
        <v>2955</v>
      </c>
      <c r="AF335" s="3">
        <f>IF(ISERROR((VLOOKUP($A335,'SegEnds_NonXtal_BW#'!$A:$Z,22,FALSE)+VLOOKUP($A335,A:AL,31,FALSE)-50)),"-",(VLOOKUP($A335,'SegEnds_NonXtal_BW#'!$A:$Z,22,FALSE)+VLOOKUP($A335,A:AL,31,FALSE)-50))</f>
        <v>2958</v>
      </c>
      <c r="AG335" s="3">
        <f>IF(ISERROR(VLOOKUP($A335,'SegEnds_NonXtal_BW#'!$A:$Z,23,FALSE)+VLOOKUP($A335,A:AL,34,FALSE)-50),"-",(VLOOKUP($A335,'SegEnds_NonXtal_BW#'!$A:$Z,23,FALSE)+VLOOKUP($A335,A:AL,34,FALSE)-50))</f>
        <v>2964</v>
      </c>
      <c r="AH335" s="3">
        <v>2983</v>
      </c>
      <c r="AI335" s="3">
        <f>IF(ISERROR((VLOOKUP($A335,'SegEnds_NonXtal_BW#'!$A:$Z,24,FALSE)+VLOOKUP($A335,A:AL,34,FALSE)-50)),"-",(VLOOKUP($A335,'SegEnds_NonXtal_BW#'!$A:$Z,24,FALSE)+VLOOKUP($A335,A:AL,34,FALSE)-50))</f>
        <v>2989</v>
      </c>
      <c r="AJ335" s="3">
        <f>IF(ISERROR(VLOOKUP($A335,'SegEnds_NonXtal_BW#'!$A:$Z,25,FALSE)+VLOOKUP($A335,A:AL,37,FALSE)-50),"-",(VLOOKUP($A335,'SegEnds_NonXtal_BW#'!$A:$Z,25,FALSE)+VLOOKUP($A335,A:AL,37,FALSE)-50))</f>
        <v>2990</v>
      </c>
      <c r="AK335" s="3">
        <v>2993</v>
      </c>
      <c r="AL335" s="3">
        <f>IF(ISERROR((VLOOKUP($A335,'SegEnds_NonXtal_BW#'!$A:$Z,26,FALSE)+VLOOKUP($A335,A:AL,37,FALSE)-50)),"-",(VLOOKUP($A335,'SegEnds_NonXtal_BW#'!$A:$Z,26,FALSE)+VLOOKUP($A335,A:AL,37,FALSE)-50))</f>
        <v>3006</v>
      </c>
      <c r="AM335" s="28" t="str">
        <f>VLOOKUP(A335,Classification!A:B,2,FALSE)</f>
        <v>B2</v>
      </c>
      <c r="AN335" s="28" t="b">
        <f t="shared" si="216"/>
        <v>1</v>
      </c>
      <c r="AO335" s="3" t="str">
        <f>IF(ISERROR(MATCH(A335,'SegEnds_Xtal_Prot#'!B:B, 0)), "NoXtal", "Xtal")</f>
        <v>NoXtal</v>
      </c>
      <c r="AP335" s="3" t="str">
        <f t="shared" si="201"/>
        <v>-</v>
      </c>
      <c r="AQ335" s="3" t="str">
        <f t="shared" si="202"/>
        <v>-</v>
      </c>
      <c r="AR335" s="3" t="str">
        <f t="shared" si="203"/>
        <v>-</v>
      </c>
      <c r="AS335" s="3" t="str">
        <f t="shared" si="204"/>
        <v>-</v>
      </c>
      <c r="AT335" s="3" t="str">
        <f t="shared" si="205"/>
        <v>-</v>
      </c>
      <c r="AU335" s="3" t="str">
        <f t="shared" si="206"/>
        <v>-</v>
      </c>
      <c r="AV335" s="3">
        <f t="shared" si="207"/>
        <v>10</v>
      </c>
      <c r="AW335" s="3">
        <f t="shared" si="208"/>
        <v>3</v>
      </c>
      <c r="AX335" s="3">
        <f t="shared" si="209"/>
        <v>10</v>
      </c>
      <c r="AY335" s="3">
        <f t="shared" si="210"/>
        <v>6</v>
      </c>
      <c r="AZ335" s="3">
        <f t="shared" si="211"/>
        <v>1</v>
      </c>
      <c r="BA335" s="3">
        <f>IF(ISERROR(LEN(VLOOKUP(A335,Seqs!A:E,2,FALSE))-AL335),"-",LEN(VLOOKUP(A335,Seqs!A:E,2,FALSE))-AL335)</f>
        <v>74</v>
      </c>
      <c r="BB335" s="16">
        <f t="shared" si="212"/>
        <v>29</v>
      </c>
      <c r="BC335" s="9" t="str">
        <f t="shared" si="213"/>
        <v>-</v>
      </c>
      <c r="BD335" s="3">
        <f t="shared" si="214"/>
        <v>29</v>
      </c>
      <c r="BE335" s="3">
        <f t="shared" si="215"/>
        <v>50</v>
      </c>
    </row>
    <row r="336" spans="1:59" s="3" customFormat="1" x14ac:dyDescent="0.2">
      <c r="A336" s="3" t="s">
        <v>1196</v>
      </c>
      <c r="B336" s="3" t="str">
        <f>LOWER(VLOOKUP(A336,Xtal_Templ!A:B,2,FALSE))</f>
        <v>pth1r_human</v>
      </c>
      <c r="C336" s="3">
        <f>VLOOKUP($A336,'SegEnds_NonXtal_BW#'!$A:$Z,3,FALSE)+D336-50</f>
        <v>236</v>
      </c>
      <c r="D336" s="3">
        <v>263</v>
      </c>
      <c r="E336" s="3">
        <f>IF(ISERROR(VLOOKUP($A336,'SegEnds_NonXtal_BW#'!$A:$Z,4,FALSE)+VLOOKUP($A336,A:AL,4,FALSE)-50),"-",(VLOOKUP($A336,'SegEnds_NonXtal_BW#'!$A:$Z,4,FALSE)+VLOOKUP($A336,A:AL,4,FALSE)-50))</f>
        <v>273</v>
      </c>
      <c r="F336" s="3" t="s">
        <v>23</v>
      </c>
      <c r="G336" s="3" t="s">
        <v>23</v>
      </c>
      <c r="H336" s="3" t="s">
        <v>23</v>
      </c>
      <c r="I336" s="3">
        <f>VLOOKUP($A336,'SegEnds_NonXtal_BW#'!$A:$Z,7,FALSE)+J336-50</f>
        <v>278</v>
      </c>
      <c r="J336" s="3">
        <v>291</v>
      </c>
      <c r="K336" s="3">
        <f>VLOOKUP($A336,'SegEnds_NonXtal_BW#'!$A:$Z,8,FALSE)+VLOOKUP($A336,A:AL,10,FALSE)-50</f>
        <v>304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312</v>
      </c>
      <c r="P336" s="3">
        <v>339</v>
      </c>
      <c r="Q336" s="3">
        <f>VLOOKUP($A336,'SegEnds_NonXtal_BW#'!$A:$Z,12,FALSE)+VLOOKUP($A336,A:AL,16,FALSE)-50</f>
        <v>345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350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381</v>
      </c>
      <c r="X336" s="3">
        <f>IF(ISERROR(VLOOKUP($A336,'SegEnds_NonXtal_BW#'!$A:$Z,17,FALSE)+VLOOKUP($A336,A:AL,25,FALSE)-50),"-",(VLOOKUP($A336,'SegEnds_NonXtal_BW#'!$A:$Z,17,FALSE)+VLOOKUP($A336,A:AL,25,FALSE)-50))</f>
        <v>404</v>
      </c>
      <c r="Y336" s="3">
        <v>404</v>
      </c>
      <c r="Z336" s="3">
        <f t="shared" si="200"/>
        <v>406</v>
      </c>
      <c r="AA336" s="3">
        <f>IF(ISERROR(VLOOKUP($A336,'SegEnds_NonXtal_BW#'!$A:$Z,19,FALSE)+VLOOKUP($A336,A:AL,28,FALSE)-50),"-",(VLOOKUP($A336,'SegEnds_NonXtal_BW#'!$A:$Z,19,FALSE)+VLOOKUP($A336,A:AL,28,FALSE)-50))</f>
        <v>409</v>
      </c>
      <c r="AB336" s="3">
        <v>423</v>
      </c>
      <c r="AC336" s="3">
        <f>IF(ISERROR((VLOOKUP($A336,'SegEnds_NonXtal_BW#'!$A:$Z,20,FALSE)+VLOOKUP($A336,A:AL,28,FALSE)-50)),"-",(VLOOKUP($A336,'SegEnds_NonXtal_BW#'!$A:$Z,20,FALSE)+VLOOKUP($A336,A:AL,28,FALSE)-50))</f>
        <v>442</v>
      </c>
      <c r="AD336" s="3">
        <f>IF(ISERROR(VLOOKUP($A336,'SegEnds_NonXtal_BW#'!$A:$Z,21,FALSE)+VLOOKUP($A336,A:AL,31,FALSE)-50),"-",(VLOOKUP($A336,'SegEnds_NonXtal_BW#'!$A:$Z,21,FALSE)+VLOOKUP($A336,A:AL,31,FALSE)-50))</f>
        <v>451</v>
      </c>
      <c r="AE336" s="3">
        <v>472</v>
      </c>
      <c r="AF336" s="3">
        <f>IF(ISERROR((VLOOKUP($A336,'SegEnds_NonXtal_BW#'!$A:$Z,22,FALSE)+VLOOKUP($A336,A:AL,31,FALSE)-50)),"-",(VLOOKUP($A336,'SegEnds_NonXtal_BW#'!$A:$Z,22,FALSE)+VLOOKUP($A336,A:AL,31,FALSE)-50))</f>
        <v>476</v>
      </c>
      <c r="AG336" s="3">
        <f>IF(ISERROR(VLOOKUP($A336,'SegEnds_NonXtal_BW#'!$A:$Z,23,FALSE)+VLOOKUP($A336,A:AL,34,FALSE)-50),"-",(VLOOKUP($A336,'SegEnds_NonXtal_BW#'!$A:$Z,23,FALSE)+VLOOKUP($A336,A:AL,34,FALSE)-50))</f>
        <v>481</v>
      </c>
      <c r="AH336" s="3">
        <v>500</v>
      </c>
      <c r="AI336" s="3">
        <f>IF(ISERROR((VLOOKUP($A336,'SegEnds_NonXtal_BW#'!$A:$Z,24,FALSE)+VLOOKUP($A336,A:AL,34,FALSE)-50)),"-",(VLOOKUP($A336,'SegEnds_NonXtal_BW#'!$A:$Z,24,FALSE)+VLOOKUP($A336,A:AL,34,FALSE)-50))</f>
        <v>506</v>
      </c>
      <c r="AJ336" s="3">
        <f>IF(ISERROR(VLOOKUP($A336,'SegEnds_NonXtal_BW#'!$A:$Z,25,FALSE)+VLOOKUP($A336,A:AL,37,FALSE)-50),"-",(VLOOKUP($A336,'SegEnds_NonXtal_BW#'!$A:$Z,25,FALSE)+VLOOKUP($A336,A:AL,37,FALSE)-50))</f>
        <v>507</v>
      </c>
      <c r="AK336" s="3">
        <v>510</v>
      </c>
      <c r="AL336" s="3">
        <f>IF(ISERROR((VLOOKUP($A336,'SegEnds_NonXtal_BW#'!$A:$Z,26,FALSE)+VLOOKUP($A336,A:AL,37,FALSE)-50)),"-",(VLOOKUP($A336,'SegEnds_NonXtal_BW#'!$A:$Z,26,FALSE)+VLOOKUP($A336,A:AL,37,FALSE)-50))</f>
        <v>523</v>
      </c>
      <c r="AM336" s="28" t="str">
        <f>VLOOKUP(A336,Classification!A:B,2,FALSE)</f>
        <v>B2</v>
      </c>
      <c r="AN336" s="28" t="b">
        <f t="shared" si="216"/>
        <v>1</v>
      </c>
      <c r="AO336" s="3" t="str">
        <f>IF(ISERROR(MATCH(A336,'SegEnds_Xtal_Prot#'!B:B, 0)), "NoXtal", "Xtal")</f>
        <v>NoXtal</v>
      </c>
      <c r="AP336" s="3" t="str">
        <f t="shared" si="201"/>
        <v>-</v>
      </c>
      <c r="AQ336" s="3" t="str">
        <f t="shared" si="202"/>
        <v>-</v>
      </c>
      <c r="AR336" s="3" t="str">
        <f t="shared" si="203"/>
        <v>-</v>
      </c>
      <c r="AS336" s="3" t="str">
        <f t="shared" si="204"/>
        <v>-</v>
      </c>
      <c r="AT336" s="3" t="str">
        <f t="shared" si="205"/>
        <v>-</v>
      </c>
      <c r="AU336" s="3" t="str">
        <f t="shared" si="206"/>
        <v>-</v>
      </c>
      <c r="AV336" s="3">
        <f t="shared" si="207"/>
        <v>23</v>
      </c>
      <c r="AW336" s="3">
        <f t="shared" si="208"/>
        <v>3</v>
      </c>
      <c r="AX336" s="3">
        <f t="shared" si="209"/>
        <v>9</v>
      </c>
      <c r="AY336" s="3">
        <f t="shared" si="210"/>
        <v>5</v>
      </c>
      <c r="AZ336" s="3">
        <f t="shared" si="211"/>
        <v>1</v>
      </c>
      <c r="BA336" s="3">
        <f>IF(ISERROR(LEN(VLOOKUP(A336,Seqs!A:E,2,FALSE))-AL336),"-",LEN(VLOOKUP(A336,Seqs!A:E,2,FALSE))-AL336)</f>
        <v>5</v>
      </c>
      <c r="BB336" s="16">
        <f t="shared" si="212"/>
        <v>28</v>
      </c>
      <c r="BC336" s="9" t="str">
        <f t="shared" si="213"/>
        <v>-</v>
      </c>
      <c r="BD336" s="3">
        <f t="shared" si="214"/>
        <v>28</v>
      </c>
      <c r="BE336" s="3">
        <f t="shared" si="215"/>
        <v>49</v>
      </c>
      <c r="BF336" s="3">
        <f>AH336-AE336</f>
        <v>28</v>
      </c>
    </row>
    <row r="337" spans="1:58" s="3" customFormat="1" x14ac:dyDescent="0.2">
      <c r="A337" s="3" t="s">
        <v>1413</v>
      </c>
      <c r="B337" s="3" t="str">
        <f>LOWER(VLOOKUP(A337,Xtal_Templ!A:B,2,FALSE))</f>
        <v>crfr1_human</v>
      </c>
      <c r="C337" s="3">
        <f>VLOOKUP($A337,'SegEnds_NonXtal_BW#'!$A:$Z,3,FALSE)+D337-50</f>
        <v>852</v>
      </c>
      <c r="D337" s="3">
        <v>879</v>
      </c>
      <c r="E337" s="3">
        <f>IF(ISERROR(VLOOKUP($A337,'SegEnds_NonXtal_BW#'!$A:$Z,4,FALSE)+VLOOKUP($A337,A:AL,4,FALSE)-50),"-",(VLOOKUP($A337,'SegEnds_NonXtal_BW#'!$A:$Z,4,FALSE)+VLOOKUP($A337,A:AL,4,FALSE)-50))</f>
        <v>889</v>
      </c>
      <c r="F337" s="3">
        <f>G337-2</f>
        <v>890</v>
      </c>
      <c r="G337" s="3">
        <v>892</v>
      </c>
      <c r="H337" s="3">
        <f>G337+1</f>
        <v>893</v>
      </c>
      <c r="I337" s="3">
        <f>H337+1</f>
        <v>894</v>
      </c>
      <c r="J337" s="3">
        <v>908</v>
      </c>
      <c r="K337" s="3">
        <f>VLOOKUP($A337,'SegEnds_NonXtal_BW#'!$A:$Z,8,FALSE)+VLOOKUP($A337,A:AL,10,FALSE)-50</f>
        <v>921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928</v>
      </c>
      <c r="P337" s="3">
        <v>955</v>
      </c>
      <c r="Q337" s="3">
        <f>VLOOKUP($A337,'SegEnds_NonXtal_BW#'!$A:$Z,12,FALSE)+VLOOKUP($A337,A:AL,16,FALSE)-50</f>
        <v>961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969</v>
      </c>
      <c r="V337" s="3">
        <v>979</v>
      </c>
      <c r="W337" s="3">
        <f>IF(ISERROR(VLOOKUP($A337,'SegEnds_NonXtal_BW#'!$A:$Z,16,FALSE)+VLOOKUP($A337,A:AL,22,FALSE)-50),"-",(VLOOKUP($A337,'SegEnds_NonXtal_BW#'!$A:$Z,16,FALSE)+VLOOKUP($A337,A:AL,22,FALSE)-50))</f>
        <v>997</v>
      </c>
      <c r="X337" s="3">
        <f>IF(ISERROR(VLOOKUP($A337,'SegEnds_NonXtal_BW#'!$A:$Z,17,FALSE)+VLOOKUP($A337,A:AL,25,FALSE)-50),"-",(VLOOKUP($A337,'SegEnds_NonXtal_BW#'!$A:$Z,17,FALSE)+VLOOKUP($A337,A:AL,25,FALSE)-50))</f>
        <v>1013</v>
      </c>
      <c r="Y337" s="3">
        <v>1013</v>
      </c>
      <c r="Z337" s="3">
        <f t="shared" si="200"/>
        <v>1015</v>
      </c>
      <c r="AA337" s="3">
        <f>IF(ISERROR(VLOOKUP($A337,'SegEnds_NonXtal_BW#'!$A:$Z,19,FALSE)+VLOOKUP($A337,A:AL,28,FALSE)-50),"-",(VLOOKUP($A337,'SegEnds_NonXtal_BW#'!$A:$Z,19,FALSE)+VLOOKUP($A337,A:AL,28,FALSE)-50))</f>
        <v>1018</v>
      </c>
      <c r="AB337" s="3">
        <v>1032</v>
      </c>
      <c r="AC337" s="3">
        <f>IF(ISERROR((VLOOKUP($A337,'SegEnds_NonXtal_BW#'!$A:$Z,20,FALSE)+VLOOKUP($A337,A:AL,28,FALSE)-50)),"-",(VLOOKUP($A337,'SegEnds_NonXtal_BW#'!$A:$Z,20,FALSE)+VLOOKUP($A337,A:AL,28,FALSE)-50))</f>
        <v>1051</v>
      </c>
      <c r="AD337" s="3">
        <f>IF(ISERROR(VLOOKUP($A337,'SegEnds_NonXtal_BW#'!$A:$Z,21,FALSE)+VLOOKUP($A337,A:AL,31,FALSE)-50),"-",(VLOOKUP($A337,'SegEnds_NonXtal_BW#'!$A:$Z,21,FALSE)+VLOOKUP($A337,A:AL,31,FALSE)-50))</f>
        <v>1062</v>
      </c>
      <c r="AE337" s="3">
        <v>1083</v>
      </c>
      <c r="AF337" s="3">
        <f>IF(ISERROR((VLOOKUP($A337,'SegEnds_NonXtal_BW#'!$A:$Z,22,FALSE)+VLOOKUP($A337,A:AL,31,FALSE)-50)),"-",(VLOOKUP($A337,'SegEnds_NonXtal_BW#'!$A:$Z,22,FALSE)+VLOOKUP($A337,A:AL,31,FALSE)-50))</f>
        <v>1086</v>
      </c>
      <c r="AG337" s="3">
        <f>IF(ISERROR(VLOOKUP($A337,'SegEnds_NonXtal_BW#'!$A:$Z,23,FALSE)+VLOOKUP($A337,A:AL,34,FALSE)-50),"-",(VLOOKUP($A337,'SegEnds_NonXtal_BW#'!$A:$Z,23,FALSE)+VLOOKUP($A337,A:AL,34,FALSE)-50))</f>
        <v>1092</v>
      </c>
      <c r="AH337" s="3">
        <v>1111</v>
      </c>
      <c r="AI337" s="3">
        <f>IF(ISERROR((VLOOKUP($A337,'SegEnds_NonXtal_BW#'!$A:$Z,24,FALSE)+VLOOKUP($A337,A:AL,34,FALSE)-50)),"-",(VLOOKUP($A337,'SegEnds_NonXtal_BW#'!$A:$Z,24,FALSE)+VLOOKUP($A337,A:AL,34,FALSE)-50))</f>
        <v>1117</v>
      </c>
      <c r="AJ337" s="3">
        <f>IF(ISERROR(VLOOKUP($A337,'SegEnds_NonXtal_BW#'!$A:$Z,25,FALSE)+VLOOKUP($A337,A:AL,37,FALSE)-50),"-",(VLOOKUP($A337,'SegEnds_NonXtal_BW#'!$A:$Z,25,FALSE)+VLOOKUP($A337,A:AL,37,FALSE)-50))</f>
        <v>1118</v>
      </c>
      <c r="AK337" s="3">
        <v>1121</v>
      </c>
      <c r="AL337" s="3">
        <f>IF(ISERROR((VLOOKUP($A337,'SegEnds_NonXtal_BW#'!$A:$Z,26,FALSE)+VLOOKUP($A337,A:AL,37,FALSE)-50)),"-",(VLOOKUP($A337,'SegEnds_NonXtal_BW#'!$A:$Z,26,FALSE)+VLOOKUP($A337,A:AL,37,FALSE)-50))</f>
        <v>1134</v>
      </c>
      <c r="AM337" s="28" t="str">
        <f>VLOOKUP(A337,Classification!A:B,2,FALSE)</f>
        <v>B2</v>
      </c>
      <c r="AN337" s="28" t="b">
        <f t="shared" si="216"/>
        <v>1</v>
      </c>
      <c r="AO337" s="3" t="str">
        <f>IF(ISERROR(MATCH(A337,'SegEnds_Xtal_Prot#'!B:B, 0)), "NoXtal", "Xtal")</f>
        <v>NoXtal</v>
      </c>
      <c r="AP337" s="3">
        <f t="shared" si="201"/>
        <v>1</v>
      </c>
      <c r="AQ337" s="3">
        <f t="shared" si="202"/>
        <v>1</v>
      </c>
      <c r="AR337" s="3" t="str">
        <f t="shared" si="203"/>
        <v>-</v>
      </c>
      <c r="AS337" s="3" t="str">
        <f t="shared" si="204"/>
        <v>-</v>
      </c>
      <c r="AT337" s="3" t="str">
        <f t="shared" si="205"/>
        <v>-</v>
      </c>
      <c r="AU337" s="3" t="str">
        <f t="shared" si="206"/>
        <v>-</v>
      </c>
      <c r="AV337" s="3">
        <f t="shared" si="207"/>
        <v>16</v>
      </c>
      <c r="AW337" s="3">
        <f t="shared" si="208"/>
        <v>3</v>
      </c>
      <c r="AX337" s="3">
        <f t="shared" si="209"/>
        <v>11</v>
      </c>
      <c r="AY337" s="3">
        <f t="shared" si="210"/>
        <v>6</v>
      </c>
      <c r="AZ337" s="3">
        <f t="shared" si="211"/>
        <v>1</v>
      </c>
      <c r="BA337" s="3">
        <f>IF(ISERROR(LEN(VLOOKUP(A337,Seqs!A:E,2,FALSE))-AL337),"-",LEN(VLOOKUP(A337,Seqs!A:E,2,FALSE))-AL337)</f>
        <v>87</v>
      </c>
      <c r="BB337" s="16">
        <f t="shared" si="212"/>
        <v>29</v>
      </c>
      <c r="BC337" s="9" t="str">
        <f t="shared" si="213"/>
        <v>-</v>
      </c>
      <c r="BD337" s="3">
        <f t="shared" si="214"/>
        <v>29</v>
      </c>
      <c r="BE337" s="3">
        <f t="shared" si="215"/>
        <v>51</v>
      </c>
    </row>
    <row r="338" spans="1:58" s="3" customFormat="1" x14ac:dyDescent="0.2">
      <c r="A338" s="3" t="s">
        <v>1197</v>
      </c>
      <c r="B338" s="3" t="str">
        <f>LOWER(VLOOKUP(A338,Xtal_Templ!A:B,2,FALSE))</f>
        <v>pth1r_human</v>
      </c>
      <c r="C338" s="3">
        <f>VLOOKUP($A338,'SegEnds_NonXtal_BW#'!$A:$Z,3,FALSE)+D338-50</f>
        <v>422</v>
      </c>
      <c r="D338" s="3">
        <v>449</v>
      </c>
      <c r="E338" s="3">
        <f>IF(ISERROR(VLOOKUP($A338,'SegEnds_NonXtal_BW#'!$A:$Z,4,FALSE)+VLOOKUP($A338,A:AL,4,FALSE)-50),"-",(VLOOKUP($A338,'SegEnds_NonXtal_BW#'!$A:$Z,4,FALSE)+VLOOKUP($A338,A:AL,4,FALSE)-50))</f>
        <v>459</v>
      </c>
      <c r="F338" s="3" t="s">
        <v>23</v>
      </c>
      <c r="G338" s="3" t="s">
        <v>23</v>
      </c>
      <c r="H338" s="3" t="s">
        <v>23</v>
      </c>
      <c r="I338" s="3">
        <f>VLOOKUP($A338,'SegEnds_NonXtal_BW#'!$A:$Z,7,FALSE)+J338-50</f>
        <v>465</v>
      </c>
      <c r="J338" s="3">
        <v>478</v>
      </c>
      <c r="K338" s="3">
        <f>VLOOKUP($A338,'SegEnds_NonXtal_BW#'!$A:$Z,8,FALSE)+VLOOKUP($A338,A:AL,10,FALSE)-50</f>
        <v>493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519</v>
      </c>
      <c r="P338" s="3">
        <v>551</v>
      </c>
      <c r="Q338" s="3">
        <f>VLOOKUP($A338,'SegEnds_NonXtal_BW#'!$A:$Z,12,FALSE)+VLOOKUP($A338,A:AL,16,FALSE)-50</f>
        <v>557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562</v>
      </c>
      <c r="V338" s="3">
        <v>575</v>
      </c>
      <c r="W338" s="3">
        <f>IF(ISERROR(VLOOKUP($A338,'SegEnds_NonXtal_BW#'!$A:$Z,16,FALSE)+VLOOKUP($A338,A:AL,22,FALSE)-50),"-",(VLOOKUP($A338,'SegEnds_NonXtal_BW#'!$A:$Z,16,FALSE)+VLOOKUP($A338,A:AL,22,FALSE)-50))</f>
        <v>593</v>
      </c>
      <c r="X338" s="3">
        <f>IF(ISERROR(VLOOKUP($A338,'SegEnds_NonXtal_BW#'!$A:$Z,17,FALSE)+VLOOKUP($A338,A:AL,25,FALSE)-50),"-",(VLOOKUP($A338,'SegEnds_NonXtal_BW#'!$A:$Z,17,FALSE)+VLOOKUP($A338,A:AL,25,FALSE)-50))</f>
        <v>609</v>
      </c>
      <c r="Y338" s="3">
        <v>609</v>
      </c>
      <c r="Z338" s="3">
        <f t="shared" si="200"/>
        <v>611</v>
      </c>
      <c r="AA338" s="3">
        <f>IF(ISERROR(VLOOKUP($A338,'SegEnds_NonXtal_BW#'!$A:$Z,19,FALSE)+VLOOKUP($A338,A:AL,28,FALSE)-50),"-",(VLOOKUP($A338,'SegEnds_NonXtal_BW#'!$A:$Z,19,FALSE)+VLOOKUP($A338,A:AL,28,FALSE)-50))</f>
        <v>621</v>
      </c>
      <c r="AB338" s="3">
        <v>635</v>
      </c>
      <c r="AC338" s="3">
        <f>IF(ISERROR((VLOOKUP($A338,'SegEnds_NonXtal_BW#'!$A:$Z,20,FALSE)+VLOOKUP($A338,A:AL,28,FALSE)-50)),"-",(VLOOKUP($A338,'SegEnds_NonXtal_BW#'!$A:$Z,20,FALSE)+VLOOKUP($A338,A:AL,28,FALSE)-50))</f>
        <v>654</v>
      </c>
      <c r="AD338" s="3">
        <f>IF(ISERROR(VLOOKUP($A338,'SegEnds_NonXtal_BW#'!$A:$Z,21,FALSE)+VLOOKUP($A338,A:AL,31,FALSE)-50),"-",(VLOOKUP($A338,'SegEnds_NonXtal_BW#'!$A:$Z,21,FALSE)+VLOOKUP($A338,A:AL,31,FALSE)-50))</f>
        <v>665</v>
      </c>
      <c r="AE338" s="3">
        <v>686</v>
      </c>
      <c r="AF338" s="3">
        <f>IF(ISERROR((VLOOKUP($A338,'SegEnds_NonXtal_BW#'!$A:$Z,22,FALSE)+VLOOKUP($A338,A:AL,31,FALSE)-50)),"-",(VLOOKUP($A338,'SegEnds_NonXtal_BW#'!$A:$Z,22,FALSE)+VLOOKUP($A338,A:AL,31,FALSE)-50))</f>
        <v>690</v>
      </c>
      <c r="AG338" s="3">
        <f>IF(ISERROR(VLOOKUP($A338,'SegEnds_NonXtal_BW#'!$A:$Z,23,FALSE)+VLOOKUP($A338,A:AL,34,FALSE)-50),"-",(VLOOKUP($A338,'SegEnds_NonXtal_BW#'!$A:$Z,23,FALSE)+VLOOKUP($A338,A:AL,34,FALSE)-50))</f>
        <v>696</v>
      </c>
      <c r="AH338" s="3">
        <v>717</v>
      </c>
      <c r="AI338" s="3">
        <f>IF(ISERROR((VLOOKUP($A338,'SegEnds_NonXtal_BW#'!$A:$Z,24,FALSE)+VLOOKUP($A338,A:AL,34,FALSE)-50)),"-",(VLOOKUP($A338,'SegEnds_NonXtal_BW#'!$A:$Z,24,FALSE)+VLOOKUP($A338,A:AL,34,FALSE)-50))</f>
        <v>723</v>
      </c>
      <c r="AJ338" s="3">
        <f>IF(ISERROR(VLOOKUP($A338,'SegEnds_NonXtal_BW#'!$A:$Z,25,FALSE)+VLOOKUP($A338,A:AL,37,FALSE)-50),"-",(VLOOKUP($A338,'SegEnds_NonXtal_BW#'!$A:$Z,25,FALSE)+VLOOKUP($A338,A:AL,37,FALSE)-50))</f>
        <v>724</v>
      </c>
      <c r="AK338" s="3">
        <v>727</v>
      </c>
      <c r="AL338" s="3">
        <f>IF(ISERROR((VLOOKUP($A338,'SegEnds_NonXtal_BW#'!$A:$Z,26,FALSE)+VLOOKUP($A338,A:AL,37,FALSE)-50)),"-",(VLOOKUP($A338,'SegEnds_NonXtal_BW#'!$A:$Z,26,FALSE)+VLOOKUP($A338,A:AL,37,FALSE)-50))</f>
        <v>740</v>
      </c>
      <c r="AM338" s="28" t="str">
        <f>VLOOKUP(A338,Classification!A:B,2,FALSE)</f>
        <v>B2</v>
      </c>
      <c r="AN338" s="28" t="b">
        <f t="shared" si="216"/>
        <v>1</v>
      </c>
      <c r="AO338" s="3" t="str">
        <f>IF(ISERROR(MATCH(A338,'SegEnds_Xtal_Prot#'!B:B, 0)), "NoXtal", "Xtal")</f>
        <v>NoXtal</v>
      </c>
      <c r="AP338" s="3" t="str">
        <f t="shared" si="201"/>
        <v>-</v>
      </c>
      <c r="AQ338" s="3" t="str">
        <f t="shared" si="202"/>
        <v>-</v>
      </c>
      <c r="AR338" s="3" t="str">
        <f t="shared" si="203"/>
        <v>-</v>
      </c>
      <c r="AS338" s="3" t="str">
        <f t="shared" si="204"/>
        <v>-</v>
      </c>
      <c r="AT338" s="3" t="str">
        <f t="shared" si="205"/>
        <v>-</v>
      </c>
      <c r="AU338" s="3" t="str">
        <f t="shared" si="206"/>
        <v>-</v>
      </c>
      <c r="AV338" s="3">
        <f t="shared" si="207"/>
        <v>16</v>
      </c>
      <c r="AW338" s="3">
        <f t="shared" si="208"/>
        <v>10</v>
      </c>
      <c r="AX338" s="3">
        <f t="shared" si="209"/>
        <v>11</v>
      </c>
      <c r="AY338" s="3">
        <f t="shared" si="210"/>
        <v>6</v>
      </c>
      <c r="AZ338" s="3">
        <f t="shared" si="211"/>
        <v>1</v>
      </c>
      <c r="BA338" s="3">
        <f>IF(ISERROR(LEN(VLOOKUP(A338,Seqs!A:E,2,FALSE))-AL338),"-",LEN(VLOOKUP(A338,Seqs!A:E,2,FALSE))-AL338)</f>
        <v>57</v>
      </c>
      <c r="BB338" s="16">
        <f t="shared" si="212"/>
        <v>29</v>
      </c>
      <c r="BC338" s="9" t="str">
        <f t="shared" si="213"/>
        <v>-</v>
      </c>
      <c r="BD338" s="3">
        <f t="shared" si="214"/>
        <v>29</v>
      </c>
      <c r="BE338" s="3">
        <f t="shared" si="215"/>
        <v>51</v>
      </c>
    </row>
    <row r="339" spans="1:58" s="3" customFormat="1" x14ac:dyDescent="0.2">
      <c r="A339" s="3" t="s">
        <v>1198</v>
      </c>
      <c r="B339" s="3" t="str">
        <f>LOWER(VLOOKUP(A339,Xtal_Templ!A:B,2,FALSE))</f>
        <v>calcr_human</v>
      </c>
      <c r="C339" s="3">
        <f>VLOOKUP($A339,'SegEnds_NonXtal_BW#'!$A:$Z,3,FALSE)+D339-50</f>
        <v>848</v>
      </c>
      <c r="D339" s="3">
        <v>875</v>
      </c>
      <c r="E339" s="3">
        <f>IF(ISERROR(VLOOKUP($A339,'SegEnds_NonXtal_BW#'!$A:$Z,4,FALSE)+VLOOKUP($A339,A:AL,4,FALSE)-50),"-",(VLOOKUP($A339,'SegEnds_NonXtal_BW#'!$A:$Z,4,FALSE)+VLOOKUP($A339,A:AL,4,FALSE)-50))</f>
        <v>885</v>
      </c>
      <c r="F339" s="3">
        <f>G339-2</f>
        <v>886</v>
      </c>
      <c r="G339" s="3">
        <v>888</v>
      </c>
      <c r="H339" s="3">
        <f>G339+1</f>
        <v>889</v>
      </c>
      <c r="I339" s="3">
        <f>H339+1</f>
        <v>890</v>
      </c>
      <c r="J339" s="3">
        <v>903</v>
      </c>
      <c r="K339" s="3">
        <f>VLOOKUP($A339,'SegEnds_NonXtal_BW#'!$A:$Z,8,FALSE)+VLOOKUP($A339,A:AL,10,FALSE)-50</f>
        <v>916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921</v>
      </c>
      <c r="P339" s="3">
        <v>948</v>
      </c>
      <c r="Q339" s="3">
        <f>VLOOKUP($A339,'SegEnds_NonXtal_BW#'!$A:$Z,12,FALSE)+VLOOKUP($A339,A:AL,16,FALSE)-50</f>
        <v>954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962</v>
      </c>
      <c r="V339" s="3">
        <v>971</v>
      </c>
      <c r="W339" s="3">
        <f>IF(ISERROR(VLOOKUP($A339,'SegEnds_NonXtal_BW#'!$A:$Z,16,FALSE)+VLOOKUP($A339,A:AL,22,FALSE)-50),"-",(VLOOKUP($A339,'SegEnds_NonXtal_BW#'!$A:$Z,16,FALSE)+VLOOKUP($A339,A:AL,22,FALSE)-50))</f>
        <v>989</v>
      </c>
      <c r="X339" s="3">
        <f>IF(ISERROR(VLOOKUP($A339,'SegEnds_NonXtal_BW#'!$A:$Z,17,FALSE)+VLOOKUP($A339,A:AL,25,FALSE)-50),"-",(VLOOKUP($A339,'SegEnds_NonXtal_BW#'!$A:$Z,17,FALSE)+VLOOKUP($A339,A:AL,25,FALSE)-50))</f>
        <v>995</v>
      </c>
      <c r="Y339" s="3">
        <v>995</v>
      </c>
      <c r="Z339" s="3">
        <f t="shared" si="200"/>
        <v>997</v>
      </c>
      <c r="AA339" s="3">
        <f>IF(ISERROR(VLOOKUP($A339,'SegEnds_NonXtal_BW#'!$A:$Z,19,FALSE)+VLOOKUP($A339,A:AL,28,FALSE)-50),"-",(VLOOKUP($A339,'SegEnds_NonXtal_BW#'!$A:$Z,19,FALSE)+VLOOKUP($A339,A:AL,28,FALSE)-50))</f>
        <v>1000</v>
      </c>
      <c r="AB339" s="3">
        <v>1014</v>
      </c>
      <c r="AC339" s="3">
        <f>IF(ISERROR((VLOOKUP($A339,'SegEnds_NonXtal_BW#'!$A:$Z,20,FALSE)+VLOOKUP($A339,A:AL,28,FALSE)-50)),"-",(VLOOKUP($A339,'SegEnds_NonXtal_BW#'!$A:$Z,20,FALSE)+VLOOKUP($A339,A:AL,28,FALSE)-50))</f>
        <v>1033</v>
      </c>
      <c r="AD339" s="3">
        <f>IF(ISERROR(VLOOKUP($A339,'SegEnds_NonXtal_BW#'!$A:$Z,21,FALSE)+VLOOKUP($A339,A:AL,31,FALSE)-50),"-",(VLOOKUP($A339,'SegEnds_NonXtal_BW#'!$A:$Z,21,FALSE)+VLOOKUP($A339,A:AL,31,FALSE)-50))</f>
        <v>1045</v>
      </c>
      <c r="AE339" s="3">
        <v>1066</v>
      </c>
      <c r="AF339" s="3">
        <f>IF(ISERROR((VLOOKUP($A339,'SegEnds_NonXtal_BW#'!$A:$Z,22,FALSE)+VLOOKUP($A339,A:AL,31,FALSE)-50)),"-",(VLOOKUP($A339,'SegEnds_NonXtal_BW#'!$A:$Z,22,FALSE)+VLOOKUP($A339,A:AL,31,FALSE)-50))</f>
        <v>1069</v>
      </c>
      <c r="AG339" s="3">
        <f>IF(ISERROR(VLOOKUP($A339,'SegEnds_NonXtal_BW#'!$A:$Z,23,FALSE)+VLOOKUP($A339,A:AL,34,FALSE)-50),"-",(VLOOKUP($A339,'SegEnds_NonXtal_BW#'!$A:$Z,23,FALSE)+VLOOKUP($A339,A:AL,34,FALSE)-50))</f>
        <v>1075</v>
      </c>
      <c r="AH339" s="3">
        <v>1094</v>
      </c>
      <c r="AI339" s="3">
        <f>IF(ISERROR((VLOOKUP($A339,'SegEnds_NonXtal_BW#'!$A:$Z,24,FALSE)+VLOOKUP($A339,A:AL,34,FALSE)-50)),"-",(VLOOKUP($A339,'SegEnds_NonXtal_BW#'!$A:$Z,24,FALSE)+VLOOKUP($A339,A:AL,34,FALSE)-50))</f>
        <v>1100</v>
      </c>
      <c r="AJ339" s="3">
        <f>IF(ISERROR(VLOOKUP($A339,'SegEnds_NonXtal_BW#'!$A:$Z,25,FALSE)+VLOOKUP($A339,A:AL,37,FALSE)-50),"-",(VLOOKUP($A339,'SegEnds_NonXtal_BW#'!$A:$Z,25,FALSE)+VLOOKUP($A339,A:AL,37,FALSE)-50))</f>
        <v>1101</v>
      </c>
      <c r="AK339" s="3">
        <v>1104</v>
      </c>
      <c r="AL339" s="3">
        <f>IF(ISERROR((VLOOKUP($A339,'SegEnds_NonXtal_BW#'!$A:$Z,26,FALSE)+VLOOKUP($A339,A:AL,37,FALSE)-50)),"-",(VLOOKUP($A339,'SegEnds_NonXtal_BW#'!$A:$Z,26,FALSE)+VLOOKUP($A339,A:AL,37,FALSE)-50))</f>
        <v>1117</v>
      </c>
      <c r="AM339" s="28" t="str">
        <f>VLOOKUP(A339,Classification!A:B,2,FALSE)</f>
        <v>B2</v>
      </c>
      <c r="AN339" s="28" t="b">
        <f t="shared" si="216"/>
        <v>1</v>
      </c>
      <c r="AO339" s="3" t="str">
        <f>IF(ISERROR(MATCH(A339,'SegEnds_Xtal_Prot#'!B:B, 0)), "NoXtal", "Xtal")</f>
        <v>NoXtal</v>
      </c>
      <c r="AP339" s="3">
        <f t="shared" si="201"/>
        <v>1</v>
      </c>
      <c r="AQ339" s="3">
        <f t="shared" si="202"/>
        <v>1</v>
      </c>
      <c r="AR339" s="3" t="str">
        <f t="shared" si="203"/>
        <v>-</v>
      </c>
      <c r="AS339" s="3" t="str">
        <f t="shared" si="204"/>
        <v>-</v>
      </c>
      <c r="AT339" s="3" t="str">
        <f t="shared" si="205"/>
        <v>-</v>
      </c>
      <c r="AU339" s="3" t="str">
        <f t="shared" si="206"/>
        <v>-</v>
      </c>
      <c r="AV339" s="3">
        <f t="shared" si="207"/>
        <v>6</v>
      </c>
      <c r="AW339" s="3">
        <f t="shared" si="208"/>
        <v>3</v>
      </c>
      <c r="AX339" s="3">
        <f t="shared" si="209"/>
        <v>12</v>
      </c>
      <c r="AY339" s="3">
        <f t="shared" si="210"/>
        <v>6</v>
      </c>
      <c r="AZ339" s="3">
        <f t="shared" si="211"/>
        <v>1</v>
      </c>
      <c r="BA339" s="3">
        <f>IF(ISERROR(LEN(VLOOKUP(A339,Seqs!A:E,2,FALSE))-AL339),"-",LEN(VLOOKUP(A339,Seqs!A:E,2,FALSE))-AL339)</f>
        <v>357</v>
      </c>
      <c r="BB339" s="16">
        <f t="shared" si="212"/>
        <v>28</v>
      </c>
      <c r="BC339" s="9" t="str">
        <f t="shared" si="213"/>
        <v>-</v>
      </c>
      <c r="BD339" s="3">
        <f t="shared" si="214"/>
        <v>28</v>
      </c>
      <c r="BE339" s="3">
        <f t="shared" si="215"/>
        <v>52</v>
      </c>
    </row>
    <row r="340" spans="1:58" s="3" customFormat="1" x14ac:dyDescent="0.2">
      <c r="A340" s="3" t="s">
        <v>1199</v>
      </c>
      <c r="B340" s="3" t="str">
        <f>LOWER(VLOOKUP(A340,Xtal_Templ!A:B,2,FALSE))</f>
        <v>calcr_human</v>
      </c>
      <c r="C340" s="3">
        <f>VLOOKUP($A340,'SegEnds_NonXtal_BW#'!$A:$Z,3,FALSE)+D340-50</f>
        <v>835</v>
      </c>
      <c r="D340" s="3">
        <v>862</v>
      </c>
      <c r="E340" s="3">
        <f>IF(ISERROR(VLOOKUP($A340,'SegEnds_NonXtal_BW#'!$A:$Z,4,FALSE)+VLOOKUP($A340,A:AL,4,FALSE)-50),"-",(VLOOKUP($A340,'SegEnds_NonXtal_BW#'!$A:$Z,4,FALSE)+VLOOKUP($A340,A:AL,4,FALSE)-50))</f>
        <v>872</v>
      </c>
      <c r="F340" s="3" t="s">
        <v>23</v>
      </c>
      <c r="G340" s="3" t="s">
        <v>23</v>
      </c>
      <c r="H340" s="3" t="s">
        <v>23</v>
      </c>
      <c r="I340" s="3">
        <f>VLOOKUP($A340,'SegEnds_NonXtal_BW#'!$A:$Z,7,FALSE)+J340-50</f>
        <v>877</v>
      </c>
      <c r="J340" s="3">
        <v>890</v>
      </c>
      <c r="K340" s="3">
        <f>VLOOKUP($A340,'SegEnds_NonXtal_BW#'!$A:$Z,8,FALSE)+VLOOKUP($A340,A:AL,10,FALSE)-50</f>
        <v>903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908</v>
      </c>
      <c r="P340" s="3">
        <v>935</v>
      </c>
      <c r="Q340" s="3">
        <f>VLOOKUP($A340,'SegEnds_NonXtal_BW#'!$A:$Z,12,FALSE)+VLOOKUP($A340,A:AL,16,FALSE)-50</f>
        <v>941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949</v>
      </c>
      <c r="V340" s="3">
        <v>958</v>
      </c>
      <c r="W340" s="3">
        <f>IF(ISERROR(VLOOKUP($A340,'SegEnds_NonXtal_BW#'!$A:$Z,16,FALSE)+VLOOKUP($A340,A:AL,22,FALSE)-50),"-",(VLOOKUP($A340,'SegEnds_NonXtal_BW#'!$A:$Z,16,FALSE)+VLOOKUP($A340,A:AL,22,FALSE)-50))</f>
        <v>976</v>
      </c>
      <c r="X340" s="3">
        <f>IF(ISERROR(VLOOKUP($A340,'SegEnds_NonXtal_BW#'!$A:$Z,17,FALSE)+VLOOKUP($A340,A:AL,25,FALSE)-50),"-",(VLOOKUP($A340,'SegEnds_NonXtal_BW#'!$A:$Z,17,FALSE)+VLOOKUP($A340,A:AL,25,FALSE)-50))</f>
        <v>982</v>
      </c>
      <c r="Y340" s="3">
        <v>982</v>
      </c>
      <c r="Z340" s="3">
        <f t="shared" si="200"/>
        <v>984</v>
      </c>
      <c r="AA340" s="3">
        <f>IF(ISERROR(VLOOKUP($A340,'SegEnds_NonXtal_BW#'!$A:$Z,19,FALSE)+VLOOKUP($A340,A:AL,28,FALSE)-50),"-",(VLOOKUP($A340,'SegEnds_NonXtal_BW#'!$A:$Z,19,FALSE)+VLOOKUP($A340,A:AL,28,FALSE)-50))</f>
        <v>987</v>
      </c>
      <c r="AB340" s="3">
        <v>1001</v>
      </c>
      <c r="AC340" s="3">
        <f>IF(ISERROR((VLOOKUP($A340,'SegEnds_NonXtal_BW#'!$A:$Z,20,FALSE)+VLOOKUP($A340,A:AL,28,FALSE)-50)),"-",(VLOOKUP($A340,'SegEnds_NonXtal_BW#'!$A:$Z,20,FALSE)+VLOOKUP($A340,A:AL,28,FALSE)-50))</f>
        <v>1020</v>
      </c>
      <c r="AD340" s="3">
        <f>IF(ISERROR(VLOOKUP($A340,'SegEnds_NonXtal_BW#'!$A:$Z,21,FALSE)+VLOOKUP($A340,A:AL,31,FALSE)-50),"-",(VLOOKUP($A340,'SegEnds_NonXtal_BW#'!$A:$Z,21,FALSE)+VLOOKUP($A340,A:AL,31,FALSE)-50))</f>
        <v>1032</v>
      </c>
      <c r="AE340" s="3">
        <v>1053</v>
      </c>
      <c r="AF340" s="3">
        <f>IF(ISERROR((VLOOKUP($A340,'SegEnds_NonXtal_BW#'!$A:$Z,22,FALSE)+VLOOKUP($A340,A:AL,31,FALSE)-50)),"-",(VLOOKUP($A340,'SegEnds_NonXtal_BW#'!$A:$Z,22,FALSE)+VLOOKUP($A340,A:AL,31,FALSE)-50))</f>
        <v>1056</v>
      </c>
      <c r="AG340" s="3">
        <f>IF(ISERROR(VLOOKUP($A340,'SegEnds_NonXtal_BW#'!$A:$Z,23,FALSE)+VLOOKUP($A340,A:AL,34,FALSE)-50),"-",(VLOOKUP($A340,'SegEnds_NonXtal_BW#'!$A:$Z,23,FALSE)+VLOOKUP($A340,A:AL,34,FALSE)-50))</f>
        <v>1062</v>
      </c>
      <c r="AH340" s="3">
        <v>1081</v>
      </c>
      <c r="AI340" s="3">
        <f>IF(ISERROR((VLOOKUP($A340,'SegEnds_NonXtal_BW#'!$A:$Z,24,FALSE)+VLOOKUP($A340,A:AL,34,FALSE)-50)),"-",(VLOOKUP($A340,'SegEnds_NonXtal_BW#'!$A:$Z,24,FALSE)+VLOOKUP($A340,A:AL,34,FALSE)-50))</f>
        <v>1087</v>
      </c>
      <c r="AJ340" s="3">
        <f>IF(ISERROR(VLOOKUP($A340,'SegEnds_NonXtal_BW#'!$A:$Z,25,FALSE)+VLOOKUP($A340,A:AL,37,FALSE)-50),"-",(VLOOKUP($A340,'SegEnds_NonXtal_BW#'!$A:$Z,25,FALSE)+VLOOKUP($A340,A:AL,37,FALSE)-50))</f>
        <v>1088</v>
      </c>
      <c r="AK340" s="3">
        <v>1091</v>
      </c>
      <c r="AL340" s="3">
        <f>IF(ISERROR((VLOOKUP($A340,'SegEnds_NonXtal_BW#'!$A:$Z,26,FALSE)+VLOOKUP($A340,A:AL,37,FALSE)-50)),"-",(VLOOKUP($A340,'SegEnds_NonXtal_BW#'!$A:$Z,26,FALSE)+VLOOKUP($A340,A:AL,37,FALSE)-50))</f>
        <v>1104</v>
      </c>
      <c r="AM340" s="28" t="str">
        <f>VLOOKUP(A340,Classification!A:B,2,FALSE)</f>
        <v>B2</v>
      </c>
      <c r="AN340" s="28" t="b">
        <f t="shared" si="216"/>
        <v>1</v>
      </c>
      <c r="AO340" s="3" t="str">
        <f>IF(ISERROR(MATCH(A340,'SegEnds_Xtal_Prot#'!B:B, 0)), "NoXtal", "Xtal")</f>
        <v>NoXtal</v>
      </c>
      <c r="AP340" s="3" t="str">
        <f t="shared" si="201"/>
        <v>-</v>
      </c>
      <c r="AQ340" s="3" t="str">
        <f t="shared" si="202"/>
        <v>-</v>
      </c>
      <c r="AR340" s="3" t="str">
        <f t="shared" si="203"/>
        <v>-</v>
      </c>
      <c r="AS340" s="3" t="str">
        <f t="shared" si="204"/>
        <v>-</v>
      </c>
      <c r="AT340" s="3" t="str">
        <f t="shared" si="205"/>
        <v>-</v>
      </c>
      <c r="AU340" s="3" t="str">
        <f t="shared" si="206"/>
        <v>-</v>
      </c>
      <c r="AV340" s="3">
        <f t="shared" si="207"/>
        <v>6</v>
      </c>
      <c r="AW340" s="3">
        <f t="shared" si="208"/>
        <v>3</v>
      </c>
      <c r="AX340" s="3">
        <f t="shared" si="209"/>
        <v>12</v>
      </c>
      <c r="AY340" s="3">
        <f t="shared" si="210"/>
        <v>6</v>
      </c>
      <c r="AZ340" s="3">
        <f t="shared" si="211"/>
        <v>1</v>
      </c>
      <c r="BA340" s="3">
        <f>IF(ISERROR(LEN(VLOOKUP(A340,Seqs!A:E,2,FALSE))-AL340),"-",LEN(VLOOKUP(A340,Seqs!A:E,2,FALSE))-AL340)</f>
        <v>355</v>
      </c>
      <c r="BB340" s="16">
        <f t="shared" si="212"/>
        <v>28</v>
      </c>
      <c r="BC340" s="9" t="str">
        <f t="shared" si="213"/>
        <v>-</v>
      </c>
      <c r="BD340" s="3">
        <f t="shared" si="214"/>
        <v>28</v>
      </c>
      <c r="BE340" s="3">
        <f t="shared" si="215"/>
        <v>52</v>
      </c>
    </row>
    <row r="341" spans="1:58" s="3" customFormat="1" x14ac:dyDescent="0.2">
      <c r="A341" s="3" t="s">
        <v>1200</v>
      </c>
      <c r="B341" s="3" t="str">
        <f>LOWER(VLOOKUP(A341,Xtal_Templ!A:B,2,FALSE))</f>
        <v>crfr1_human</v>
      </c>
      <c r="C341" s="3">
        <f>VLOOKUP($A341,'SegEnds_NonXtal_BW#'!$A:$Z,3,FALSE)+D341-50</f>
        <v>852</v>
      </c>
      <c r="D341" s="3">
        <v>879</v>
      </c>
      <c r="E341" s="3">
        <f>IF(ISERROR(VLOOKUP($A341,'SegEnds_NonXtal_BW#'!$A:$Z,4,FALSE)+VLOOKUP($A341,A:AL,4,FALSE)-50),"-",(VLOOKUP($A341,'SegEnds_NonXtal_BW#'!$A:$Z,4,FALSE)+VLOOKUP($A341,A:AL,4,FALSE)-50))</f>
        <v>889</v>
      </c>
      <c r="F341" s="3">
        <f>G341-2</f>
        <v>890</v>
      </c>
      <c r="G341" s="3">
        <v>892</v>
      </c>
      <c r="H341" s="3">
        <f>G341+1</f>
        <v>893</v>
      </c>
      <c r="I341" s="3">
        <f>H341+1</f>
        <v>894</v>
      </c>
      <c r="J341" s="3">
        <v>907</v>
      </c>
      <c r="K341" s="3">
        <f>VLOOKUP($A341,'SegEnds_NonXtal_BW#'!$A:$Z,8,FALSE)+VLOOKUP($A341,A:AL,10,FALSE)-50</f>
        <v>920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925</v>
      </c>
      <c r="P341" s="3">
        <v>952</v>
      </c>
      <c r="Q341" s="3">
        <f>VLOOKUP($A341,'SegEnds_NonXtal_BW#'!$A:$Z,12,FALSE)+VLOOKUP($A341,A:AL,16,FALSE)-50</f>
        <v>958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965</v>
      </c>
      <c r="V341" s="3">
        <v>975</v>
      </c>
      <c r="W341" s="3">
        <f>IF(ISERROR(VLOOKUP($A341,'SegEnds_NonXtal_BW#'!$A:$Z,16,FALSE)+VLOOKUP($A341,A:AL,22,FALSE)-50),"-",(VLOOKUP($A341,'SegEnds_NonXtal_BW#'!$A:$Z,16,FALSE)+VLOOKUP($A341,A:AL,22,FALSE)-50))</f>
        <v>993</v>
      </c>
      <c r="X341" s="3">
        <f>IF(ISERROR(VLOOKUP($A341,'SegEnds_NonXtal_BW#'!$A:$Z,17,FALSE)+VLOOKUP($A341,A:AL,25,FALSE)-50),"-",(VLOOKUP($A341,'SegEnds_NonXtal_BW#'!$A:$Z,17,FALSE)+VLOOKUP($A341,A:AL,25,FALSE)-50))</f>
        <v>999</v>
      </c>
      <c r="Y341" s="3">
        <v>999</v>
      </c>
      <c r="Z341" s="3">
        <f t="shared" si="200"/>
        <v>1001</v>
      </c>
      <c r="AA341" s="3">
        <f>IF(ISERROR(VLOOKUP($A341,'SegEnds_NonXtal_BW#'!$A:$Z,19,FALSE)+VLOOKUP($A341,A:AL,28,FALSE)-50),"-",(VLOOKUP($A341,'SegEnds_NonXtal_BW#'!$A:$Z,19,FALSE)+VLOOKUP($A341,A:AL,28,FALSE)-50))</f>
        <v>1004</v>
      </c>
      <c r="AB341" s="3">
        <v>1018</v>
      </c>
      <c r="AC341" s="3">
        <f>IF(ISERROR((VLOOKUP($A341,'SegEnds_NonXtal_BW#'!$A:$Z,20,FALSE)+VLOOKUP($A341,A:AL,28,FALSE)-50)),"-",(VLOOKUP($A341,'SegEnds_NonXtal_BW#'!$A:$Z,20,FALSE)+VLOOKUP($A341,A:AL,28,FALSE)-50))</f>
        <v>1037</v>
      </c>
      <c r="AD341" s="3">
        <f>IF(ISERROR(VLOOKUP($A341,'SegEnds_NonXtal_BW#'!$A:$Z,21,FALSE)+VLOOKUP($A341,A:AL,31,FALSE)-50),"-",(VLOOKUP($A341,'SegEnds_NonXtal_BW#'!$A:$Z,21,FALSE)+VLOOKUP($A341,A:AL,31,FALSE)-50))</f>
        <v>1049</v>
      </c>
      <c r="AE341" s="3">
        <v>1070</v>
      </c>
      <c r="AF341" s="3">
        <f>IF(ISERROR((VLOOKUP($A341,'SegEnds_NonXtal_BW#'!$A:$Z,22,FALSE)+VLOOKUP($A341,A:AL,31,FALSE)-50)),"-",(VLOOKUP($A341,'SegEnds_NonXtal_BW#'!$A:$Z,22,FALSE)+VLOOKUP($A341,A:AL,31,FALSE)-50))</f>
        <v>1073</v>
      </c>
      <c r="AG341" s="3">
        <f>IF(ISERROR(VLOOKUP($A341,'SegEnds_NonXtal_BW#'!$A:$Z,23,FALSE)+VLOOKUP($A341,A:AL,34,FALSE)-50),"-",(VLOOKUP($A341,'SegEnds_NonXtal_BW#'!$A:$Z,23,FALSE)+VLOOKUP($A341,A:AL,34,FALSE)-50))</f>
        <v>1079</v>
      </c>
      <c r="AH341" s="3">
        <v>1098</v>
      </c>
      <c r="AI341" s="3">
        <f>IF(ISERROR((VLOOKUP($A341,'SegEnds_NonXtal_BW#'!$A:$Z,24,FALSE)+VLOOKUP($A341,A:AL,34,FALSE)-50)),"-",(VLOOKUP($A341,'SegEnds_NonXtal_BW#'!$A:$Z,24,FALSE)+VLOOKUP($A341,A:AL,34,FALSE)-50))</f>
        <v>1104</v>
      </c>
      <c r="AJ341" s="3">
        <f>IF(ISERROR(VLOOKUP($A341,'SegEnds_NonXtal_BW#'!$A:$Z,25,FALSE)+VLOOKUP($A341,A:AL,37,FALSE)-50),"-",(VLOOKUP($A341,'SegEnds_NonXtal_BW#'!$A:$Z,25,FALSE)+VLOOKUP($A341,A:AL,37,FALSE)-50))</f>
        <v>1105</v>
      </c>
      <c r="AK341" s="3">
        <v>1108</v>
      </c>
      <c r="AL341" s="3">
        <f>IF(ISERROR((VLOOKUP($A341,'SegEnds_NonXtal_BW#'!$A:$Z,26,FALSE)+VLOOKUP($A341,A:AL,37,FALSE)-50)),"-",(VLOOKUP($A341,'SegEnds_NonXtal_BW#'!$A:$Z,26,FALSE)+VLOOKUP($A341,A:AL,37,FALSE)-50))</f>
        <v>1121</v>
      </c>
      <c r="AM341" s="28" t="str">
        <f>VLOOKUP(A341,Classification!A:B,2,FALSE)</f>
        <v>B2</v>
      </c>
      <c r="AN341" s="28" t="b">
        <f t="shared" si="216"/>
        <v>1</v>
      </c>
      <c r="AO341" s="3" t="str">
        <f>IF(ISERROR(MATCH(A341,'SegEnds_Xtal_Prot#'!B:B, 0)), "NoXtal", "Xtal")</f>
        <v>NoXtal</v>
      </c>
      <c r="AP341" s="3">
        <f t="shared" si="201"/>
        <v>1</v>
      </c>
      <c r="AQ341" s="3">
        <f t="shared" si="202"/>
        <v>1</v>
      </c>
      <c r="AR341" s="3" t="str">
        <f t="shared" si="203"/>
        <v>-</v>
      </c>
      <c r="AS341" s="3" t="str">
        <f t="shared" si="204"/>
        <v>-</v>
      </c>
      <c r="AT341" s="3" t="str">
        <f t="shared" si="205"/>
        <v>-</v>
      </c>
      <c r="AU341" s="3" t="str">
        <f t="shared" si="206"/>
        <v>-</v>
      </c>
      <c r="AV341" s="3">
        <f t="shared" si="207"/>
        <v>6</v>
      </c>
      <c r="AW341" s="3">
        <f t="shared" si="208"/>
        <v>3</v>
      </c>
      <c r="AX341" s="3">
        <f t="shared" si="209"/>
        <v>12</v>
      </c>
      <c r="AY341" s="3">
        <f t="shared" si="210"/>
        <v>6</v>
      </c>
      <c r="AZ341" s="3">
        <f t="shared" si="211"/>
        <v>1</v>
      </c>
      <c r="BA341" s="3">
        <f>IF(ISERROR(LEN(VLOOKUP(A341,Seqs!A:E,2,FALSE))-AL341),"-",LEN(VLOOKUP(A341,Seqs!A:E,2,FALSE))-AL341)</f>
        <v>326</v>
      </c>
      <c r="BB341" s="16">
        <f t="shared" si="212"/>
        <v>28</v>
      </c>
      <c r="BC341" s="9" t="str">
        <f t="shared" si="213"/>
        <v>-</v>
      </c>
      <c r="BD341" s="3">
        <f t="shared" si="214"/>
        <v>28</v>
      </c>
      <c r="BE341" s="3">
        <f t="shared" si="215"/>
        <v>52</v>
      </c>
    </row>
    <row r="342" spans="1:58" s="3" customFormat="1" x14ac:dyDescent="0.2">
      <c r="A342" s="3" t="s">
        <v>1201</v>
      </c>
      <c r="B342" s="3" t="str">
        <f>LOWER(VLOOKUP(A342,Xtal_Templ!A:B,2,FALSE))</f>
        <v>crfr1_human</v>
      </c>
      <c r="C342" s="3">
        <f>VLOOKUP($A342,'SegEnds_NonXtal_BW#'!$A:$Z,3,FALSE)+D342-50</f>
        <v>415</v>
      </c>
      <c r="D342" s="3">
        <v>442</v>
      </c>
      <c r="E342" s="3">
        <f>IF(ISERROR(VLOOKUP($A342,'SegEnds_NonXtal_BW#'!$A:$Z,4,FALSE)+VLOOKUP($A342,A:AL,4,FALSE)-50),"-",(VLOOKUP($A342,'SegEnds_NonXtal_BW#'!$A:$Z,4,FALSE)+VLOOKUP($A342,A:AL,4,FALSE)-50))</f>
        <v>452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457</v>
      </c>
      <c r="J342" s="3">
        <v>470</v>
      </c>
      <c r="K342" s="3">
        <f>VLOOKUP($A342,'SegEnds_NonXtal_BW#'!$A:$Z,8,FALSE)+VLOOKUP($A342,A:AL,10,FALSE)-50</f>
        <v>483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488</v>
      </c>
      <c r="P342" s="3">
        <v>515</v>
      </c>
      <c r="Q342" s="3">
        <f>VLOOKUP($A342,'SegEnds_NonXtal_BW#'!$A:$Z,12,FALSE)+VLOOKUP($A342,A:AL,16,FALSE)-50</f>
        <v>521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528</v>
      </c>
      <c r="V342" s="3">
        <v>538</v>
      </c>
      <c r="W342" s="3">
        <f>IF(ISERROR(VLOOKUP($A342,'SegEnds_NonXtal_BW#'!$A:$Z,16,FALSE)+VLOOKUP($A342,A:AL,22,FALSE)-50),"-",(VLOOKUP($A342,'SegEnds_NonXtal_BW#'!$A:$Z,16,FALSE)+VLOOKUP($A342,A:AL,22,FALSE)-50))</f>
        <v>556</v>
      </c>
      <c r="X342" s="3">
        <f>IF(ISERROR(VLOOKUP($A342,'SegEnds_NonXtal_BW#'!$A:$Z,17,FALSE)+VLOOKUP($A342,A:AL,25,FALSE)-50),"-",(VLOOKUP($A342,'SegEnds_NonXtal_BW#'!$A:$Z,17,FALSE)+VLOOKUP($A342,A:AL,25,FALSE)-50))</f>
        <v>562</v>
      </c>
      <c r="Y342" s="3">
        <v>562</v>
      </c>
      <c r="Z342" s="3">
        <f t="shared" si="200"/>
        <v>564</v>
      </c>
      <c r="AA342" s="3">
        <f>IF(ISERROR(VLOOKUP($A342,'SegEnds_NonXtal_BW#'!$A:$Z,19,FALSE)+VLOOKUP($A342,A:AL,28,FALSE)-50),"-",(VLOOKUP($A342,'SegEnds_NonXtal_BW#'!$A:$Z,19,FALSE)+VLOOKUP($A342,A:AL,28,FALSE)-50))</f>
        <v>567</v>
      </c>
      <c r="AB342" s="3">
        <v>581</v>
      </c>
      <c r="AC342" s="3">
        <f>IF(ISERROR((VLOOKUP($A342,'SegEnds_NonXtal_BW#'!$A:$Z,20,FALSE)+VLOOKUP($A342,A:AL,28,FALSE)-50)),"-",(VLOOKUP($A342,'SegEnds_NonXtal_BW#'!$A:$Z,20,FALSE)+VLOOKUP($A342,A:AL,28,FALSE)-50))</f>
        <v>600</v>
      </c>
      <c r="AD342" s="3">
        <f>IF(ISERROR(VLOOKUP($A342,'SegEnds_NonXtal_BW#'!$A:$Z,21,FALSE)+VLOOKUP($A342,A:AL,31,FALSE)-50),"-",(VLOOKUP($A342,'SegEnds_NonXtal_BW#'!$A:$Z,21,FALSE)+VLOOKUP($A342,A:AL,31,FALSE)-50))</f>
        <v>612</v>
      </c>
      <c r="AE342" s="3">
        <v>633</v>
      </c>
      <c r="AF342" s="3">
        <f>IF(ISERROR((VLOOKUP($A342,'SegEnds_NonXtal_BW#'!$A:$Z,22,FALSE)+VLOOKUP($A342,A:AL,31,FALSE)-50)),"-",(VLOOKUP($A342,'SegEnds_NonXtal_BW#'!$A:$Z,22,FALSE)+VLOOKUP($A342,A:AL,31,FALSE)-50))</f>
        <v>636</v>
      </c>
      <c r="AG342" s="3">
        <f>IF(ISERROR(VLOOKUP($A342,'SegEnds_NonXtal_BW#'!$A:$Z,23,FALSE)+VLOOKUP($A342,A:AL,34,FALSE)-50),"-",(VLOOKUP($A342,'SegEnds_NonXtal_BW#'!$A:$Z,23,FALSE)+VLOOKUP($A342,A:AL,34,FALSE)-50))</f>
        <v>642</v>
      </c>
      <c r="AH342" s="3">
        <v>661</v>
      </c>
      <c r="AI342" s="3">
        <f>IF(ISERROR((VLOOKUP($A342,'SegEnds_NonXtal_BW#'!$A:$Z,24,FALSE)+VLOOKUP($A342,A:AL,34,FALSE)-50)),"-",(VLOOKUP($A342,'SegEnds_NonXtal_BW#'!$A:$Z,24,FALSE)+VLOOKUP($A342,A:AL,34,FALSE)-50))</f>
        <v>667</v>
      </c>
      <c r="AJ342" s="3">
        <f>IF(ISERROR(VLOOKUP($A342,'SegEnds_NonXtal_BW#'!$A:$Z,25,FALSE)+VLOOKUP($A342,A:AL,37,FALSE)-50),"-",(VLOOKUP($A342,'SegEnds_NonXtal_BW#'!$A:$Z,25,FALSE)+VLOOKUP($A342,A:AL,37,FALSE)-50))</f>
        <v>668</v>
      </c>
      <c r="AK342" s="3">
        <v>671</v>
      </c>
      <c r="AL342" s="3">
        <f>IF(ISERROR((VLOOKUP($A342,'SegEnds_NonXtal_BW#'!$A:$Z,26,FALSE)+VLOOKUP($A342,A:AL,37,FALSE)-50)),"-",(VLOOKUP($A342,'SegEnds_NonXtal_BW#'!$A:$Z,26,FALSE)+VLOOKUP($A342,A:AL,37,FALSE)-50))</f>
        <v>684</v>
      </c>
      <c r="AM342" s="28" t="str">
        <f>VLOOKUP(A342,Classification!A:B,2,FALSE)</f>
        <v>B2</v>
      </c>
      <c r="AN342" s="28" t="b">
        <f t="shared" si="216"/>
        <v>1</v>
      </c>
      <c r="AO342" s="3" t="str">
        <f>IF(ISERROR(MATCH(A342,'SegEnds_Xtal_Prot#'!B:B, 0)), "NoXtal", "Xtal")</f>
        <v>NoXtal</v>
      </c>
      <c r="AP342" s="3" t="str">
        <f t="shared" si="201"/>
        <v>-</v>
      </c>
      <c r="AQ342" s="3" t="str">
        <f t="shared" si="202"/>
        <v>-</v>
      </c>
      <c r="AR342" s="3" t="str">
        <f t="shared" si="203"/>
        <v>-</v>
      </c>
      <c r="AS342" s="3" t="str">
        <f t="shared" si="204"/>
        <v>-</v>
      </c>
      <c r="AT342" s="3" t="str">
        <f t="shared" si="205"/>
        <v>-</v>
      </c>
      <c r="AU342" s="3" t="str">
        <f t="shared" si="206"/>
        <v>-</v>
      </c>
      <c r="AV342" s="3">
        <f t="shared" si="207"/>
        <v>6</v>
      </c>
      <c r="AW342" s="3">
        <f t="shared" si="208"/>
        <v>3</v>
      </c>
      <c r="AX342" s="3">
        <f t="shared" si="209"/>
        <v>12</v>
      </c>
      <c r="AY342" s="3">
        <f t="shared" si="210"/>
        <v>6</v>
      </c>
      <c r="AZ342" s="3">
        <f t="shared" si="211"/>
        <v>1</v>
      </c>
      <c r="BA342" s="3">
        <f>IF(ISERROR(LEN(VLOOKUP(A342,Seqs!A:E,2,FALSE))-AL342),"-",LEN(VLOOKUP(A342,Seqs!A:E,2,FALSE))-AL342)</f>
        <v>6</v>
      </c>
      <c r="BB342" s="16">
        <f t="shared" si="212"/>
        <v>28</v>
      </c>
      <c r="BC342" s="9" t="str">
        <f t="shared" si="213"/>
        <v>-</v>
      </c>
      <c r="BD342" s="3">
        <f t="shared" si="214"/>
        <v>28</v>
      </c>
      <c r="BE342" s="3">
        <f t="shared" si="215"/>
        <v>52</v>
      </c>
      <c r="BF342" s="3">
        <f>AH342-AE342</f>
        <v>28</v>
      </c>
    </row>
    <row r="343" spans="1:58" s="3" customFormat="1" x14ac:dyDescent="0.2">
      <c r="A343" s="3" t="s">
        <v>414</v>
      </c>
      <c r="B343" s="3" t="str">
        <f>LOWER(VLOOKUP(A343,Xtal_Templ!A:B,2,FALSE))</f>
        <v>crfr1_human</v>
      </c>
      <c r="C343" s="3">
        <f>VLOOKUP($A343,'SegEnds_NonXtal_BW#'!$A:$Z,3,FALSE)+D343-50</f>
        <v>935</v>
      </c>
      <c r="D343" s="3">
        <v>962</v>
      </c>
      <c r="E343" s="3">
        <f>IF(ISERROR(VLOOKUP($A343,'SegEnds_NonXtal_BW#'!$A:$Z,4,FALSE)+VLOOKUP($A343,A:AL,4,FALSE)-50),"-",(VLOOKUP($A343,'SegEnds_NonXtal_BW#'!$A:$Z,4,FALSE)+VLOOKUP($A343,A:AL,4,FALSE)-50))</f>
        <v>972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978</v>
      </c>
      <c r="J343" s="3">
        <v>991</v>
      </c>
      <c r="K343" s="3">
        <f>VLOOKUP($A343,'SegEnds_NonXtal_BW#'!$A:$Z,8,FALSE)+VLOOKUP($A343,A:AL,10,FALSE)-50</f>
        <v>1004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1009</v>
      </c>
      <c r="P343" s="3">
        <v>1036</v>
      </c>
      <c r="Q343" s="3">
        <f>VLOOKUP($A343,'SegEnds_NonXtal_BW#'!$A:$Z,12,FALSE)+VLOOKUP($A343,A:AL,16,FALSE)-50</f>
        <v>1042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1048</v>
      </c>
      <c r="V343" s="3">
        <v>1058</v>
      </c>
      <c r="W343" s="3">
        <f>IF(ISERROR(VLOOKUP($A343,'SegEnds_NonXtal_BW#'!$A:$Z,16,FALSE)+VLOOKUP($A343,A:AL,22,FALSE)-50),"-",(VLOOKUP($A343,'SegEnds_NonXtal_BW#'!$A:$Z,16,FALSE)+VLOOKUP($A343,A:AL,22,FALSE)-50))</f>
        <v>1076</v>
      </c>
      <c r="X343" s="3">
        <f>IF(ISERROR(VLOOKUP($A343,'SegEnds_NonXtal_BW#'!$A:$Z,17,FALSE)+VLOOKUP($A343,A:AL,25,FALSE)-50),"-",(VLOOKUP($A343,'SegEnds_NonXtal_BW#'!$A:$Z,17,FALSE)+VLOOKUP($A343,A:AL,25,FALSE)-50))</f>
        <v>1083</v>
      </c>
      <c r="Y343" s="3">
        <v>1083</v>
      </c>
      <c r="Z343" s="3">
        <f t="shared" si="200"/>
        <v>1085</v>
      </c>
      <c r="AA343" s="3">
        <f>IF(ISERROR(VLOOKUP($A343,'SegEnds_NonXtal_BW#'!$A:$Z,19,FALSE)+VLOOKUP($A343,A:AL,28,FALSE)-50),"-",(VLOOKUP($A343,'SegEnds_NonXtal_BW#'!$A:$Z,19,FALSE)+VLOOKUP($A343,A:AL,28,FALSE)-50))</f>
        <v>1088</v>
      </c>
      <c r="AB343" s="3">
        <v>1102</v>
      </c>
      <c r="AC343" s="3">
        <f>IF(ISERROR((VLOOKUP($A343,'SegEnds_NonXtal_BW#'!$A:$Z,20,FALSE)+VLOOKUP($A343,A:AL,28,FALSE)-50)),"-",(VLOOKUP($A343,'SegEnds_NonXtal_BW#'!$A:$Z,20,FALSE)+VLOOKUP($A343,A:AL,28,FALSE)-50))</f>
        <v>1121</v>
      </c>
      <c r="AD343" s="3">
        <f>IF(ISERROR(VLOOKUP($A343,'SegEnds_NonXtal_BW#'!$A:$Z,21,FALSE)+VLOOKUP($A343,A:AL,31,FALSE)-50),"-",(VLOOKUP($A343,'SegEnds_NonXtal_BW#'!$A:$Z,21,FALSE)+VLOOKUP($A343,A:AL,31,FALSE)-50))</f>
        <v>1131</v>
      </c>
      <c r="AE343" s="3">
        <v>1152</v>
      </c>
      <c r="AF343" s="3">
        <f>IF(ISERROR((VLOOKUP($A343,'SegEnds_NonXtal_BW#'!$A:$Z,22,FALSE)+VLOOKUP($A343,A:AL,31,FALSE)-50)),"-",(VLOOKUP($A343,'SegEnds_NonXtal_BW#'!$A:$Z,22,FALSE)+VLOOKUP($A343,A:AL,31,FALSE)-50))</f>
        <v>1155</v>
      </c>
      <c r="AG343" s="3">
        <f>IF(ISERROR(VLOOKUP($A343,'SegEnds_NonXtal_BW#'!$A:$Z,23,FALSE)+VLOOKUP($A343,A:AL,34,FALSE)-50),"-",(VLOOKUP($A343,'SegEnds_NonXtal_BW#'!$A:$Z,23,FALSE)+VLOOKUP($A343,A:AL,34,FALSE)-50))</f>
        <v>1162</v>
      </c>
      <c r="AH343" s="3">
        <v>1181</v>
      </c>
      <c r="AI343" s="3">
        <f>IF(ISERROR((VLOOKUP($A343,'SegEnds_NonXtal_BW#'!$A:$Z,24,FALSE)+VLOOKUP($A343,A:AL,34,FALSE)-50)),"-",(VLOOKUP($A343,'SegEnds_NonXtal_BW#'!$A:$Z,24,FALSE)+VLOOKUP($A343,A:AL,34,FALSE)-50))</f>
        <v>1187</v>
      </c>
      <c r="AJ343" s="3">
        <f>IF(ISERROR(VLOOKUP($A343,'SegEnds_NonXtal_BW#'!$A:$Z,25,FALSE)+VLOOKUP($A343,A:AL,37,FALSE)-50),"-",(VLOOKUP($A343,'SegEnds_NonXtal_BW#'!$A:$Z,25,FALSE)+VLOOKUP($A343,A:AL,37,FALSE)-50))</f>
        <v>1188</v>
      </c>
      <c r="AK343" s="3">
        <v>1191</v>
      </c>
      <c r="AL343" s="3">
        <f>IF(ISERROR((VLOOKUP($A343,'SegEnds_NonXtal_BW#'!$A:$Z,26,FALSE)+VLOOKUP($A343,A:AL,37,FALSE)-50)),"-",(VLOOKUP($A343,'SegEnds_NonXtal_BW#'!$A:$Z,26,FALSE)+VLOOKUP($A343,A:AL,37,FALSE)-50))</f>
        <v>1204</v>
      </c>
      <c r="AM343" s="28" t="str">
        <f>VLOOKUP(A343,Classification!A:B,2,FALSE)</f>
        <v>B2</v>
      </c>
      <c r="AN343" s="28" t="b">
        <f t="shared" si="216"/>
        <v>1</v>
      </c>
      <c r="AO343" s="3" t="str">
        <f>IF(ISERROR(MATCH(A343,'SegEnds_Xtal_Prot#'!B:B, 0)), "NoXtal", "Xtal")</f>
        <v>NoXtal</v>
      </c>
      <c r="AP343" s="3" t="str">
        <f t="shared" si="201"/>
        <v>-</v>
      </c>
      <c r="AQ343" s="3" t="str">
        <f t="shared" si="202"/>
        <v>-</v>
      </c>
      <c r="AR343" s="3" t="str">
        <f t="shared" si="203"/>
        <v>-</v>
      </c>
      <c r="AS343" s="3" t="str">
        <f t="shared" si="204"/>
        <v>-</v>
      </c>
      <c r="AT343" s="3" t="str">
        <f t="shared" si="205"/>
        <v>-</v>
      </c>
      <c r="AU343" s="3" t="str">
        <f t="shared" si="206"/>
        <v>-</v>
      </c>
      <c r="AV343" s="3">
        <f t="shared" si="207"/>
        <v>7</v>
      </c>
      <c r="AW343" s="3">
        <f t="shared" si="208"/>
        <v>3</v>
      </c>
      <c r="AX343" s="3">
        <f t="shared" si="209"/>
        <v>10</v>
      </c>
      <c r="AY343" s="3">
        <f t="shared" si="210"/>
        <v>7</v>
      </c>
      <c r="AZ343" s="3">
        <f t="shared" si="211"/>
        <v>1</v>
      </c>
      <c r="BA343" s="3">
        <f>IF(ISERROR(LEN(VLOOKUP(A343,Seqs!A:E,2,FALSE))-AL343),"-",LEN(VLOOKUP(A343,Seqs!A:E,2,FALSE))-AL343)</f>
        <v>380</v>
      </c>
      <c r="BB343" s="16">
        <f t="shared" si="212"/>
        <v>29</v>
      </c>
      <c r="BC343" s="9" t="str">
        <f t="shared" si="213"/>
        <v>-</v>
      </c>
      <c r="BD343" s="3">
        <f t="shared" si="214"/>
        <v>29</v>
      </c>
      <c r="BE343" s="3">
        <f t="shared" si="215"/>
        <v>50</v>
      </c>
    </row>
    <row r="344" spans="1:58" s="3" customFormat="1" x14ac:dyDescent="0.2">
      <c r="A344" s="3" t="s">
        <v>417</v>
      </c>
      <c r="B344" s="3" t="str">
        <f>LOWER(VLOOKUP(A344,Xtal_Templ!A:B,2,FALSE))</f>
        <v>glp1r_human</v>
      </c>
      <c r="C344" s="3">
        <f>VLOOKUP($A344,'SegEnds_NonXtal_BW#'!$A:$Z,3,FALSE)+D344-50</f>
        <v>535</v>
      </c>
      <c r="D344" s="3">
        <v>562</v>
      </c>
      <c r="E344" s="3">
        <f>IF(ISERROR(VLOOKUP($A344,'SegEnds_NonXtal_BW#'!$A:$Z,4,FALSE)+VLOOKUP($A344,A:AL,4,FALSE)-50),"-",(VLOOKUP($A344,'SegEnds_NonXtal_BW#'!$A:$Z,4,FALSE)+VLOOKUP($A344,A:AL,4,FALSE)-50))</f>
        <v>572</v>
      </c>
      <c r="F344" s="3" t="s">
        <v>23</v>
      </c>
      <c r="G344" s="3" t="s">
        <v>23</v>
      </c>
      <c r="H344" s="3" t="s">
        <v>23</v>
      </c>
      <c r="I344" s="3">
        <f>VLOOKUP($A344,'SegEnds_NonXtal_BW#'!$A:$Z,7,FALSE)+J344-50</f>
        <v>577</v>
      </c>
      <c r="J344" s="3">
        <v>590</v>
      </c>
      <c r="K344" s="3">
        <f>VLOOKUP($A344,'SegEnds_NonXtal_BW#'!$A:$Z,8,FALSE)+VLOOKUP($A344,A:AL,10,FALSE)-50</f>
        <v>603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610</v>
      </c>
      <c r="P344" s="3">
        <v>637</v>
      </c>
      <c r="Q344" s="3">
        <f>VLOOKUP($A344,'SegEnds_NonXtal_BW#'!$A:$Z,12,FALSE)+VLOOKUP($A344,A:AL,16,FALSE)-50</f>
        <v>643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648</v>
      </c>
      <c r="V344" s="3">
        <v>660</v>
      </c>
      <c r="W344" s="3">
        <f>IF(ISERROR(VLOOKUP($A344,'SegEnds_NonXtal_BW#'!$A:$Z,16,FALSE)+VLOOKUP($A344,A:AL,22,FALSE)-50),"-",(VLOOKUP($A344,'SegEnds_NonXtal_BW#'!$A:$Z,16,FALSE)+VLOOKUP($A344,A:AL,22,FALSE)-50))</f>
        <v>678</v>
      </c>
      <c r="X344" s="3">
        <f>IF(ISERROR(VLOOKUP($A344,'SegEnds_NonXtal_BW#'!$A:$Z,17,FALSE)+VLOOKUP($A344,A:AL,25,FALSE)-50),"-",(VLOOKUP($A344,'SegEnds_NonXtal_BW#'!$A:$Z,17,FALSE)+VLOOKUP($A344,A:AL,25,FALSE)-50))</f>
        <v>684</v>
      </c>
      <c r="Y344" s="3">
        <v>684</v>
      </c>
      <c r="Z344" s="3">
        <f t="shared" si="200"/>
        <v>686</v>
      </c>
      <c r="AA344" s="3">
        <f>IF(ISERROR(VLOOKUP($A344,'SegEnds_NonXtal_BW#'!$A:$Z,19,FALSE)+VLOOKUP($A344,A:AL,28,FALSE)-50),"-",(VLOOKUP($A344,'SegEnds_NonXtal_BW#'!$A:$Z,19,FALSE)+VLOOKUP($A344,A:AL,28,FALSE)-50))</f>
        <v>689</v>
      </c>
      <c r="AB344" s="3">
        <v>703</v>
      </c>
      <c r="AC344" s="3">
        <f>IF(ISERROR((VLOOKUP($A344,'SegEnds_NonXtal_BW#'!$A:$Z,20,FALSE)+VLOOKUP($A344,A:AL,28,FALSE)-50)),"-",(VLOOKUP($A344,'SegEnds_NonXtal_BW#'!$A:$Z,20,FALSE)+VLOOKUP($A344,A:AL,28,FALSE)-50))</f>
        <v>722</v>
      </c>
      <c r="AD344" s="3">
        <f>IF(ISERROR(VLOOKUP($A344,'SegEnds_NonXtal_BW#'!$A:$Z,21,FALSE)+VLOOKUP($A344,A:AL,31,FALSE)-50),"-",(VLOOKUP($A344,'SegEnds_NonXtal_BW#'!$A:$Z,21,FALSE)+VLOOKUP($A344,A:AL,31,FALSE)-50))</f>
        <v>734</v>
      </c>
      <c r="AE344" s="3">
        <v>755</v>
      </c>
      <c r="AF344" s="3">
        <f>IF(ISERROR((VLOOKUP($A344,'SegEnds_NonXtal_BW#'!$A:$Z,22,FALSE)+VLOOKUP($A344,A:AL,31,FALSE)-50)),"-",(VLOOKUP($A344,'SegEnds_NonXtal_BW#'!$A:$Z,22,FALSE)+VLOOKUP($A344,A:AL,31,FALSE)-50))</f>
        <v>758</v>
      </c>
      <c r="AG344" s="3">
        <f>IF(ISERROR(VLOOKUP($A344,'SegEnds_NonXtal_BW#'!$A:$Z,23,FALSE)+VLOOKUP($A344,A:AL,34,FALSE)-50),"-",(VLOOKUP($A344,'SegEnds_NonXtal_BW#'!$A:$Z,23,FALSE)+VLOOKUP($A344,A:AL,34,FALSE)-50))</f>
        <v>764</v>
      </c>
      <c r="AH344" s="3">
        <v>783</v>
      </c>
      <c r="AI344" s="3">
        <f>IF(ISERROR((VLOOKUP($A344,'SegEnds_NonXtal_BW#'!$A:$Z,24,FALSE)+VLOOKUP($A344,A:AL,34,FALSE)-50)),"-",(VLOOKUP($A344,'SegEnds_NonXtal_BW#'!$A:$Z,24,FALSE)+VLOOKUP($A344,A:AL,34,FALSE)-50))</f>
        <v>789</v>
      </c>
      <c r="AJ344" s="3">
        <f>IF(ISERROR(VLOOKUP($A344,'SegEnds_NonXtal_BW#'!$A:$Z,25,FALSE)+VLOOKUP($A344,A:AL,37,FALSE)-50),"-",(VLOOKUP($A344,'SegEnds_NonXtal_BW#'!$A:$Z,25,FALSE)+VLOOKUP($A344,A:AL,37,FALSE)-50))</f>
        <v>790</v>
      </c>
      <c r="AK344" s="3">
        <v>793</v>
      </c>
      <c r="AL344" s="3">
        <f>IF(ISERROR((VLOOKUP($A344,'SegEnds_NonXtal_BW#'!$A:$Z,26,FALSE)+VLOOKUP($A344,A:AL,37,FALSE)-50)),"-",(VLOOKUP($A344,'SegEnds_NonXtal_BW#'!$A:$Z,26,FALSE)+VLOOKUP($A344,A:AL,37,FALSE)-50))</f>
        <v>806</v>
      </c>
      <c r="AM344" s="28" t="str">
        <f>VLOOKUP(A344,Classification!A:B,2,FALSE)</f>
        <v>B2</v>
      </c>
      <c r="AN344" s="28" t="b">
        <f t="shared" si="216"/>
        <v>1</v>
      </c>
      <c r="AO344" s="3" t="str">
        <f>IF(ISERROR(MATCH(A344,'SegEnds_Xtal_Prot#'!B:B, 0)), "NoXtal", "Xtal")</f>
        <v>NoXtal</v>
      </c>
      <c r="AP344" s="3" t="str">
        <f t="shared" si="201"/>
        <v>-</v>
      </c>
      <c r="AQ344" s="3" t="str">
        <f t="shared" si="202"/>
        <v>-</v>
      </c>
      <c r="AR344" s="3" t="str">
        <f t="shared" si="203"/>
        <v>-</v>
      </c>
      <c r="AS344" s="3" t="str">
        <f t="shared" si="204"/>
        <v>-</v>
      </c>
      <c r="AT344" s="3" t="str">
        <f t="shared" si="205"/>
        <v>-</v>
      </c>
      <c r="AU344" s="3" t="str">
        <f t="shared" si="206"/>
        <v>-</v>
      </c>
      <c r="AV344" s="3">
        <f t="shared" si="207"/>
        <v>6</v>
      </c>
      <c r="AW344" s="3">
        <f t="shared" si="208"/>
        <v>3</v>
      </c>
      <c r="AX344" s="3">
        <f t="shared" si="209"/>
        <v>12</v>
      </c>
      <c r="AY344" s="3">
        <f t="shared" si="210"/>
        <v>6</v>
      </c>
      <c r="AZ344" s="3">
        <f t="shared" si="211"/>
        <v>1</v>
      </c>
      <c r="BA344" s="3">
        <f>IF(ISERROR(LEN(VLOOKUP(A344,Seqs!A:E,2,FALSE))-AL344),"-",LEN(VLOOKUP(A344,Seqs!A:E,2,FALSE))-AL344)</f>
        <v>29</v>
      </c>
      <c r="BB344" s="16">
        <f t="shared" si="212"/>
        <v>28</v>
      </c>
      <c r="BC344" s="9" t="str">
        <f t="shared" si="213"/>
        <v>-</v>
      </c>
      <c r="BD344" s="3">
        <f t="shared" si="214"/>
        <v>28</v>
      </c>
      <c r="BE344" s="3">
        <f t="shared" si="215"/>
        <v>52</v>
      </c>
      <c r="BF344" s="3">
        <f>AH344-AE344</f>
        <v>28</v>
      </c>
    </row>
    <row r="345" spans="1:58" s="3" customFormat="1" x14ac:dyDescent="0.2">
      <c r="A345" s="3" t="s">
        <v>418</v>
      </c>
      <c r="B345" s="3" t="str">
        <f>LOWER(VLOOKUP(A345,Xtal_Templ!A:B,2,FALSE))</f>
        <v>calcr_human</v>
      </c>
      <c r="C345" s="3">
        <f>VLOOKUP($A345,'SegEnds_NonXtal_BW#'!$A:$Z,3,FALSE)+D345-50</f>
        <v>2456</v>
      </c>
      <c r="D345" s="3">
        <v>2483</v>
      </c>
      <c r="E345" s="3">
        <f>IF(ISERROR(VLOOKUP($A345,'SegEnds_NonXtal_BW#'!$A:$Z,4,FALSE)+VLOOKUP($A345,A:AL,4,FALSE)-50),"-",(VLOOKUP($A345,'SegEnds_NonXtal_BW#'!$A:$Z,4,FALSE)+VLOOKUP($A345,A:AL,4,FALSE)-50))</f>
        <v>2493</v>
      </c>
      <c r="F345" s="3">
        <f>G345-2</f>
        <v>2494</v>
      </c>
      <c r="G345" s="3">
        <v>2496</v>
      </c>
      <c r="H345" s="3">
        <f t="shared" ref="H345:I347" si="217">G345+1</f>
        <v>2497</v>
      </c>
      <c r="I345" s="3">
        <f t="shared" si="217"/>
        <v>2498</v>
      </c>
      <c r="J345" s="3">
        <v>2511</v>
      </c>
      <c r="K345" s="3">
        <f>VLOOKUP($A345,'SegEnds_NonXtal_BW#'!$A:$Z,8,FALSE)+VLOOKUP($A345,A:AL,10,FALSE)-50</f>
        <v>2524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2529</v>
      </c>
      <c r="P345" s="3">
        <v>2556</v>
      </c>
      <c r="Q345" s="3">
        <f>VLOOKUP($A345,'SegEnds_NonXtal_BW#'!$A:$Z,12,FALSE)+VLOOKUP($A345,A:AL,16,FALSE)-50</f>
        <v>2562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2570</v>
      </c>
      <c r="V345" s="3">
        <v>2579</v>
      </c>
      <c r="W345" s="3">
        <f>IF(ISERROR(VLOOKUP($A345,'SegEnds_NonXtal_BW#'!$A:$Z,16,FALSE)+VLOOKUP($A345,A:AL,22,FALSE)-50),"-",(VLOOKUP($A345,'SegEnds_NonXtal_BW#'!$A:$Z,16,FALSE)+VLOOKUP($A345,A:AL,22,FALSE)-50))</f>
        <v>2597</v>
      </c>
      <c r="X345" s="3">
        <f>IF(ISERROR(VLOOKUP($A345,'SegEnds_NonXtal_BW#'!$A:$Z,17,FALSE)+VLOOKUP($A345,A:AL,25,FALSE)-50),"-",(VLOOKUP($A345,'SegEnds_NonXtal_BW#'!$A:$Z,17,FALSE)+VLOOKUP($A345,A:AL,25,FALSE)-50))</f>
        <v>2603</v>
      </c>
      <c r="Y345" s="3">
        <v>2603</v>
      </c>
      <c r="Z345" s="3">
        <f t="shared" si="200"/>
        <v>2605</v>
      </c>
      <c r="AA345" s="3">
        <f>IF(ISERROR(VLOOKUP($A345,'SegEnds_NonXtal_BW#'!$A:$Z,19,FALSE)+VLOOKUP($A345,A:AL,28,FALSE)-50),"-",(VLOOKUP($A345,'SegEnds_NonXtal_BW#'!$A:$Z,19,FALSE)+VLOOKUP($A345,A:AL,28,FALSE)-50))</f>
        <v>2608</v>
      </c>
      <c r="AB345" s="3">
        <v>2622</v>
      </c>
      <c r="AC345" s="3">
        <f>IF(ISERROR((VLOOKUP($A345,'SegEnds_NonXtal_BW#'!$A:$Z,20,FALSE)+VLOOKUP($A345,A:AL,28,FALSE)-50)),"-",(VLOOKUP($A345,'SegEnds_NonXtal_BW#'!$A:$Z,20,FALSE)+VLOOKUP($A345,A:AL,28,FALSE)-50))</f>
        <v>2641</v>
      </c>
      <c r="AD345" s="3">
        <f>IF(ISERROR(VLOOKUP($A345,'SegEnds_NonXtal_BW#'!$A:$Z,21,FALSE)+VLOOKUP($A345,A:AL,31,FALSE)-50),"-",(VLOOKUP($A345,'SegEnds_NonXtal_BW#'!$A:$Z,21,FALSE)+VLOOKUP($A345,A:AL,31,FALSE)-50))</f>
        <v>2649</v>
      </c>
      <c r="AE345" s="3">
        <v>2670</v>
      </c>
      <c r="AF345" s="3">
        <f>IF(ISERROR((VLOOKUP($A345,'SegEnds_NonXtal_BW#'!$A:$Z,22,FALSE)+VLOOKUP($A345,A:AL,31,FALSE)-50)),"-",(VLOOKUP($A345,'SegEnds_NonXtal_BW#'!$A:$Z,22,FALSE)+VLOOKUP($A345,A:AL,31,FALSE)-50))</f>
        <v>2673</v>
      </c>
      <c r="AG345" s="3">
        <f>IF(ISERROR(VLOOKUP($A345,'SegEnds_NonXtal_BW#'!$A:$Z,23,FALSE)+VLOOKUP($A345,A:AL,34,FALSE)-50),"-",(VLOOKUP($A345,'SegEnds_NonXtal_BW#'!$A:$Z,23,FALSE)+VLOOKUP($A345,A:AL,34,FALSE)-50))</f>
        <v>2679</v>
      </c>
      <c r="AH345" s="3">
        <v>2698</v>
      </c>
      <c r="AI345" s="3">
        <f>IF(ISERROR((VLOOKUP($A345,'SegEnds_NonXtal_BW#'!$A:$Z,24,FALSE)+VLOOKUP($A345,A:AL,34,FALSE)-50)),"-",(VLOOKUP($A345,'SegEnds_NonXtal_BW#'!$A:$Z,24,FALSE)+VLOOKUP($A345,A:AL,34,FALSE)-50))</f>
        <v>2704</v>
      </c>
      <c r="AJ345" s="3">
        <f>IF(ISERROR(VLOOKUP($A345,'SegEnds_NonXtal_BW#'!$A:$Z,25,FALSE)+VLOOKUP($A345,A:AL,37,FALSE)-50),"-",(VLOOKUP($A345,'SegEnds_NonXtal_BW#'!$A:$Z,25,FALSE)+VLOOKUP($A345,A:AL,37,FALSE)-50))</f>
        <v>2705</v>
      </c>
      <c r="AK345" s="3">
        <v>2708</v>
      </c>
      <c r="AL345" s="3">
        <f>IF(ISERROR((VLOOKUP($A345,'SegEnds_NonXtal_BW#'!$A:$Z,26,FALSE)+VLOOKUP($A345,A:AL,37,FALSE)-50)),"-",(VLOOKUP($A345,'SegEnds_NonXtal_BW#'!$A:$Z,26,FALSE)+VLOOKUP($A345,A:AL,37,FALSE)-50))</f>
        <v>2721</v>
      </c>
      <c r="AM345" s="28" t="str">
        <f>VLOOKUP(A345,Classification!A:B,2,FALSE)</f>
        <v>B2</v>
      </c>
      <c r="AN345" s="28" t="b">
        <f t="shared" si="216"/>
        <v>1</v>
      </c>
      <c r="AO345" s="3" t="str">
        <f>IF(ISERROR(MATCH(A345,'SegEnds_Xtal_Prot#'!B:B, 0)), "NoXtal", "Xtal")</f>
        <v>NoXtal</v>
      </c>
      <c r="AP345" s="3">
        <f t="shared" si="201"/>
        <v>1</v>
      </c>
      <c r="AQ345" s="3">
        <f t="shared" si="202"/>
        <v>1</v>
      </c>
      <c r="AR345" s="3" t="str">
        <f t="shared" si="203"/>
        <v>-</v>
      </c>
      <c r="AS345" s="3" t="str">
        <f t="shared" si="204"/>
        <v>-</v>
      </c>
      <c r="AT345" s="3" t="str">
        <f t="shared" si="205"/>
        <v>-</v>
      </c>
      <c r="AU345" s="3" t="str">
        <f t="shared" si="206"/>
        <v>-</v>
      </c>
      <c r="AV345" s="3">
        <f t="shared" si="207"/>
        <v>6</v>
      </c>
      <c r="AW345" s="3">
        <f t="shared" si="208"/>
        <v>3</v>
      </c>
      <c r="AX345" s="3">
        <f t="shared" si="209"/>
        <v>8</v>
      </c>
      <c r="AY345" s="3">
        <f t="shared" si="210"/>
        <v>6</v>
      </c>
      <c r="AZ345" s="3">
        <f t="shared" si="211"/>
        <v>1</v>
      </c>
      <c r="BA345" s="3">
        <f>IF(ISERROR(LEN(VLOOKUP(A345,Seqs!A:E,2,FALSE))-AL345),"-",LEN(VLOOKUP(A345,Seqs!A:E,2,FALSE))-AL345)</f>
        <v>293</v>
      </c>
      <c r="BB345" s="16">
        <f t="shared" si="212"/>
        <v>28</v>
      </c>
      <c r="BC345" s="9" t="str">
        <f t="shared" si="213"/>
        <v>-</v>
      </c>
      <c r="BD345" s="3">
        <f t="shared" si="214"/>
        <v>28</v>
      </c>
      <c r="BE345" s="3">
        <f t="shared" si="215"/>
        <v>48</v>
      </c>
    </row>
    <row r="346" spans="1:58" s="3" customFormat="1" x14ac:dyDescent="0.2">
      <c r="A346" s="3" t="s">
        <v>419</v>
      </c>
      <c r="B346" s="3" t="str">
        <f>LOWER(VLOOKUP(A346,Xtal_Templ!A:B,2,FALSE))</f>
        <v>calrl_human</v>
      </c>
      <c r="C346" s="3">
        <f>VLOOKUP($A346,'SegEnds_NonXtal_BW#'!$A:$Z,3,FALSE)+D346-50</f>
        <v>2364</v>
      </c>
      <c r="D346" s="3">
        <v>2391</v>
      </c>
      <c r="E346" s="3">
        <f>IF(ISERROR(VLOOKUP($A346,'SegEnds_NonXtal_BW#'!$A:$Z,4,FALSE)+VLOOKUP($A346,A:AL,4,FALSE)-50),"-",(VLOOKUP($A346,'SegEnds_NonXtal_BW#'!$A:$Z,4,FALSE)+VLOOKUP($A346,A:AL,4,FALSE)-50))</f>
        <v>2401</v>
      </c>
      <c r="F346" s="3">
        <f>G346-2</f>
        <v>2402</v>
      </c>
      <c r="G346" s="3">
        <v>2404</v>
      </c>
      <c r="H346" s="3">
        <f t="shared" si="217"/>
        <v>2405</v>
      </c>
      <c r="I346" s="3">
        <f t="shared" si="217"/>
        <v>2406</v>
      </c>
      <c r="J346" s="3">
        <v>2419</v>
      </c>
      <c r="K346" s="3">
        <f>VLOOKUP($A346,'SegEnds_NonXtal_BW#'!$A:$Z,8,FALSE)+VLOOKUP($A346,A:AL,10,FALSE)-50</f>
        <v>2432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2437</v>
      </c>
      <c r="P346" s="3">
        <v>2464</v>
      </c>
      <c r="Q346" s="3">
        <f>VLOOKUP($A346,'SegEnds_NonXtal_BW#'!$A:$Z,12,FALSE)+VLOOKUP($A346,A:AL,16,FALSE)-50</f>
        <v>2470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2478</v>
      </c>
      <c r="V346" s="3">
        <v>2487</v>
      </c>
      <c r="W346" s="3">
        <f>IF(ISERROR(VLOOKUP($A346,'SegEnds_NonXtal_BW#'!$A:$Z,16,FALSE)+VLOOKUP($A346,A:AL,22,FALSE)-50),"-",(VLOOKUP($A346,'SegEnds_NonXtal_BW#'!$A:$Z,16,FALSE)+VLOOKUP($A346,A:AL,22,FALSE)-50))</f>
        <v>2504</v>
      </c>
      <c r="X346" s="3">
        <f>IF(ISERROR(VLOOKUP($A346,'SegEnds_NonXtal_BW#'!$A:$Z,17,FALSE)+VLOOKUP($A346,A:AL,25,FALSE)-50),"-",(VLOOKUP($A346,'SegEnds_NonXtal_BW#'!$A:$Z,17,FALSE)+VLOOKUP($A346,A:AL,25,FALSE)-50))</f>
        <v>2511</v>
      </c>
      <c r="Y346" s="3">
        <v>2511</v>
      </c>
      <c r="Z346" s="3">
        <f t="shared" si="200"/>
        <v>2513</v>
      </c>
      <c r="AA346" s="3">
        <f>IF(ISERROR(VLOOKUP($A346,'SegEnds_NonXtal_BW#'!$A:$Z,19,FALSE)+VLOOKUP($A346,A:AL,28,FALSE)-50),"-",(VLOOKUP($A346,'SegEnds_NonXtal_BW#'!$A:$Z,19,FALSE)+VLOOKUP($A346,A:AL,28,FALSE)-50))</f>
        <v>2516</v>
      </c>
      <c r="AB346" s="3">
        <v>2530</v>
      </c>
      <c r="AC346" s="3">
        <f>IF(ISERROR((VLOOKUP($A346,'SegEnds_NonXtal_BW#'!$A:$Z,20,FALSE)+VLOOKUP($A346,A:AL,28,FALSE)-50)),"-",(VLOOKUP($A346,'SegEnds_NonXtal_BW#'!$A:$Z,20,FALSE)+VLOOKUP($A346,A:AL,28,FALSE)-50))</f>
        <v>2549</v>
      </c>
      <c r="AD346" s="3">
        <f>IF(ISERROR(VLOOKUP($A346,'SegEnds_NonXtal_BW#'!$A:$Z,21,FALSE)+VLOOKUP($A346,A:AL,31,FALSE)-50),"-",(VLOOKUP($A346,'SegEnds_NonXtal_BW#'!$A:$Z,21,FALSE)+VLOOKUP($A346,A:AL,31,FALSE)-50))</f>
        <v>2557</v>
      </c>
      <c r="AE346" s="3">
        <v>2578</v>
      </c>
      <c r="AF346" s="3">
        <f>IF(ISERROR((VLOOKUP($A346,'SegEnds_NonXtal_BW#'!$A:$Z,22,FALSE)+VLOOKUP($A346,A:AL,31,FALSE)-50)),"-",(VLOOKUP($A346,'SegEnds_NonXtal_BW#'!$A:$Z,22,FALSE)+VLOOKUP($A346,A:AL,31,FALSE)-50))</f>
        <v>2581</v>
      </c>
      <c r="AG346" s="3">
        <f>IF(ISERROR(VLOOKUP($A346,'SegEnds_NonXtal_BW#'!$A:$Z,23,FALSE)+VLOOKUP($A346,A:AL,34,FALSE)-50),"-",(VLOOKUP($A346,'SegEnds_NonXtal_BW#'!$A:$Z,23,FALSE)+VLOOKUP($A346,A:AL,34,FALSE)-50))</f>
        <v>2587</v>
      </c>
      <c r="AH346" s="3">
        <v>2606</v>
      </c>
      <c r="AI346" s="3">
        <f>IF(ISERROR((VLOOKUP($A346,'SegEnds_NonXtal_BW#'!$A:$Z,24,FALSE)+VLOOKUP($A346,A:AL,34,FALSE)-50)),"-",(VLOOKUP($A346,'SegEnds_NonXtal_BW#'!$A:$Z,24,FALSE)+VLOOKUP($A346,A:AL,34,FALSE)-50))</f>
        <v>2612</v>
      </c>
      <c r="AJ346" s="3">
        <f>IF(ISERROR(VLOOKUP($A346,'SegEnds_NonXtal_BW#'!$A:$Z,25,FALSE)+VLOOKUP($A346,A:AL,37,FALSE)-50),"-",(VLOOKUP($A346,'SegEnds_NonXtal_BW#'!$A:$Z,25,FALSE)+VLOOKUP($A346,A:AL,37,FALSE)-50))</f>
        <v>2613</v>
      </c>
      <c r="AK346" s="3">
        <v>2616</v>
      </c>
      <c r="AL346" s="3">
        <f>IF(ISERROR((VLOOKUP($A346,'SegEnds_NonXtal_BW#'!$A:$Z,26,FALSE)+VLOOKUP($A346,A:AL,37,FALSE)-50)),"-",(VLOOKUP($A346,'SegEnds_NonXtal_BW#'!$A:$Z,26,FALSE)+VLOOKUP($A346,A:AL,37,FALSE)-50))</f>
        <v>2629</v>
      </c>
      <c r="AM346" s="28" t="str">
        <f>VLOOKUP(A346,Classification!A:B,2,FALSE)</f>
        <v>B2</v>
      </c>
      <c r="AN346" s="28" t="b">
        <f t="shared" si="216"/>
        <v>1</v>
      </c>
      <c r="AO346" s="3" t="str">
        <f>IF(ISERROR(MATCH(A346,'SegEnds_Xtal_Prot#'!B:B, 0)), "NoXtal", "Xtal")</f>
        <v>NoXtal</v>
      </c>
      <c r="AP346" s="3">
        <f t="shared" si="201"/>
        <v>1</v>
      </c>
      <c r="AQ346" s="3">
        <f t="shared" si="202"/>
        <v>1</v>
      </c>
      <c r="AR346" s="3" t="str">
        <f t="shared" si="203"/>
        <v>-</v>
      </c>
      <c r="AS346" s="3" t="str">
        <f t="shared" si="204"/>
        <v>-</v>
      </c>
      <c r="AT346" s="3" t="str">
        <f t="shared" si="205"/>
        <v>-</v>
      </c>
      <c r="AU346" s="3" t="str">
        <f t="shared" si="206"/>
        <v>-</v>
      </c>
      <c r="AV346" s="3">
        <f t="shared" si="207"/>
        <v>7</v>
      </c>
      <c r="AW346" s="3">
        <f t="shared" si="208"/>
        <v>3</v>
      </c>
      <c r="AX346" s="3">
        <f t="shared" si="209"/>
        <v>8</v>
      </c>
      <c r="AY346" s="3">
        <f t="shared" si="210"/>
        <v>6</v>
      </c>
      <c r="AZ346" s="3">
        <f t="shared" si="211"/>
        <v>1</v>
      </c>
      <c r="BA346" s="3">
        <f>IF(ISERROR(LEN(VLOOKUP(A346,Seqs!A:E,2,FALSE))-AL346),"-",LEN(VLOOKUP(A346,Seqs!A:E,2,FALSE))-AL346)</f>
        <v>294</v>
      </c>
      <c r="BB346" s="16">
        <f t="shared" si="212"/>
        <v>28</v>
      </c>
      <c r="BC346" s="9" t="str">
        <f t="shared" si="213"/>
        <v>-</v>
      </c>
      <c r="BD346" s="3">
        <f t="shared" si="214"/>
        <v>28</v>
      </c>
      <c r="BE346" s="3">
        <f t="shared" si="215"/>
        <v>48</v>
      </c>
    </row>
    <row r="347" spans="1:58" s="3" customFormat="1" x14ac:dyDescent="0.2">
      <c r="A347" s="3" t="s">
        <v>420</v>
      </c>
      <c r="B347" s="3" t="str">
        <f>LOWER(VLOOKUP(A347,Xtal_Templ!A:B,2,FALSE))</f>
        <v>crfr1_human</v>
      </c>
      <c r="C347" s="3">
        <f>VLOOKUP($A347,'SegEnds_NonXtal_BW#'!$A:$Z,3,FALSE)+D347-50</f>
        <v>2527</v>
      </c>
      <c r="D347" s="3">
        <v>2554</v>
      </c>
      <c r="E347" s="3">
        <f>IF(ISERROR(VLOOKUP($A347,'SegEnds_NonXtal_BW#'!$A:$Z,4,FALSE)+VLOOKUP($A347,A:AL,4,FALSE)-50),"-",(VLOOKUP($A347,'SegEnds_NonXtal_BW#'!$A:$Z,4,FALSE)+VLOOKUP($A347,A:AL,4,FALSE)-50))</f>
        <v>2564</v>
      </c>
      <c r="F347" s="3">
        <f>G347-2</f>
        <v>2565</v>
      </c>
      <c r="G347" s="3">
        <v>2567</v>
      </c>
      <c r="H347" s="3">
        <f t="shared" si="217"/>
        <v>2568</v>
      </c>
      <c r="I347" s="3">
        <f t="shared" si="217"/>
        <v>2569</v>
      </c>
      <c r="J347" s="3">
        <v>2582</v>
      </c>
      <c r="K347" s="3">
        <f>VLOOKUP($A347,'SegEnds_NonXtal_BW#'!$A:$Z,8,FALSE)+VLOOKUP($A347,A:AL,10,FALSE)-50</f>
        <v>2595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2600</v>
      </c>
      <c r="P347" s="3">
        <v>2627</v>
      </c>
      <c r="Q347" s="3">
        <f>VLOOKUP($A347,'SegEnds_NonXtal_BW#'!$A:$Z,12,FALSE)+VLOOKUP($A347,A:AL,16,FALSE)-50</f>
        <v>2633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2640</v>
      </c>
      <c r="V347" s="3">
        <v>2650</v>
      </c>
      <c r="W347" s="3">
        <f>IF(ISERROR(VLOOKUP($A347,'SegEnds_NonXtal_BW#'!$A:$Z,16,FALSE)+VLOOKUP($A347,A:AL,22,FALSE)-50),"-",(VLOOKUP($A347,'SegEnds_NonXtal_BW#'!$A:$Z,16,FALSE)+VLOOKUP($A347,A:AL,22,FALSE)-50))</f>
        <v>2668</v>
      </c>
      <c r="X347" s="3">
        <f>IF(ISERROR(VLOOKUP($A347,'SegEnds_NonXtal_BW#'!$A:$Z,17,FALSE)+VLOOKUP($A347,A:AL,25,FALSE)-50),"-",(VLOOKUP($A347,'SegEnds_NonXtal_BW#'!$A:$Z,17,FALSE)+VLOOKUP($A347,A:AL,25,FALSE)-50))</f>
        <v>2674</v>
      </c>
      <c r="Y347" s="3">
        <v>2674</v>
      </c>
      <c r="Z347" s="3">
        <f t="shared" si="200"/>
        <v>2676</v>
      </c>
      <c r="AA347" s="3">
        <f>IF(ISERROR(VLOOKUP($A347,'SegEnds_NonXtal_BW#'!$A:$Z,19,FALSE)+VLOOKUP($A347,A:AL,28,FALSE)-50),"-",(VLOOKUP($A347,'SegEnds_NonXtal_BW#'!$A:$Z,19,FALSE)+VLOOKUP($A347,A:AL,28,FALSE)-50))</f>
        <v>2679</v>
      </c>
      <c r="AB347" s="3">
        <v>2693</v>
      </c>
      <c r="AC347" s="3">
        <f>IF(ISERROR((VLOOKUP($A347,'SegEnds_NonXtal_BW#'!$A:$Z,20,FALSE)+VLOOKUP($A347,A:AL,28,FALSE)-50)),"-",(VLOOKUP($A347,'SegEnds_NonXtal_BW#'!$A:$Z,20,FALSE)+VLOOKUP($A347,A:AL,28,FALSE)-50))</f>
        <v>2712</v>
      </c>
      <c r="AD347" s="3">
        <f>IF(ISERROR(VLOOKUP($A347,'SegEnds_NonXtal_BW#'!$A:$Z,21,FALSE)+VLOOKUP($A347,A:AL,31,FALSE)-50),"-",(VLOOKUP($A347,'SegEnds_NonXtal_BW#'!$A:$Z,21,FALSE)+VLOOKUP($A347,A:AL,31,FALSE)-50))</f>
        <v>2719</v>
      </c>
      <c r="AE347" s="3">
        <v>2740</v>
      </c>
      <c r="AF347" s="3">
        <f>IF(ISERROR((VLOOKUP($A347,'SegEnds_NonXtal_BW#'!$A:$Z,22,FALSE)+VLOOKUP($A347,A:AL,31,FALSE)-50)),"-",(VLOOKUP($A347,'SegEnds_NonXtal_BW#'!$A:$Z,22,FALSE)+VLOOKUP($A347,A:AL,31,FALSE)-50))</f>
        <v>2743</v>
      </c>
      <c r="AG347" s="3">
        <f>IF(ISERROR(VLOOKUP($A347,'SegEnds_NonXtal_BW#'!$A:$Z,23,FALSE)+VLOOKUP($A347,A:AL,34,FALSE)-50),"-",(VLOOKUP($A347,'SegEnds_NonXtal_BW#'!$A:$Z,23,FALSE)+VLOOKUP($A347,A:AL,34,FALSE)-50))</f>
        <v>2749</v>
      </c>
      <c r="AH347" s="3">
        <v>2768</v>
      </c>
      <c r="AI347" s="3">
        <f>IF(ISERROR((VLOOKUP($A347,'SegEnds_NonXtal_BW#'!$A:$Z,24,FALSE)+VLOOKUP($A347,A:AL,34,FALSE)-50)),"-",(VLOOKUP($A347,'SegEnds_NonXtal_BW#'!$A:$Z,24,FALSE)+VLOOKUP($A347,A:AL,34,FALSE)-50))</f>
        <v>2774</v>
      </c>
      <c r="AJ347" s="3">
        <f>IF(ISERROR(VLOOKUP($A347,'SegEnds_NonXtal_BW#'!$A:$Z,25,FALSE)+VLOOKUP($A347,A:AL,37,FALSE)-50),"-",(VLOOKUP($A347,'SegEnds_NonXtal_BW#'!$A:$Z,25,FALSE)+VLOOKUP($A347,A:AL,37,FALSE)-50))</f>
        <v>2775</v>
      </c>
      <c r="AK347" s="3">
        <v>2778</v>
      </c>
      <c r="AL347" s="3">
        <f>IF(ISERROR((VLOOKUP($A347,'SegEnds_NonXtal_BW#'!$A:$Z,26,FALSE)+VLOOKUP($A347,A:AL,37,FALSE)-50)),"-",(VLOOKUP($A347,'SegEnds_NonXtal_BW#'!$A:$Z,26,FALSE)+VLOOKUP($A347,A:AL,37,FALSE)-50))</f>
        <v>2791</v>
      </c>
      <c r="AM347" s="28" t="str">
        <f>VLOOKUP(A347,Classification!A:B,2,FALSE)</f>
        <v>B2</v>
      </c>
      <c r="AN347" s="28" t="b">
        <f t="shared" si="216"/>
        <v>1</v>
      </c>
      <c r="AO347" s="3" t="str">
        <f>IF(ISERROR(MATCH(A347,'SegEnds_Xtal_Prot#'!B:B, 0)), "NoXtal", "Xtal")</f>
        <v>NoXtal</v>
      </c>
      <c r="AP347" s="3">
        <f t="shared" si="201"/>
        <v>1</v>
      </c>
      <c r="AQ347" s="3">
        <f t="shared" si="202"/>
        <v>1</v>
      </c>
      <c r="AR347" s="3" t="str">
        <f t="shared" si="203"/>
        <v>-</v>
      </c>
      <c r="AS347" s="3" t="str">
        <f t="shared" si="204"/>
        <v>-</v>
      </c>
      <c r="AT347" s="3" t="str">
        <f t="shared" si="205"/>
        <v>-</v>
      </c>
      <c r="AU347" s="3" t="str">
        <f t="shared" si="206"/>
        <v>-</v>
      </c>
      <c r="AV347" s="3">
        <f t="shared" si="207"/>
        <v>6</v>
      </c>
      <c r="AW347" s="3">
        <f t="shared" si="208"/>
        <v>3</v>
      </c>
      <c r="AX347" s="3">
        <f t="shared" si="209"/>
        <v>7</v>
      </c>
      <c r="AY347" s="3">
        <f t="shared" si="210"/>
        <v>6</v>
      </c>
      <c r="AZ347" s="3">
        <f t="shared" si="211"/>
        <v>1</v>
      </c>
      <c r="BA347" s="3">
        <f>IF(ISERROR(LEN(VLOOKUP(A347,Seqs!A:E,2,FALSE))-AL347),"-",LEN(VLOOKUP(A347,Seqs!A:E,2,FALSE))-AL347)</f>
        <v>521</v>
      </c>
      <c r="BB347" s="16">
        <f t="shared" si="212"/>
        <v>28</v>
      </c>
      <c r="BC347" s="9" t="str">
        <f t="shared" si="213"/>
        <v>-</v>
      </c>
      <c r="BD347" s="3">
        <f t="shared" si="214"/>
        <v>28</v>
      </c>
      <c r="BE347" s="3">
        <f t="shared" si="215"/>
        <v>47</v>
      </c>
    </row>
    <row r="348" spans="1:58" s="3" customFormat="1" x14ac:dyDescent="0.2">
      <c r="A348" s="3" t="s">
        <v>442</v>
      </c>
      <c r="B348" s="3" t="str">
        <f>LOWER(VLOOKUP(A348,Xtal_Templ!A:B,2,FALSE))</f>
        <v>crfr1_human</v>
      </c>
      <c r="C348" s="3">
        <f>VLOOKUP($A348,'SegEnds_NonXtal_BW#'!$A:$Z,3,FALSE)+D348-50</f>
        <v>5895</v>
      </c>
      <c r="D348" s="3">
        <v>5922</v>
      </c>
      <c r="E348" s="3">
        <f>IF(ISERROR(VLOOKUP($A348,'SegEnds_NonXtal_BW#'!$A:$Z,4,FALSE)+VLOOKUP($A348,A:AL,4,FALSE)-50),"-",(VLOOKUP($A348,'SegEnds_NonXtal_BW#'!$A:$Z,4,FALSE)+VLOOKUP($A348,A:AL,4,FALSE)-50))</f>
        <v>5932</v>
      </c>
      <c r="F348" s="3" t="s">
        <v>23</v>
      </c>
      <c r="G348" s="3" t="s">
        <v>23</v>
      </c>
      <c r="H348" s="3" t="s">
        <v>23</v>
      </c>
      <c r="I348" s="3">
        <f>VLOOKUP($A348,'SegEnds_NonXtal_BW#'!$A:$Z,7,FALSE)+J348-50</f>
        <v>5935</v>
      </c>
      <c r="J348" s="3">
        <v>5948</v>
      </c>
      <c r="K348" s="3">
        <f>VLOOKUP($A348,'SegEnds_NonXtal_BW#'!$A:$Z,8,FALSE)+VLOOKUP($A348,A:AL,10,FALSE)-50</f>
        <v>5961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5968</v>
      </c>
      <c r="P348" s="3">
        <v>5995</v>
      </c>
      <c r="Q348" s="3">
        <f>VLOOKUP($A348,'SegEnds_NonXtal_BW#'!$A:$Z,12,FALSE)+VLOOKUP($A348,A:AL,16,FALSE)-50</f>
        <v>6001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6008</v>
      </c>
      <c r="V348" s="3">
        <v>6018</v>
      </c>
      <c r="W348" s="3">
        <f>IF(ISERROR(VLOOKUP($A348,'SegEnds_NonXtal_BW#'!$A:$Z,16,FALSE)+VLOOKUP($A348,A:AL,22,FALSE)-50),"-",(VLOOKUP($A348,'SegEnds_NonXtal_BW#'!$A:$Z,16,FALSE)+VLOOKUP($A348,A:AL,22,FALSE)-50))</f>
        <v>6036</v>
      </c>
      <c r="X348" s="3">
        <f>IF(ISERROR(VLOOKUP($A348,'SegEnds_NonXtal_BW#'!$A:$Z,17,FALSE)+VLOOKUP($A348,A:AL,25,FALSE)-50),"-",(VLOOKUP($A348,'SegEnds_NonXtal_BW#'!$A:$Z,17,FALSE)+VLOOKUP($A348,A:AL,25,FALSE)-50))</f>
        <v>6052</v>
      </c>
      <c r="Y348" s="3">
        <v>6052</v>
      </c>
      <c r="Z348" s="3">
        <f t="shared" si="200"/>
        <v>6054</v>
      </c>
      <c r="AA348" s="3">
        <f>IF(ISERROR(VLOOKUP($A348,'SegEnds_NonXtal_BW#'!$A:$Z,19,FALSE)+VLOOKUP($A348,A:AL,28,FALSE)-50),"-",(VLOOKUP($A348,'SegEnds_NonXtal_BW#'!$A:$Z,19,FALSE)+VLOOKUP($A348,A:AL,28,FALSE)-50))</f>
        <v>6058</v>
      </c>
      <c r="AB348" s="3">
        <v>6072</v>
      </c>
      <c r="AC348" s="3">
        <f>IF(ISERROR((VLOOKUP($A348,'SegEnds_NonXtal_BW#'!$A:$Z,20,FALSE)+VLOOKUP($A348,A:AL,28,FALSE)-50)),"-",(VLOOKUP($A348,'SegEnds_NonXtal_BW#'!$A:$Z,20,FALSE)+VLOOKUP($A348,A:AL,28,FALSE)-50))</f>
        <v>6091</v>
      </c>
      <c r="AD348" s="3">
        <f>IF(ISERROR(VLOOKUP($A348,'SegEnds_NonXtal_BW#'!$A:$Z,21,FALSE)+VLOOKUP($A348,A:AL,31,FALSE)-50),"-",(VLOOKUP($A348,'SegEnds_NonXtal_BW#'!$A:$Z,21,FALSE)+VLOOKUP($A348,A:AL,31,FALSE)-50))</f>
        <v>6100</v>
      </c>
      <c r="AE348" s="3">
        <v>6121</v>
      </c>
      <c r="AF348" s="3">
        <f>IF(ISERROR((VLOOKUP($A348,'SegEnds_NonXtal_BW#'!$A:$Z,22,FALSE)+VLOOKUP($A348,A:AL,31,FALSE)-50)),"-",(VLOOKUP($A348,'SegEnds_NonXtal_BW#'!$A:$Z,22,FALSE)+VLOOKUP($A348,A:AL,31,FALSE)-50))</f>
        <v>6124</v>
      </c>
      <c r="AG348" s="3">
        <f>IF(ISERROR(VLOOKUP($A348,'SegEnds_NonXtal_BW#'!$A:$Z,23,FALSE)+VLOOKUP($A348,A:AL,34,FALSE)-50),"-",(VLOOKUP($A348,'SegEnds_NonXtal_BW#'!$A:$Z,23,FALSE)+VLOOKUP($A348,A:AL,34,FALSE)-50))</f>
        <v>6130</v>
      </c>
      <c r="AH348" s="3">
        <v>6149</v>
      </c>
      <c r="AI348" s="3">
        <f>IF(ISERROR((VLOOKUP($A348,'SegEnds_NonXtal_BW#'!$A:$Z,24,FALSE)+VLOOKUP($A348,A:AL,34,FALSE)-50)),"-",(VLOOKUP($A348,'SegEnds_NonXtal_BW#'!$A:$Z,24,FALSE)+VLOOKUP($A348,A:AL,34,FALSE)-50))</f>
        <v>6155</v>
      </c>
      <c r="AJ348" s="3">
        <f>IF(ISERROR(VLOOKUP($A348,'SegEnds_NonXtal_BW#'!$A:$Z,25,FALSE)+VLOOKUP($A348,A:AL,37,FALSE)-50),"-",(VLOOKUP($A348,'SegEnds_NonXtal_BW#'!$A:$Z,25,FALSE)+VLOOKUP($A348,A:AL,37,FALSE)-50))</f>
        <v>6156</v>
      </c>
      <c r="AK348" s="3">
        <v>6159</v>
      </c>
      <c r="AL348" s="3">
        <f>IF(ISERROR((VLOOKUP($A348,'SegEnds_NonXtal_BW#'!$A:$Z,26,FALSE)+VLOOKUP($A348,A:AL,37,FALSE)-50)),"-",(VLOOKUP($A348,'SegEnds_NonXtal_BW#'!$A:$Z,26,FALSE)+VLOOKUP($A348,A:AL,37,FALSE)-50))</f>
        <v>6172</v>
      </c>
      <c r="AM348" s="28" t="str">
        <f>VLOOKUP(A348,Classification!A:B,2,FALSE)</f>
        <v>B2</v>
      </c>
      <c r="AN348" s="28" t="b">
        <f t="shared" si="216"/>
        <v>1</v>
      </c>
      <c r="AO348" s="3" t="str">
        <f>IF(ISERROR(MATCH(A348,'SegEnds_Xtal_Prot#'!B:B, 0)), "NoXtal", "Xtal")</f>
        <v>NoXtal</v>
      </c>
      <c r="AP348" s="3" t="str">
        <f t="shared" si="201"/>
        <v>-</v>
      </c>
      <c r="AQ348" s="3" t="str">
        <f t="shared" si="202"/>
        <v>-</v>
      </c>
      <c r="AR348" s="3" t="str">
        <f t="shared" si="203"/>
        <v>-</v>
      </c>
      <c r="AS348" s="3" t="str">
        <f t="shared" si="204"/>
        <v>-</v>
      </c>
      <c r="AT348" s="3" t="str">
        <f t="shared" si="205"/>
        <v>-</v>
      </c>
      <c r="AU348" s="3" t="str">
        <f t="shared" si="206"/>
        <v>-</v>
      </c>
      <c r="AV348" s="3">
        <f t="shared" si="207"/>
        <v>16</v>
      </c>
      <c r="AW348" s="3">
        <f t="shared" si="208"/>
        <v>4</v>
      </c>
      <c r="AX348" s="3">
        <f t="shared" si="209"/>
        <v>9</v>
      </c>
      <c r="AY348" s="3">
        <f t="shared" si="210"/>
        <v>6</v>
      </c>
      <c r="AZ348" s="3">
        <f t="shared" si="211"/>
        <v>1</v>
      </c>
      <c r="BA348" s="3">
        <f>IF(ISERROR(LEN(VLOOKUP(A348,Seqs!A:E,2,FALSE))-AL348),"-",LEN(VLOOKUP(A348,Seqs!A:E,2,FALSE))-AL348)</f>
        <v>134</v>
      </c>
      <c r="BB348" s="16">
        <f t="shared" si="212"/>
        <v>26</v>
      </c>
      <c r="BC348" s="9" t="str">
        <f t="shared" si="213"/>
        <v>-</v>
      </c>
      <c r="BD348" s="3">
        <f t="shared" si="214"/>
        <v>26</v>
      </c>
      <c r="BE348" s="3">
        <f t="shared" si="215"/>
        <v>49</v>
      </c>
    </row>
    <row r="349" spans="1:58" s="3" customFormat="1" x14ac:dyDescent="0.2">
      <c r="A349" s="3" t="s">
        <v>105</v>
      </c>
      <c r="B349" s="3" t="str">
        <f>LOWER(VLOOKUP(A349,Xtal_Templ!A:B,2,FALSE))</f>
        <v>grm5_human</v>
      </c>
      <c r="C349" s="3">
        <f>VLOOKUP($A349,'SegEnds_NonXtal_BW#'!$A:$Z,3,FALSE)+D349-50</f>
        <v>611</v>
      </c>
      <c r="D349" s="3">
        <v>627</v>
      </c>
      <c r="E349" s="3">
        <f>IF(ISERROR(VLOOKUP($A349,'SegEnds_NonXtal_BW#'!$A:$Z,4,FALSE)+VLOOKUP($A349,A:AL,4,FALSE)-50),"-",(VLOOKUP($A349,'SegEnds_NonXtal_BW#'!$A:$Z,4,FALSE)+VLOOKUP($A349,A:AL,4,FALSE)-50))</f>
        <v>637</v>
      </c>
      <c r="F349" s="3">
        <f t="shared" ref="F349:F381" si="218">G349-3</f>
        <v>640</v>
      </c>
      <c r="G349" s="3">
        <v>643</v>
      </c>
      <c r="H349" s="3">
        <f t="shared" ref="H349:H370" si="219">G349+3</f>
        <v>646</v>
      </c>
      <c r="I349" s="3">
        <f t="shared" ref="I349:I381" si="220">H349+1</f>
        <v>647</v>
      </c>
      <c r="J349" s="3">
        <v>658</v>
      </c>
      <c r="K349" s="3">
        <f>VLOOKUP($A349,'SegEnds_NonXtal_BW#'!$A:$Z,8,FALSE)+VLOOKUP($A349,A:AL,10,FALSE)-50</f>
        <v>669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673</v>
      </c>
      <c r="P349" s="3">
        <v>702</v>
      </c>
      <c r="Q349" s="3">
        <f>VLOOKUP($A349,'SegEnds_NonXtal_BW#'!$A:$Z,12,FALSE)+VLOOKUP($A349,A:AL,16,FALSE)-50</f>
        <v>706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720</v>
      </c>
      <c r="V349" s="3">
        <v>732</v>
      </c>
      <c r="W349" s="3">
        <f>IF(ISERROR(VLOOKUP($A349,'SegEnds_NonXtal_BW#'!$A:$Z,16,FALSE)+VLOOKUP($A349,A:AL,22,FALSE)-50),"-",(VLOOKUP($A349,'SegEnds_NonXtal_BW#'!$A:$Z,16,FALSE)+VLOOKUP($A349,A:AL,22,FALSE)-50))</f>
        <v>746</v>
      </c>
      <c r="X349" s="3">
        <f>IF(ISERROR(VLOOKUP($A349,'SegEnds_NonXtal_BW#'!$A:$Z,17,FALSE)+VLOOKUP($A349,A:AL,25,FALSE)-50),"-",(VLOOKUP($A349,'SegEnds_NonXtal_BW#'!$A:$Z,17,FALSE)+VLOOKUP($A349,A:AL,25,FALSE)-50))</f>
        <v>765</v>
      </c>
      <c r="Y349" s="3">
        <v>765</v>
      </c>
      <c r="Z349" s="3">
        <f t="shared" si="200"/>
        <v>767</v>
      </c>
      <c r="AA349" s="3">
        <f>IF(ISERROR(VLOOKUP($A349,'SegEnds_NonXtal_BW#'!$A:$Z,19,FALSE)+VLOOKUP($A349,A:AL,28,FALSE)-50),"-",(VLOOKUP($A349,'SegEnds_NonXtal_BW#'!$A:$Z,19,FALSE)+VLOOKUP($A349,A:AL,28,FALSE)-50))</f>
        <v>769</v>
      </c>
      <c r="AB349" s="3">
        <v>783</v>
      </c>
      <c r="AC349" s="3">
        <f>IF(ISERROR((VLOOKUP($A349,'SegEnds_NonXtal_BW#'!$A:$Z,20,FALSE)+VLOOKUP($A349,A:AL,28,FALSE)-50)),"-",(VLOOKUP($A349,'SegEnds_NonXtal_BW#'!$A:$Z,20,FALSE)+VLOOKUP($A349,A:AL,28,FALSE)-50))</f>
        <v>794</v>
      </c>
      <c r="AD349" s="3">
        <f>IF(ISERROR(VLOOKUP($A349,'SegEnds_NonXtal_BW#'!$A:$Z,21,FALSE)+VLOOKUP($A349,A:AL,31,FALSE)-50),"-",(VLOOKUP($A349,'SegEnds_NonXtal_BW#'!$A:$Z,21,FALSE)+VLOOKUP($A349,A:AL,31,FALSE)-50))</f>
        <v>803</v>
      </c>
      <c r="AE349" s="3">
        <v>820</v>
      </c>
      <c r="AF349" s="3">
        <f>IF(ISERROR((VLOOKUP($A349,'SegEnds_NonXtal_BW#'!$A:$Z,22,FALSE)+VLOOKUP($A349,A:AL,31,FALSE)-50)),"-",(VLOOKUP($A349,'SegEnds_NonXtal_BW#'!$A:$Z,22,FALSE)+VLOOKUP($A349,A:AL,31,FALSE)-50))</f>
        <v>827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216"/>
        <v>1</v>
      </c>
      <c r="AO349" s="3" t="str">
        <f>IF(ISERROR(MATCH(A349,'SegEnds_Xtal_Prot#'!B:B, 0)), "NoXtal", "Xtal")</f>
        <v>NoXtal</v>
      </c>
      <c r="AP349" s="3">
        <f t="shared" si="201"/>
        <v>3</v>
      </c>
      <c r="AQ349" s="3">
        <f t="shared" si="202"/>
        <v>1</v>
      </c>
      <c r="AR349" s="3" t="str">
        <f t="shared" si="203"/>
        <v>-</v>
      </c>
      <c r="AS349" s="3" t="str">
        <f t="shared" si="204"/>
        <v>-</v>
      </c>
      <c r="AT349" s="3" t="str">
        <f t="shared" si="205"/>
        <v>-</v>
      </c>
      <c r="AU349" s="3" t="str">
        <f t="shared" si="206"/>
        <v>-</v>
      </c>
      <c r="AV349" s="3">
        <f t="shared" si="207"/>
        <v>19</v>
      </c>
      <c r="AW349" s="3">
        <f t="shared" si="208"/>
        <v>2</v>
      </c>
      <c r="AX349" s="3">
        <f t="shared" si="209"/>
        <v>9</v>
      </c>
      <c r="AY349" s="3">
        <f t="shared" si="210"/>
        <v>5</v>
      </c>
      <c r="AZ349" s="3">
        <f t="shared" si="211"/>
        <v>1</v>
      </c>
      <c r="BA349" s="3">
        <f>IF(ISERROR(LEN(VLOOKUP(A349,Seqs!A:E,2,FALSE))-AL349),"-",LEN(VLOOKUP(A349,Seqs!A:E,2,FALSE))-AL349)</f>
        <v>203</v>
      </c>
      <c r="BB349" s="16">
        <f t="shared" si="212"/>
        <v>31</v>
      </c>
      <c r="BC349" s="9" t="str">
        <f t="shared" si="213"/>
        <v>-</v>
      </c>
      <c r="BD349" s="3">
        <f t="shared" si="214"/>
        <v>31</v>
      </c>
      <c r="BE349" s="3">
        <f t="shared" si="215"/>
        <v>37</v>
      </c>
    </row>
    <row r="350" spans="1:58" s="3" customFormat="1" x14ac:dyDescent="0.2">
      <c r="A350" s="3" t="s">
        <v>106</v>
      </c>
      <c r="B350" s="3" t="str">
        <f>LOWER(VLOOKUP(A350,Xtal_Templ!A:B,2,FALSE))</f>
        <v>grm1_human</v>
      </c>
      <c r="C350" s="3">
        <f>VLOOKUP($A350,'SegEnds_NonXtal_BW#'!$A:$Z,3,FALSE)+D350-50</f>
        <v>590</v>
      </c>
      <c r="D350" s="3">
        <v>606</v>
      </c>
      <c r="E350" s="3">
        <f>IF(ISERROR(VLOOKUP($A350,'SegEnds_NonXtal_BW#'!$A:$Z,4,FALSE)+VLOOKUP($A350,A:AL,4,FALSE)-50),"-",(VLOOKUP($A350,'SegEnds_NonXtal_BW#'!$A:$Z,4,FALSE)+VLOOKUP($A350,A:AL,4,FALSE)-50))</f>
        <v>616</v>
      </c>
      <c r="F350" s="3">
        <f t="shared" si="218"/>
        <v>619</v>
      </c>
      <c r="G350" s="3">
        <v>622</v>
      </c>
      <c r="H350" s="3">
        <f t="shared" si="219"/>
        <v>625</v>
      </c>
      <c r="I350" s="3">
        <f t="shared" si="220"/>
        <v>626</v>
      </c>
      <c r="J350" s="3">
        <v>637</v>
      </c>
      <c r="K350" s="3">
        <f>VLOOKUP($A350,'SegEnds_NonXtal_BW#'!$A:$Z,8,FALSE)+VLOOKUP($A350,A:AL,10,FALSE)-50</f>
        <v>648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660</v>
      </c>
      <c r="P350" s="3">
        <v>688</v>
      </c>
      <c r="Q350" s="3">
        <f>VLOOKUP($A350,'SegEnds_NonXtal_BW#'!$A:$Z,12,FALSE)+VLOOKUP($A350,A:AL,16,FALSE)-50</f>
        <v>692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706</v>
      </c>
      <c r="V350" s="3">
        <v>718</v>
      </c>
      <c r="W350" s="3">
        <f>IF(ISERROR(VLOOKUP($A350,'SegEnds_NonXtal_BW#'!$A:$Z,16,FALSE)+VLOOKUP($A350,A:AL,22,FALSE)-50),"-",(VLOOKUP($A350,'SegEnds_NonXtal_BW#'!$A:$Z,16,FALSE)+VLOOKUP($A350,A:AL,22,FALSE)-50))</f>
        <v>732</v>
      </c>
      <c r="X350" s="3">
        <f>IF(ISERROR(VLOOKUP($A350,'SegEnds_NonXtal_BW#'!$A:$Z,17,FALSE)+VLOOKUP($A350,A:AL,25,FALSE)-50),"-",(VLOOKUP($A350,'SegEnds_NonXtal_BW#'!$A:$Z,17,FALSE)+VLOOKUP($A350,A:AL,25,FALSE)-50))</f>
        <v>761</v>
      </c>
      <c r="Y350" s="3">
        <v>761</v>
      </c>
      <c r="Z350" s="3">
        <f t="shared" si="200"/>
        <v>763</v>
      </c>
      <c r="AA350" s="3">
        <f>IF(ISERROR(VLOOKUP($A350,'SegEnds_NonXtal_BW#'!$A:$Z,19,FALSE)+VLOOKUP($A350,A:AL,28,FALSE)-50),"-",(VLOOKUP($A350,'SegEnds_NonXtal_BW#'!$A:$Z,19,FALSE)+VLOOKUP($A350,A:AL,28,FALSE)-50))</f>
        <v>766</v>
      </c>
      <c r="AB350" s="3">
        <v>780</v>
      </c>
      <c r="AC350" s="3">
        <f>IF(ISERROR((VLOOKUP($A350,'SegEnds_NonXtal_BW#'!$A:$Z,20,FALSE)+VLOOKUP($A350,A:AL,28,FALSE)-50)),"-",(VLOOKUP($A350,'SegEnds_NonXtal_BW#'!$A:$Z,20,FALSE)+VLOOKUP($A350,A:AL,28,FALSE)-50))</f>
        <v>791</v>
      </c>
      <c r="AD350" s="3">
        <f>IF(ISERROR(VLOOKUP($A350,'SegEnds_NonXtal_BW#'!$A:$Z,21,FALSE)+VLOOKUP($A350,A:AL,31,FALSE)-50),"-",(VLOOKUP($A350,'SegEnds_NonXtal_BW#'!$A:$Z,21,FALSE)+VLOOKUP($A350,A:AL,31,FALSE)-50))</f>
        <v>801</v>
      </c>
      <c r="AE350" s="3">
        <v>818</v>
      </c>
      <c r="AF350" s="3">
        <f>IF(ISERROR((VLOOKUP($A350,'SegEnds_NonXtal_BW#'!$A:$Z,22,FALSE)+VLOOKUP($A350,A:AL,31,FALSE)-50)),"-",(VLOOKUP($A350,'SegEnds_NonXtal_BW#'!$A:$Z,22,FALSE)+VLOOKUP($A350,A:AL,31,FALSE)-50))</f>
        <v>825</v>
      </c>
      <c r="AG350" s="3">
        <f>IF(ISERROR(VLOOKUP($A350,'SegEnds_NonXtal_BW#'!$A:$Z,23,FALSE)+VLOOKUP($A350,A:AL,34,FALSE)-50),"-",(VLOOKUP($A350,'SegEnds_NonXtal_BW#'!$A:$Z,23,FALSE)+VLOOKUP($A350,A:AL,34,FALSE)-50))</f>
        <v>832</v>
      </c>
      <c r="AH350" s="3">
        <v>849</v>
      </c>
      <c r="AI350" s="3">
        <f>IF(ISERROR((VLOOKUP($A350,'SegEnds_NonXtal_BW#'!$A:$Z,24,FALSE)+VLOOKUP($A350,A:AL,34,FALSE)-50)),"-",(VLOOKUP($A350,'SegEnds_NonXtal_BW#'!$A:$Z,24,FALSE)+VLOOKUP($A350,A:AL,34,FALSE)-50))</f>
        <v>863</v>
      </c>
      <c r="AJ350" s="3">
        <f>IF(ISERROR(VLOOKUP($A350,'SegEnds_NonXtal_BW#'!$A:$Z,25,FALSE)+VLOOKUP($A350,A:AL,37,FALSE)-50),"-",(VLOOKUP($A350,'SegEnds_NonXtal_BW#'!$A:$Z,25,FALSE)+VLOOKUP($A350,A:AL,37,FALSE)-50))</f>
        <v>864</v>
      </c>
      <c r="AK350" s="3">
        <v>868</v>
      </c>
      <c r="AL350" s="3">
        <f>IF(ISERROR((VLOOKUP($A350,'SegEnds_NonXtal_BW#'!$A:$Z,26,FALSE)+VLOOKUP($A350,A:AL,37,FALSE)-50)),"-",(VLOOKUP($A350,'SegEnds_NonXtal_BW#'!$A:$Z,26,FALSE)+VLOOKUP($A350,A:AL,37,FALSE)-50))</f>
        <v>875</v>
      </c>
      <c r="AM350" s="28" t="str">
        <f>VLOOKUP(A350,Classification!A:B,2,FALSE)</f>
        <v>C</v>
      </c>
      <c r="AN350" s="28" t="b">
        <f t="shared" si="216"/>
        <v>1</v>
      </c>
      <c r="AO350" s="3" t="str">
        <f>IF(ISERROR(MATCH(A350,'SegEnds_Xtal_Prot#'!B:B, 0)), "NoXtal", "Xtal")</f>
        <v>NoXtal</v>
      </c>
      <c r="AP350" s="3">
        <f t="shared" si="201"/>
        <v>3</v>
      </c>
      <c r="AQ350" s="3">
        <f t="shared" si="202"/>
        <v>1</v>
      </c>
      <c r="AR350" s="3" t="str">
        <f t="shared" si="203"/>
        <v>-</v>
      </c>
      <c r="AS350" s="3" t="str">
        <f t="shared" si="204"/>
        <v>-</v>
      </c>
      <c r="AT350" s="3" t="str">
        <f t="shared" si="205"/>
        <v>-</v>
      </c>
      <c r="AU350" s="3" t="str">
        <f t="shared" si="206"/>
        <v>-</v>
      </c>
      <c r="AV350" s="3">
        <f t="shared" si="207"/>
        <v>29</v>
      </c>
      <c r="AW350" s="3">
        <f t="shared" si="208"/>
        <v>3</v>
      </c>
      <c r="AX350" s="3">
        <f t="shared" si="209"/>
        <v>10</v>
      </c>
      <c r="AY350" s="3">
        <f t="shared" si="210"/>
        <v>7</v>
      </c>
      <c r="AZ350" s="3">
        <f t="shared" si="211"/>
        <v>1</v>
      </c>
      <c r="BA350" s="3">
        <f>IF(ISERROR(LEN(VLOOKUP(A350,Seqs!A:E,2,FALSE))-AL350),"-",LEN(VLOOKUP(A350,Seqs!A:E,2,FALSE))-AL350)</f>
        <v>86</v>
      </c>
      <c r="BB350" s="16">
        <f t="shared" si="212"/>
        <v>31</v>
      </c>
      <c r="BC350" s="9" t="str">
        <f t="shared" si="213"/>
        <v>-</v>
      </c>
      <c r="BD350" s="3">
        <f t="shared" si="214"/>
        <v>31</v>
      </c>
      <c r="BE350" s="3">
        <f t="shared" si="215"/>
        <v>38</v>
      </c>
    </row>
    <row r="351" spans="1:58" s="3" customFormat="1" x14ac:dyDescent="0.2">
      <c r="A351" s="3" t="s">
        <v>107</v>
      </c>
      <c r="B351" s="3" t="str">
        <f>LOWER(VLOOKUP(A351,Xtal_Templ!A:B,2,FALSE))</f>
        <v>grm5_human</v>
      </c>
      <c r="C351" s="3">
        <f>VLOOKUP($A351,'SegEnds_NonXtal_BW#'!$A:$Z,3,FALSE)+D351-50</f>
        <v>480</v>
      </c>
      <c r="D351" s="3">
        <v>496</v>
      </c>
      <c r="E351" s="3">
        <f>IF(ISERROR(VLOOKUP($A351,'SegEnds_NonXtal_BW#'!$A:$Z,4,FALSE)+VLOOKUP($A351,A:AL,4,FALSE)-50),"-",(VLOOKUP($A351,'SegEnds_NonXtal_BW#'!$A:$Z,4,FALSE)+VLOOKUP($A351,A:AL,4,FALSE)-50))</f>
        <v>506</v>
      </c>
      <c r="F351" s="3">
        <f t="shared" si="218"/>
        <v>509</v>
      </c>
      <c r="G351" s="3">
        <v>512</v>
      </c>
      <c r="H351" s="3">
        <f t="shared" si="219"/>
        <v>515</v>
      </c>
      <c r="I351" s="3">
        <f t="shared" si="220"/>
        <v>516</v>
      </c>
      <c r="J351" s="3">
        <v>527</v>
      </c>
      <c r="K351" s="3">
        <f>VLOOKUP($A351,'SegEnds_NonXtal_BW#'!$A:$Z,8,FALSE)+VLOOKUP($A351,A:AL,10,FALSE)-50</f>
        <v>538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549</v>
      </c>
      <c r="P351" s="3">
        <v>578</v>
      </c>
      <c r="Q351" s="3">
        <f>VLOOKUP($A351,'SegEnds_NonXtal_BW#'!$A:$Z,12,FALSE)+VLOOKUP($A351,A:AL,16,FALSE)-50</f>
        <v>582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593</v>
      </c>
      <c r="V351" s="3">
        <v>605</v>
      </c>
      <c r="W351" s="3">
        <f>IF(ISERROR(VLOOKUP($A351,'SegEnds_NonXtal_BW#'!$A:$Z,16,FALSE)+VLOOKUP($A351,A:AL,22,FALSE)-50),"-",(VLOOKUP($A351,'SegEnds_NonXtal_BW#'!$A:$Z,16,FALSE)+VLOOKUP($A351,A:AL,22,FALSE)-50))</f>
        <v>619</v>
      </c>
      <c r="X351" s="3">
        <f>IF(ISERROR(VLOOKUP($A351,'SegEnds_NonXtal_BW#'!$A:$Z,17,FALSE)+VLOOKUP($A351,A:AL,25,FALSE)-50),"-",(VLOOKUP($A351,'SegEnds_NonXtal_BW#'!$A:$Z,17,FALSE)+VLOOKUP($A351,A:AL,25,FALSE)-50))</f>
        <v>648</v>
      </c>
      <c r="Y351" s="3">
        <v>648</v>
      </c>
      <c r="Z351" s="3">
        <f t="shared" si="200"/>
        <v>650</v>
      </c>
      <c r="AA351" s="3">
        <f>IF(ISERROR(VLOOKUP($A351,'SegEnds_NonXtal_BW#'!$A:$Z,19,FALSE)+VLOOKUP($A351,A:AL,28,FALSE)-50),"-",(VLOOKUP($A351,'SegEnds_NonXtal_BW#'!$A:$Z,19,FALSE)+VLOOKUP($A351,A:AL,28,FALSE)-50))</f>
        <v>653</v>
      </c>
      <c r="AB351" s="3">
        <v>667</v>
      </c>
      <c r="AC351" s="3">
        <f>IF(ISERROR((VLOOKUP($A351,'SegEnds_NonXtal_BW#'!$A:$Z,20,FALSE)+VLOOKUP($A351,A:AL,28,FALSE)-50)),"-",(VLOOKUP($A351,'SegEnds_NonXtal_BW#'!$A:$Z,20,FALSE)+VLOOKUP($A351,A:AL,28,FALSE)-50))</f>
        <v>678</v>
      </c>
      <c r="AD351" s="3">
        <f>IF(ISERROR(VLOOKUP($A351,'SegEnds_NonXtal_BW#'!$A:$Z,21,FALSE)+VLOOKUP($A351,A:AL,31,FALSE)-50),"-",(VLOOKUP($A351,'SegEnds_NonXtal_BW#'!$A:$Z,21,FALSE)+VLOOKUP($A351,A:AL,31,FALSE)-50))</f>
        <v>688</v>
      </c>
      <c r="AE351" s="3">
        <v>705</v>
      </c>
      <c r="AF351" s="3">
        <f>IF(ISERROR((VLOOKUP($A351,'SegEnds_NonXtal_BW#'!$A:$Z,22,FALSE)+VLOOKUP($A351,A:AL,31,FALSE)-50)),"-",(VLOOKUP($A351,'SegEnds_NonXtal_BW#'!$A:$Z,22,FALSE)+VLOOKUP($A351,A:AL,31,FALSE)-50))</f>
        <v>712</v>
      </c>
      <c r="AG351" s="3">
        <f>IF(ISERROR(VLOOKUP($A351,'SegEnds_NonXtal_BW#'!$A:$Z,23,FALSE)+VLOOKUP($A351,A:AL,34,FALSE)-50),"-",(VLOOKUP($A351,'SegEnds_NonXtal_BW#'!$A:$Z,23,FALSE)+VLOOKUP($A351,A:AL,34,FALSE)-50))</f>
        <v>719</v>
      </c>
      <c r="AH351" s="3">
        <v>736</v>
      </c>
      <c r="AI351" s="3">
        <f>IF(ISERROR((VLOOKUP($A351,'SegEnds_NonXtal_BW#'!$A:$Z,24,FALSE)+VLOOKUP($A351,A:AL,34,FALSE)-50)),"-",(VLOOKUP($A351,'SegEnds_NonXtal_BW#'!$A:$Z,24,FALSE)+VLOOKUP($A351,A:AL,34,FALSE)-50))</f>
        <v>750</v>
      </c>
      <c r="AJ351" s="3">
        <f>IF(ISERROR(VLOOKUP($A351,'SegEnds_NonXtal_BW#'!$A:$Z,25,FALSE)+VLOOKUP($A351,A:AL,37,FALSE)-50),"-",(VLOOKUP($A351,'SegEnds_NonXtal_BW#'!$A:$Z,25,FALSE)+VLOOKUP($A351,A:AL,37,FALSE)-50))</f>
        <v>751</v>
      </c>
      <c r="AK351" s="3">
        <v>755</v>
      </c>
      <c r="AL351" s="3">
        <f>IF(ISERROR((VLOOKUP($A351,'SegEnds_NonXtal_BW#'!$A:$Z,26,FALSE)+VLOOKUP($A351,A:AL,37,FALSE)-50)),"-",(VLOOKUP($A351,'SegEnds_NonXtal_BW#'!$A:$Z,26,FALSE)+VLOOKUP($A351,A:AL,37,FALSE)-50))</f>
        <v>762</v>
      </c>
      <c r="AM351" s="28" t="str">
        <f>VLOOKUP(A351,Classification!A:B,2,FALSE)</f>
        <v>C</v>
      </c>
      <c r="AN351" s="28" t="b">
        <f t="shared" si="216"/>
        <v>1</v>
      </c>
      <c r="AO351" s="3" t="str">
        <f>IF(ISERROR(MATCH(A351,'SegEnds_Xtal_Prot#'!B:B, 0)), "NoXtal", "Xtal")</f>
        <v>NoXtal</v>
      </c>
      <c r="AP351" s="3">
        <f t="shared" si="201"/>
        <v>3</v>
      </c>
      <c r="AQ351" s="3">
        <f t="shared" si="202"/>
        <v>1</v>
      </c>
      <c r="AR351" s="3" t="str">
        <f t="shared" si="203"/>
        <v>-</v>
      </c>
      <c r="AS351" s="3" t="str">
        <f t="shared" si="204"/>
        <v>-</v>
      </c>
      <c r="AT351" s="3" t="str">
        <f t="shared" si="205"/>
        <v>-</v>
      </c>
      <c r="AU351" s="3" t="str">
        <f t="shared" si="206"/>
        <v>-</v>
      </c>
      <c r="AV351" s="3">
        <f t="shared" si="207"/>
        <v>29</v>
      </c>
      <c r="AW351" s="3">
        <f t="shared" si="208"/>
        <v>3</v>
      </c>
      <c r="AX351" s="3">
        <f t="shared" si="209"/>
        <v>10</v>
      </c>
      <c r="AY351" s="3">
        <f t="shared" si="210"/>
        <v>7</v>
      </c>
      <c r="AZ351" s="3">
        <f t="shared" si="211"/>
        <v>1</v>
      </c>
      <c r="BA351" s="3">
        <f>IF(ISERROR(LEN(VLOOKUP(A351,Seqs!A:E,2,FALSE))-AL351),"-",LEN(VLOOKUP(A351,Seqs!A:E,2,FALSE))-AL351)</f>
        <v>179</v>
      </c>
      <c r="BB351" s="16">
        <f t="shared" si="212"/>
        <v>31</v>
      </c>
      <c r="BC351" s="9" t="str">
        <f t="shared" si="213"/>
        <v>-</v>
      </c>
      <c r="BD351" s="3">
        <f t="shared" si="214"/>
        <v>31</v>
      </c>
      <c r="BE351" s="3">
        <f t="shared" si="215"/>
        <v>38</v>
      </c>
    </row>
    <row r="352" spans="1:58" s="3" customFormat="1" x14ac:dyDescent="0.2">
      <c r="A352" s="3" t="s">
        <v>108</v>
      </c>
      <c r="B352" s="3" t="str">
        <f>LOWER(VLOOKUP(A352,Xtal_Templ!A:B,2,FALSE))</f>
        <v>grm1_human</v>
      </c>
      <c r="C352" s="3">
        <f>VLOOKUP($A352,'SegEnds_NonXtal_BW#'!$A:$Z,3,FALSE)+D352-50</f>
        <v>48</v>
      </c>
      <c r="D352" s="3">
        <v>64</v>
      </c>
      <c r="E352" s="3">
        <f>IF(ISERROR(VLOOKUP($A352,'SegEnds_NonXtal_BW#'!$A:$Z,4,FALSE)+VLOOKUP($A352,A:AL,4,FALSE)-50),"-",(VLOOKUP($A352,'SegEnds_NonXtal_BW#'!$A:$Z,4,FALSE)+VLOOKUP($A352,A:AL,4,FALSE)-50))</f>
        <v>74</v>
      </c>
      <c r="F352" s="3">
        <f t="shared" si="218"/>
        <v>77</v>
      </c>
      <c r="G352" s="3">
        <v>80</v>
      </c>
      <c r="H352" s="3">
        <f t="shared" si="219"/>
        <v>83</v>
      </c>
      <c r="I352" s="3">
        <f t="shared" si="220"/>
        <v>84</v>
      </c>
      <c r="J352" s="3">
        <v>95</v>
      </c>
      <c r="K352" s="3">
        <f>VLOOKUP($A352,'SegEnds_NonXtal_BW#'!$A:$Z,8,FALSE)+VLOOKUP($A352,A:AL,10,FALSE)-50</f>
        <v>106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117</v>
      </c>
      <c r="P352" s="3">
        <v>145</v>
      </c>
      <c r="Q352" s="3">
        <f>VLOOKUP($A352,'SegEnds_NonXtal_BW#'!$A:$Z,12,FALSE)+VLOOKUP($A352,A:AL,16,FALSE)-50</f>
        <v>149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161</v>
      </c>
      <c r="V352" s="3">
        <v>173</v>
      </c>
      <c r="W352" s="3">
        <f>IF(ISERROR(VLOOKUP($A352,'SegEnds_NonXtal_BW#'!$A:$Z,16,FALSE)+VLOOKUP($A352,A:AL,22,FALSE)-50),"-",(VLOOKUP($A352,'SegEnds_NonXtal_BW#'!$A:$Z,16,FALSE)+VLOOKUP($A352,A:AL,22,FALSE)-50))</f>
        <v>187</v>
      </c>
      <c r="X352" s="3">
        <f>IF(ISERROR(VLOOKUP($A352,'SegEnds_NonXtal_BW#'!$A:$Z,17,FALSE)+VLOOKUP($A352,A:AL,25,FALSE)-50),"-",(VLOOKUP($A352,'SegEnds_NonXtal_BW#'!$A:$Z,17,FALSE)+VLOOKUP($A352,A:AL,25,FALSE)-50))</f>
        <v>216</v>
      </c>
      <c r="Y352" s="105">
        <v>216</v>
      </c>
      <c r="Z352" s="3">
        <f>IF(ISERROR(VLOOKUP($A352,'SegEnds_NonXtal_BW#'!$A:$Z,18,FALSE)+VLOOKUP($A352,A:AL,25,FALSE)-50),"-",(VLOOKUP($A352,'SegEnds_NonXtal_BW#'!$A:$Z,18,FALSE)+VLOOKUP($A352,A:AL,25,FALSE)-50))</f>
        <v>218</v>
      </c>
      <c r="AA352" s="3">
        <f>IF(ISERROR(VLOOKUP($A352,'SegEnds_NonXtal_BW#'!$A:$Z,19,FALSE)+VLOOKUP($A352,A:AL,28,FALSE)-50),"-",(VLOOKUP($A352,'SegEnds_NonXtal_BW#'!$A:$Z,19,FALSE)+VLOOKUP($A352,A:AL,28,FALSE)-50))</f>
        <v>221</v>
      </c>
      <c r="AB352" s="3">
        <v>235</v>
      </c>
      <c r="AC352" s="3">
        <f>IF(ISERROR((VLOOKUP($A352,'SegEnds_NonXtal_BW#'!$A:$Z,20,FALSE)+VLOOKUP($A352,A:AL,28,FALSE)-50)),"-",(VLOOKUP($A352,'SegEnds_NonXtal_BW#'!$A:$Z,20,FALSE)+VLOOKUP($A352,A:AL,28,FALSE)-50))</f>
        <v>246</v>
      </c>
      <c r="AD352" s="3">
        <f>IF(ISERROR(VLOOKUP($A352,'SegEnds_NonXtal_BW#'!$A:$Z,21,FALSE)+VLOOKUP($A352,A:AL,31,FALSE)-50),"-",(VLOOKUP($A352,'SegEnds_NonXtal_BW#'!$A:$Z,21,FALSE)+VLOOKUP($A352,A:AL,31,FALSE)-50))</f>
        <v>257</v>
      </c>
      <c r="AE352" s="3">
        <v>274</v>
      </c>
      <c r="AF352" s="3">
        <f>IF(ISERROR((VLOOKUP($A352,'SegEnds_NonXtal_BW#'!$A:$Z,22,FALSE)+VLOOKUP($A352,A:AL,31,FALSE)-50)),"-",(VLOOKUP($A352,'SegEnds_NonXtal_BW#'!$A:$Z,22,FALSE)+VLOOKUP($A352,A:AL,31,FALSE)-50))</f>
        <v>281</v>
      </c>
      <c r="AG352" s="3">
        <f>IF(ISERROR(VLOOKUP($A352,'SegEnds_NonXtal_BW#'!$A:$Z,23,FALSE)+VLOOKUP($A352,A:AL,34,FALSE)-50),"-",(VLOOKUP($A352,'SegEnds_NonXtal_BW#'!$A:$Z,23,FALSE)+VLOOKUP($A352,A:AL,34,FALSE)-50))</f>
        <v>287</v>
      </c>
      <c r="AH352" s="3">
        <v>304</v>
      </c>
      <c r="AI352" s="3">
        <f>IF(ISERROR((VLOOKUP($A352,'SegEnds_NonXtal_BW#'!$A:$Z,24,FALSE)+VLOOKUP($A352,A:AL,34,FALSE)-50)),"-",(VLOOKUP($A352,'SegEnds_NonXtal_BW#'!$A:$Z,24,FALSE)+VLOOKUP($A352,A:AL,34,FALSE)-50))</f>
        <v>318</v>
      </c>
      <c r="AJ352" s="3">
        <f>IF(ISERROR(VLOOKUP($A352,'SegEnds_NonXtal_BW#'!$A:$Z,25,FALSE)+VLOOKUP($A352,A:AL,37,FALSE)-50),"-",(VLOOKUP($A352,'SegEnds_NonXtal_BW#'!$A:$Z,25,FALSE)+VLOOKUP($A352,A:AL,37,FALSE)-50))</f>
        <v>319</v>
      </c>
      <c r="AK352" s="3">
        <v>323</v>
      </c>
      <c r="AL352" s="3">
        <f>IF(ISERROR((VLOOKUP($A352,'SegEnds_NonXtal_BW#'!$A:$Z,26,FALSE)+VLOOKUP($A352,A:AL,37,FALSE)-50)),"-",(VLOOKUP($A352,'SegEnds_NonXtal_BW#'!$A:$Z,26,FALSE)+VLOOKUP($A352,A:AL,37,FALSE)-50))</f>
        <v>330</v>
      </c>
      <c r="AM352" s="28" t="str">
        <f>VLOOKUP(A352,Classification!A:B,2,FALSE)</f>
        <v>C</v>
      </c>
      <c r="AN352" s="28" t="b">
        <f t="shared" si="216"/>
        <v>1</v>
      </c>
      <c r="AO352" s="3" t="str">
        <f>IF(ISERROR(MATCH(A352,'SegEnds_Xtal_Prot#'!B:B, 0)), "NoXtal", "Xtal")</f>
        <v>NoXtal</v>
      </c>
      <c r="AP352" s="3">
        <f t="shared" si="201"/>
        <v>3</v>
      </c>
      <c r="AQ352" s="3">
        <f t="shared" si="202"/>
        <v>1</v>
      </c>
      <c r="AR352" s="3" t="str">
        <f t="shared" si="203"/>
        <v>-</v>
      </c>
      <c r="AS352" s="3" t="str">
        <f t="shared" si="204"/>
        <v>-</v>
      </c>
      <c r="AT352" s="3" t="str">
        <f t="shared" si="205"/>
        <v>-</v>
      </c>
      <c r="AU352" s="3" t="str">
        <f t="shared" si="206"/>
        <v>-</v>
      </c>
      <c r="AV352" s="3">
        <f t="shared" si="207"/>
        <v>29</v>
      </c>
      <c r="AW352" s="3">
        <f t="shared" si="208"/>
        <v>3</v>
      </c>
      <c r="AX352" s="3">
        <f t="shared" si="209"/>
        <v>11</v>
      </c>
      <c r="AY352" s="3">
        <f t="shared" si="210"/>
        <v>6</v>
      </c>
      <c r="AZ352" s="3">
        <f t="shared" si="211"/>
        <v>1</v>
      </c>
      <c r="BA352" s="3">
        <f>IF(ISERROR(LEN(VLOOKUP(A352,Seqs!A:E,2,FALSE))-AL352),"-",LEN(VLOOKUP(A352,Seqs!A:E,2,FALSE))-AL352)</f>
        <v>484</v>
      </c>
      <c r="BB352" s="16">
        <f t="shared" si="212"/>
        <v>31</v>
      </c>
      <c r="BC352" s="9" t="str">
        <f t="shared" si="213"/>
        <v>-</v>
      </c>
      <c r="BD352" s="3">
        <f t="shared" si="214"/>
        <v>31</v>
      </c>
      <c r="BE352" s="3">
        <f t="shared" si="215"/>
        <v>39</v>
      </c>
    </row>
    <row r="353" spans="1:58" s="3" customFormat="1" x14ac:dyDescent="0.2">
      <c r="A353" s="3" t="s">
        <v>109</v>
      </c>
      <c r="B353" s="3" t="str">
        <f>LOWER(VLOOKUP(A353,Xtal_Templ!A:B,2,FALSE))</f>
        <v>grm1_human</v>
      </c>
      <c r="C353" s="3">
        <f>VLOOKUP($A353,'SegEnds_NonXtal_BW#'!$A:$Z,3,FALSE)+D353-50</f>
        <v>415</v>
      </c>
      <c r="D353" s="3">
        <v>431</v>
      </c>
      <c r="E353" s="3">
        <f>IF(ISERROR(VLOOKUP($A353,'SegEnds_NonXtal_BW#'!$A:$Z,4,FALSE)+VLOOKUP($A353,A:AL,4,FALSE)-50),"-",(VLOOKUP($A353,'SegEnds_NonXtal_BW#'!$A:$Z,4,FALSE)+VLOOKUP($A353,A:AL,4,FALSE)-50))</f>
        <v>441</v>
      </c>
      <c r="F353" s="3">
        <f t="shared" si="218"/>
        <v>444</v>
      </c>
      <c r="G353" s="3">
        <v>447</v>
      </c>
      <c r="H353" s="3">
        <f t="shared" si="219"/>
        <v>450</v>
      </c>
      <c r="I353" s="3">
        <f t="shared" si="220"/>
        <v>451</v>
      </c>
      <c r="J353" s="3">
        <v>462</v>
      </c>
      <c r="K353" s="3">
        <f>VLOOKUP($A353,'SegEnds_NonXtal_BW#'!$A:$Z,8,FALSE)+VLOOKUP($A353,A:AL,10,FALSE)-50</f>
        <v>473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478</v>
      </c>
      <c r="P353" s="3">
        <v>506</v>
      </c>
      <c r="Q353" s="3">
        <f>VLOOKUP($A353,'SegEnds_NonXtal_BW#'!$A:$Z,12,FALSE)+VLOOKUP($A353,A:AL,16,FALSE)-50</f>
        <v>510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512</v>
      </c>
      <c r="V353" s="3">
        <v>524</v>
      </c>
      <c r="W353" s="3">
        <f>IF(ISERROR(VLOOKUP($A353,'SegEnds_NonXtal_BW#'!$A:$Z,16,FALSE)+VLOOKUP($A353,A:AL,22,FALSE)-50),"-",(VLOOKUP($A353,'SegEnds_NonXtal_BW#'!$A:$Z,16,FALSE)+VLOOKUP($A353,A:AL,22,FALSE)-50))</f>
        <v>538</v>
      </c>
      <c r="X353" s="3">
        <f>IF(ISERROR(VLOOKUP($A353,'SegEnds_NonXtal_BW#'!$A:$Z,17,FALSE)+VLOOKUP($A353,A:AL,25,FALSE)-50),"-",(VLOOKUP($A353,'SegEnds_NonXtal_BW#'!$A:$Z,17,FALSE)+VLOOKUP($A353,A:AL,25,FALSE)-50))</f>
        <v>573</v>
      </c>
      <c r="Y353" s="3">
        <v>573</v>
      </c>
      <c r="Z353" s="3">
        <f>Y353+2</f>
        <v>575</v>
      </c>
      <c r="AA353" s="105">
        <v>576</v>
      </c>
      <c r="AB353" s="3">
        <v>589</v>
      </c>
      <c r="AC353" s="3">
        <f>IF(ISERROR((VLOOKUP($A353,'SegEnds_NonXtal_BW#'!$A:$Z,20,FALSE)+VLOOKUP($A353,A:AL,28,FALSE)-50)),"-",(VLOOKUP($A353,'SegEnds_NonXtal_BW#'!$A:$Z,20,FALSE)+VLOOKUP($A353,A:AL,28,FALSE)-50))</f>
        <v>600</v>
      </c>
      <c r="AD353" s="3">
        <f>IF(ISERROR(VLOOKUP($A353,'SegEnds_NonXtal_BW#'!$A:$Z,21,FALSE)+VLOOKUP($A353,A:AL,31,FALSE)-50),"-",(VLOOKUP($A353,'SegEnds_NonXtal_BW#'!$A:$Z,21,FALSE)+VLOOKUP($A353,A:AL,31,FALSE)-50))</f>
        <v>609</v>
      </c>
      <c r="AE353" s="3">
        <v>626</v>
      </c>
      <c r="AF353" s="3">
        <f>IF(ISERROR((VLOOKUP($A353,'SegEnds_NonXtal_BW#'!$A:$Z,22,FALSE)+VLOOKUP($A353,A:AL,31,FALSE)-50)),"-",(VLOOKUP($A353,'SegEnds_NonXtal_BW#'!$A:$Z,22,FALSE)+VLOOKUP($A353,A:AL,31,FALSE)-50))</f>
        <v>633</v>
      </c>
      <c r="AG353" s="3">
        <f>IF(ISERROR(VLOOKUP($A353,'SegEnds_NonXtal_BW#'!$A:$Z,23,FALSE)+VLOOKUP($A353,A:AL,34,FALSE)-50),"-",(VLOOKUP($A353,'SegEnds_NonXtal_BW#'!$A:$Z,23,FALSE)+VLOOKUP($A353,A:AL,34,FALSE)-50))</f>
        <v>642</v>
      </c>
      <c r="AH353" s="3">
        <v>659</v>
      </c>
      <c r="AI353" s="3">
        <f>IF(ISERROR((VLOOKUP($A353,'SegEnds_NonXtal_BW#'!$A:$Z,24,FALSE)+VLOOKUP($A353,A:AL,34,FALSE)-50)),"-",(VLOOKUP($A353,'SegEnds_NonXtal_BW#'!$A:$Z,24,FALSE)+VLOOKUP($A353,A:AL,34,FALSE)-50))</f>
        <v>673</v>
      </c>
      <c r="AJ353" s="3">
        <f>IF(ISERROR(VLOOKUP($A353,'SegEnds_NonXtal_BW#'!$A:$Z,25,FALSE)+VLOOKUP($A353,A:AL,37,FALSE)-50),"-",(VLOOKUP($A353,'SegEnds_NonXtal_BW#'!$A:$Z,25,FALSE)+VLOOKUP($A353,A:AL,37,FALSE)-50))</f>
        <v>674</v>
      </c>
      <c r="AK353" s="3">
        <v>678</v>
      </c>
      <c r="AL353" s="3">
        <f>IF(ISERROR((VLOOKUP($A353,'SegEnds_NonXtal_BW#'!$A:$Z,26,FALSE)+VLOOKUP($A353,A:AL,37,FALSE)-50)),"-",(VLOOKUP($A353,'SegEnds_NonXtal_BW#'!$A:$Z,26,FALSE)+VLOOKUP($A353,A:AL,37,FALSE)-50))</f>
        <v>685</v>
      </c>
      <c r="AM353" s="28" t="str">
        <f>VLOOKUP(A353,Classification!A:B,2,FALSE)</f>
        <v>C</v>
      </c>
      <c r="AN353" s="28" t="b">
        <f t="shared" si="216"/>
        <v>1</v>
      </c>
      <c r="AO353" s="3" t="str">
        <f>IF(ISERROR(MATCH(A353,'SegEnds_Xtal_Prot#'!B:B, 0)), "NoXtal", "Xtal")</f>
        <v>NoXtal</v>
      </c>
      <c r="AP353" s="3">
        <f t="shared" si="201"/>
        <v>3</v>
      </c>
      <c r="AQ353" s="3">
        <f t="shared" si="202"/>
        <v>1</v>
      </c>
      <c r="AR353" s="3" t="str">
        <f t="shared" si="203"/>
        <v>-</v>
      </c>
      <c r="AS353" s="3" t="str">
        <f t="shared" si="204"/>
        <v>-</v>
      </c>
      <c r="AT353" s="3" t="str">
        <f t="shared" si="205"/>
        <v>-</v>
      </c>
      <c r="AU353" s="3" t="str">
        <f t="shared" si="206"/>
        <v>-</v>
      </c>
      <c r="AV353" s="3">
        <f t="shared" si="207"/>
        <v>35</v>
      </c>
      <c r="AW353" s="3">
        <f t="shared" si="208"/>
        <v>1</v>
      </c>
      <c r="AX353" s="3">
        <f t="shared" si="209"/>
        <v>9</v>
      </c>
      <c r="AY353" s="3">
        <f t="shared" si="210"/>
        <v>9</v>
      </c>
      <c r="AZ353" s="3">
        <f t="shared" si="211"/>
        <v>1</v>
      </c>
      <c r="BA353" s="3">
        <f>IF(ISERROR(LEN(VLOOKUP(A353,Seqs!A:E,2,FALSE))-AL353),"-",LEN(VLOOKUP(A353,Seqs!A:E,2,FALSE))-AL353)</f>
        <v>530</v>
      </c>
      <c r="BB353" s="16">
        <f t="shared" si="212"/>
        <v>31</v>
      </c>
      <c r="BC353" s="9" t="str">
        <f t="shared" si="213"/>
        <v>-</v>
      </c>
      <c r="BD353" s="3">
        <f t="shared" si="214"/>
        <v>31</v>
      </c>
      <c r="BE353" s="3">
        <f t="shared" si="215"/>
        <v>37</v>
      </c>
    </row>
    <row r="354" spans="1:58" s="3" customFormat="1" x14ac:dyDescent="0.2">
      <c r="A354" s="3" t="s">
        <v>110</v>
      </c>
      <c r="B354" s="3" t="str">
        <f>LOWER(VLOOKUP(A354,Xtal_Templ!A:B,2,FALSE))</f>
        <v>grm1_human</v>
      </c>
      <c r="C354" s="3">
        <f>VLOOKUP($A354,'SegEnds_NonXtal_BW#'!$A:$Z,3,FALSE)+D354-50</f>
        <v>379</v>
      </c>
      <c r="D354" s="3">
        <v>395</v>
      </c>
      <c r="E354" s="3">
        <f>IF(ISERROR(VLOOKUP($A354,'SegEnds_NonXtal_BW#'!$A:$Z,4,FALSE)+VLOOKUP($A354,A:AL,4,FALSE)-50),"-",(VLOOKUP($A354,'SegEnds_NonXtal_BW#'!$A:$Z,4,FALSE)+VLOOKUP($A354,A:AL,4,FALSE)-50))</f>
        <v>405</v>
      </c>
      <c r="F354" s="3">
        <f t="shared" si="218"/>
        <v>408</v>
      </c>
      <c r="G354" s="3">
        <v>411</v>
      </c>
      <c r="H354" s="3">
        <f t="shared" si="219"/>
        <v>414</v>
      </c>
      <c r="I354" s="3">
        <f t="shared" si="220"/>
        <v>415</v>
      </c>
      <c r="J354" s="3">
        <v>426</v>
      </c>
      <c r="K354" s="3">
        <f>VLOOKUP($A354,'SegEnds_NonXtal_BW#'!$A:$Z,8,FALSE)+VLOOKUP($A354,A:AL,10,FALSE)-50</f>
        <v>437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442</v>
      </c>
      <c r="P354" s="3">
        <v>470</v>
      </c>
      <c r="Q354" s="3">
        <f>VLOOKUP($A354,'SegEnds_NonXtal_BW#'!$A:$Z,12,FALSE)+VLOOKUP($A354,A:AL,16,FALSE)-50</f>
        <v>474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476</v>
      </c>
      <c r="V354" s="3">
        <v>488</v>
      </c>
      <c r="W354" s="3">
        <f>IF(ISERROR(VLOOKUP($A354,'SegEnds_NonXtal_BW#'!$A:$Z,16,FALSE)+VLOOKUP($A354,A:AL,22,FALSE)-50),"-",(VLOOKUP($A354,'SegEnds_NonXtal_BW#'!$A:$Z,16,FALSE)+VLOOKUP($A354,A:AL,22,FALSE)-50))</f>
        <v>502</v>
      </c>
      <c r="X354" s="3">
        <f>IF(ISERROR(VLOOKUP($A354,'SegEnds_NonXtal_BW#'!$A:$Z,17,FALSE)+VLOOKUP($A354,A:AL,25,FALSE)-50),"-",(VLOOKUP($A354,'SegEnds_NonXtal_BW#'!$A:$Z,17,FALSE)+VLOOKUP($A354,A:AL,25,FALSE)-50))</f>
        <v>537</v>
      </c>
      <c r="Y354" s="3">
        <v>537</v>
      </c>
      <c r="Z354" s="3">
        <f>Y354+2</f>
        <v>539</v>
      </c>
      <c r="AA354" s="105">
        <v>540</v>
      </c>
      <c r="AB354" s="3">
        <v>553</v>
      </c>
      <c r="AC354" s="3">
        <f>IF(ISERROR((VLOOKUP($A354,'SegEnds_NonXtal_BW#'!$A:$Z,20,FALSE)+VLOOKUP($A354,A:AL,28,FALSE)-50)),"-",(VLOOKUP($A354,'SegEnds_NonXtal_BW#'!$A:$Z,20,FALSE)+VLOOKUP($A354,A:AL,28,FALSE)-50))</f>
        <v>564</v>
      </c>
      <c r="AD354" s="3">
        <f>IF(ISERROR(VLOOKUP($A354,'SegEnds_NonXtal_BW#'!$A:$Z,21,FALSE)+VLOOKUP($A354,A:AL,31,FALSE)-50),"-",(VLOOKUP($A354,'SegEnds_NonXtal_BW#'!$A:$Z,21,FALSE)+VLOOKUP($A354,A:AL,31,FALSE)-50))</f>
        <v>573</v>
      </c>
      <c r="AE354" s="3">
        <v>590</v>
      </c>
      <c r="AF354" s="3">
        <f>IF(ISERROR((VLOOKUP($A354,'SegEnds_NonXtal_BW#'!$A:$Z,22,FALSE)+VLOOKUP($A354,A:AL,31,FALSE)-50)),"-",(VLOOKUP($A354,'SegEnds_NonXtal_BW#'!$A:$Z,22,FALSE)+VLOOKUP($A354,A:AL,31,FALSE)-50))</f>
        <v>597</v>
      </c>
      <c r="AG354" s="3">
        <f>IF(ISERROR(VLOOKUP($A354,'SegEnds_NonXtal_BW#'!$A:$Z,23,FALSE)+VLOOKUP($A354,A:AL,34,FALSE)-50),"-",(VLOOKUP($A354,'SegEnds_NonXtal_BW#'!$A:$Z,23,FALSE)+VLOOKUP($A354,A:AL,34,FALSE)-50))</f>
        <v>606</v>
      </c>
      <c r="AH354" s="3">
        <v>623</v>
      </c>
      <c r="AI354" s="3">
        <f>IF(ISERROR((VLOOKUP($A354,'SegEnds_NonXtal_BW#'!$A:$Z,24,FALSE)+VLOOKUP($A354,A:AL,34,FALSE)-50)),"-",(VLOOKUP($A354,'SegEnds_NonXtal_BW#'!$A:$Z,24,FALSE)+VLOOKUP($A354,A:AL,34,FALSE)-50))</f>
        <v>637</v>
      </c>
      <c r="AJ354" s="3">
        <f>IF(ISERROR(VLOOKUP($A354,'SegEnds_NonXtal_BW#'!$A:$Z,25,FALSE)+VLOOKUP($A354,A:AL,37,FALSE)-50),"-",(VLOOKUP($A354,'SegEnds_NonXtal_BW#'!$A:$Z,25,FALSE)+VLOOKUP($A354,A:AL,37,FALSE)-50))</f>
        <v>638</v>
      </c>
      <c r="AK354" s="3">
        <v>642</v>
      </c>
      <c r="AL354" s="3">
        <f>IF(ISERROR((VLOOKUP($A354,'SegEnds_NonXtal_BW#'!$A:$Z,26,FALSE)+VLOOKUP($A354,A:AL,37,FALSE)-50)),"-",(VLOOKUP($A354,'SegEnds_NonXtal_BW#'!$A:$Z,26,FALSE)+VLOOKUP($A354,A:AL,37,FALSE)-50))</f>
        <v>649</v>
      </c>
      <c r="AM354" s="28" t="str">
        <f>VLOOKUP(A354,Classification!A:B,2,FALSE)</f>
        <v>C</v>
      </c>
      <c r="AN354" s="28" t="b">
        <f t="shared" si="216"/>
        <v>1</v>
      </c>
      <c r="AO354" s="3" t="str">
        <f>IF(ISERROR(MATCH(A354,'SegEnds_Xtal_Prot#'!B:B, 0)), "NoXtal", "Xtal")</f>
        <v>NoXtal</v>
      </c>
      <c r="AP354" s="3">
        <f t="shared" si="201"/>
        <v>3</v>
      </c>
      <c r="AQ354" s="3">
        <f t="shared" si="202"/>
        <v>1</v>
      </c>
      <c r="AR354" s="3" t="str">
        <f t="shared" si="203"/>
        <v>-</v>
      </c>
      <c r="AS354" s="3" t="str">
        <f t="shared" si="204"/>
        <v>-</v>
      </c>
      <c r="AT354" s="3" t="str">
        <f t="shared" si="205"/>
        <v>-</v>
      </c>
      <c r="AU354" s="3" t="str">
        <f t="shared" si="206"/>
        <v>-</v>
      </c>
      <c r="AV354" s="3">
        <f t="shared" si="207"/>
        <v>35</v>
      </c>
      <c r="AW354" s="3">
        <f t="shared" si="208"/>
        <v>1</v>
      </c>
      <c r="AX354" s="3">
        <f t="shared" si="209"/>
        <v>9</v>
      </c>
      <c r="AY354" s="3">
        <f t="shared" si="210"/>
        <v>9</v>
      </c>
      <c r="AZ354" s="3">
        <f t="shared" si="211"/>
        <v>1</v>
      </c>
      <c r="BA354" s="3">
        <f>IF(ISERROR(LEN(VLOOKUP(A354,Seqs!A:E,2,FALSE))-AL354),"-",LEN(VLOOKUP(A354,Seqs!A:E,2,FALSE))-AL354)</f>
        <v>1718</v>
      </c>
      <c r="BB354" s="16">
        <f t="shared" si="212"/>
        <v>31</v>
      </c>
      <c r="BC354" s="9" t="str">
        <f t="shared" si="213"/>
        <v>-</v>
      </c>
      <c r="BD354" s="3">
        <f t="shared" si="214"/>
        <v>31</v>
      </c>
      <c r="BE354" s="3">
        <f t="shared" si="215"/>
        <v>37</v>
      </c>
    </row>
    <row r="355" spans="1:58" s="3" customFormat="1" x14ac:dyDescent="0.2">
      <c r="A355" s="3" t="s">
        <v>111</v>
      </c>
      <c r="B355" s="3" t="str">
        <f>LOWER(VLOOKUP(A355,Xtal_Templ!A:B,2,FALSE))</f>
        <v>grm1_human</v>
      </c>
      <c r="C355" s="3">
        <f>VLOOKUP($A355,'SegEnds_NonXtal_BW#'!$A:$Z,3,FALSE)+D355-50</f>
        <v>54</v>
      </c>
      <c r="D355" s="3">
        <v>70</v>
      </c>
      <c r="E355" s="3">
        <f>IF(ISERROR(VLOOKUP($A355,'SegEnds_NonXtal_BW#'!$A:$Z,4,FALSE)+VLOOKUP($A355,A:AL,4,FALSE)-50),"-",(VLOOKUP($A355,'SegEnds_NonXtal_BW#'!$A:$Z,4,FALSE)+VLOOKUP($A355,A:AL,4,FALSE)-50))</f>
        <v>80</v>
      </c>
      <c r="F355" s="3">
        <f t="shared" si="218"/>
        <v>81</v>
      </c>
      <c r="G355" s="3">
        <v>84</v>
      </c>
      <c r="H355" s="3">
        <f t="shared" si="219"/>
        <v>87</v>
      </c>
      <c r="I355" s="3">
        <f t="shared" si="220"/>
        <v>88</v>
      </c>
      <c r="J355" s="3">
        <v>103</v>
      </c>
      <c r="K355" s="3">
        <f>VLOOKUP($A355,'SegEnds_NonXtal_BW#'!$A:$Z,8,FALSE)+VLOOKUP($A355,A:AL,10,FALSE)-50</f>
        <v>114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119</v>
      </c>
      <c r="P355" s="3">
        <v>147</v>
      </c>
      <c r="Q355" s="3">
        <f>VLOOKUP($A355,'SegEnds_NonXtal_BW#'!$A:$Z,12,FALSE)+VLOOKUP($A355,A:AL,16,FALSE)-50</f>
        <v>151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158</v>
      </c>
      <c r="V355" s="3">
        <v>170</v>
      </c>
      <c r="W355" s="3">
        <f>IF(ISERROR(VLOOKUP($A355,'SegEnds_NonXtal_BW#'!$A:$Z,16,FALSE)+VLOOKUP($A355,A:AL,22,FALSE)-50),"-",(VLOOKUP($A355,'SegEnds_NonXtal_BW#'!$A:$Z,16,FALSE)+VLOOKUP($A355,A:AL,22,FALSE)-50))</f>
        <v>184</v>
      </c>
      <c r="X355" s="3">
        <f>IF(ISERROR(VLOOKUP($A355,'SegEnds_NonXtal_BW#'!$A:$Z,17,FALSE)+VLOOKUP($A355,A:AL,25,FALSE)-50),"-",(VLOOKUP($A355,'SegEnds_NonXtal_BW#'!$A:$Z,17,FALSE)+VLOOKUP($A355,A:AL,25,FALSE)-50))</f>
        <v>193</v>
      </c>
      <c r="Y355" s="3">
        <v>193</v>
      </c>
      <c r="Z355" s="3">
        <f>Y355+2</f>
        <v>195</v>
      </c>
      <c r="AA355" s="3">
        <f>IF(ISERROR(VLOOKUP($A355,'SegEnds_NonXtal_BW#'!$A:$Z,19,FALSE)+VLOOKUP($A355,A:AL,28,FALSE)-50),"-",(VLOOKUP($A355,'SegEnds_NonXtal_BW#'!$A:$Z,19,FALSE)+VLOOKUP($A355,A:AL,28,FALSE)-50))</f>
        <v>196</v>
      </c>
      <c r="AB355" s="3">
        <v>210</v>
      </c>
      <c r="AC355" s="3">
        <f>IF(ISERROR((VLOOKUP($A355,'SegEnds_NonXtal_BW#'!$A:$Z,20,FALSE)+VLOOKUP($A355,A:AL,28,FALSE)-50)),"-",(VLOOKUP($A355,'SegEnds_NonXtal_BW#'!$A:$Z,20,FALSE)+VLOOKUP($A355,A:AL,28,FALSE)-50))</f>
        <v>221</v>
      </c>
      <c r="AD355" s="3">
        <f>IF(ISERROR(VLOOKUP($A355,'SegEnds_NonXtal_BW#'!$A:$Z,21,FALSE)+VLOOKUP($A355,A:AL,31,FALSE)-50),"-",(VLOOKUP($A355,'SegEnds_NonXtal_BW#'!$A:$Z,21,FALSE)+VLOOKUP($A355,A:AL,31,FALSE)-50))</f>
        <v>232</v>
      </c>
      <c r="AE355" s="3">
        <v>249</v>
      </c>
      <c r="AF355" s="3">
        <f>IF(ISERROR((VLOOKUP($A355,'SegEnds_NonXtal_BW#'!$A:$Z,22,FALSE)+VLOOKUP($A355,A:AL,31,FALSE)-50)),"-",(VLOOKUP($A355,'SegEnds_NonXtal_BW#'!$A:$Z,22,FALSE)+VLOOKUP($A355,A:AL,31,FALSE)-50))</f>
        <v>256</v>
      </c>
      <c r="AG355" s="3">
        <f>IF(ISERROR(VLOOKUP($A355,'SegEnds_NonXtal_BW#'!$A:$Z,23,FALSE)+VLOOKUP($A355,A:AL,34,FALSE)-50),"-",(VLOOKUP($A355,'SegEnds_NonXtal_BW#'!$A:$Z,23,FALSE)+VLOOKUP($A355,A:AL,34,FALSE)-50))</f>
        <v>267</v>
      </c>
      <c r="AH355" s="3">
        <v>284</v>
      </c>
      <c r="AI355" s="3">
        <f>IF(ISERROR((VLOOKUP($A355,'SegEnds_NonXtal_BW#'!$A:$Z,24,FALSE)+VLOOKUP($A355,A:AL,34,FALSE)-50)),"-",(VLOOKUP($A355,'SegEnds_NonXtal_BW#'!$A:$Z,24,FALSE)+VLOOKUP($A355,A:AL,34,FALSE)-50))</f>
        <v>298</v>
      </c>
      <c r="AJ355" s="3">
        <f>IF(ISERROR(VLOOKUP($A355,'SegEnds_NonXtal_BW#'!$A:$Z,25,FALSE)+VLOOKUP($A355,A:AL,37,FALSE)-50),"-",(VLOOKUP($A355,'SegEnds_NonXtal_BW#'!$A:$Z,25,FALSE)+VLOOKUP($A355,A:AL,37,FALSE)-50))</f>
        <v>300</v>
      </c>
      <c r="AK355" s="3">
        <v>304</v>
      </c>
      <c r="AL355" s="3">
        <f>IF(ISERROR((VLOOKUP($A355,'SegEnds_NonXtal_BW#'!$A:$Z,26,FALSE)+VLOOKUP($A355,A:AL,37,FALSE)-50)),"-",(VLOOKUP($A355,'SegEnds_NonXtal_BW#'!$A:$Z,26,FALSE)+VLOOKUP($A355,A:AL,37,FALSE)-50))</f>
        <v>311</v>
      </c>
      <c r="AM355" s="28" t="str">
        <f>VLOOKUP(A355,Classification!A:B,2,FALSE)</f>
        <v>C</v>
      </c>
      <c r="AN355" s="28" t="b">
        <f t="shared" si="216"/>
        <v>1</v>
      </c>
      <c r="AO355" s="3" t="str">
        <f>IF(ISERROR(MATCH(A355,'SegEnds_Xtal_Prot#'!B:B, 0)), "NoXtal", "Xtal")</f>
        <v>NoXtal</v>
      </c>
      <c r="AP355" s="3">
        <f t="shared" si="201"/>
        <v>1</v>
      </c>
      <c r="AQ355" s="3">
        <f t="shared" si="202"/>
        <v>1</v>
      </c>
      <c r="AR355" s="3" t="str">
        <f t="shared" si="203"/>
        <v>-</v>
      </c>
      <c r="AS355" s="3" t="str">
        <f t="shared" si="204"/>
        <v>-</v>
      </c>
      <c r="AT355" s="3" t="str">
        <f t="shared" si="205"/>
        <v>-</v>
      </c>
      <c r="AU355" s="3" t="str">
        <f t="shared" si="206"/>
        <v>-</v>
      </c>
      <c r="AV355" s="3">
        <f t="shared" si="207"/>
        <v>9</v>
      </c>
      <c r="AW355" s="3">
        <f t="shared" si="208"/>
        <v>1</v>
      </c>
      <c r="AX355" s="3">
        <f t="shared" si="209"/>
        <v>11</v>
      </c>
      <c r="AY355" s="3">
        <f t="shared" si="210"/>
        <v>11</v>
      </c>
      <c r="AZ355" s="3">
        <f t="shared" si="211"/>
        <v>2</v>
      </c>
      <c r="BA355" s="3">
        <f>IF(ISERROR(LEN(VLOOKUP(A355,Seqs!A:E,2,FALSE))-AL355),"-",LEN(VLOOKUP(A355,Seqs!A:E,2,FALSE))-AL355)</f>
        <v>92</v>
      </c>
      <c r="BB355" s="16">
        <f t="shared" si="212"/>
        <v>33</v>
      </c>
      <c r="BC355" s="9" t="str">
        <f t="shared" si="213"/>
        <v>-</v>
      </c>
      <c r="BD355" s="3">
        <f t="shared" si="214"/>
        <v>33</v>
      </c>
      <c r="BE355" s="3">
        <f t="shared" si="215"/>
        <v>39</v>
      </c>
    </row>
    <row r="356" spans="1:58" s="3" customFormat="1" x14ac:dyDescent="0.2">
      <c r="A356" s="3" t="s">
        <v>112</v>
      </c>
      <c r="B356" s="3" t="str">
        <f>LOWER(VLOOKUP(A356,Xtal_Templ!A:B,2,FALSE))</f>
        <v>grm1_human</v>
      </c>
      <c r="C356" s="3">
        <f>VLOOKUP($A356,'SegEnds_NonXtal_BW#'!$A:$Z,3,FALSE)+D356-50</f>
        <v>48</v>
      </c>
      <c r="D356" s="3">
        <v>64</v>
      </c>
      <c r="E356" s="3">
        <f>IF(ISERROR(VLOOKUP($A356,'SegEnds_NonXtal_BW#'!$A:$Z,4,FALSE)+VLOOKUP($A356,A:AL,4,FALSE)-50),"-",(VLOOKUP($A356,'SegEnds_NonXtal_BW#'!$A:$Z,4,FALSE)+VLOOKUP($A356,A:AL,4,FALSE)-50))</f>
        <v>74</v>
      </c>
      <c r="F356" s="3">
        <f t="shared" si="218"/>
        <v>75</v>
      </c>
      <c r="G356" s="3">
        <v>78</v>
      </c>
      <c r="H356" s="3">
        <f t="shared" si="219"/>
        <v>81</v>
      </c>
      <c r="I356" s="3">
        <f t="shared" si="220"/>
        <v>82</v>
      </c>
      <c r="J356" s="3">
        <v>97</v>
      </c>
      <c r="K356" s="3">
        <f>VLOOKUP($A356,'SegEnds_NonXtal_BW#'!$A:$Z,8,FALSE)+VLOOKUP($A356,A:AL,10,FALSE)-50</f>
        <v>108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113</v>
      </c>
      <c r="P356" s="3">
        <v>141</v>
      </c>
      <c r="Q356" s="3">
        <f>VLOOKUP($A356,'SegEnds_NonXtal_BW#'!$A:$Z,12,FALSE)+VLOOKUP($A356,A:AL,16,FALSE)-50</f>
        <v>145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152</v>
      </c>
      <c r="V356" s="3">
        <v>164</v>
      </c>
      <c r="W356" s="3">
        <f>IF(ISERROR(VLOOKUP($A356,'SegEnds_NonXtal_BW#'!$A:$Z,16,FALSE)+VLOOKUP($A356,A:AL,22,FALSE)-50),"-",(VLOOKUP($A356,'SegEnds_NonXtal_BW#'!$A:$Z,16,FALSE)+VLOOKUP($A356,A:AL,22,FALSE)-50))</f>
        <v>178</v>
      </c>
      <c r="X356" s="3">
        <f>IF(ISERROR(VLOOKUP($A356,'SegEnds_NonXtal_BW#'!$A:$Z,17,FALSE)+VLOOKUP($A356,A:AL,25,FALSE)-50),"-",(VLOOKUP($A356,'SegEnds_NonXtal_BW#'!$A:$Z,17,FALSE)+VLOOKUP($A356,A:AL,25,FALSE)-50))</f>
        <v>202</v>
      </c>
      <c r="Y356" s="3">
        <v>202</v>
      </c>
      <c r="Z356" s="3">
        <f>Y356+2</f>
        <v>204</v>
      </c>
      <c r="AA356" s="3">
        <f>IF(ISERROR(VLOOKUP($A356,'SegEnds_NonXtal_BW#'!$A:$Z,19,FALSE)+VLOOKUP($A356,A:AL,28,FALSE)-50),"-",(VLOOKUP($A356,'SegEnds_NonXtal_BW#'!$A:$Z,19,FALSE)+VLOOKUP($A356,A:AL,28,FALSE)-50))</f>
        <v>205</v>
      </c>
      <c r="AB356" s="3">
        <v>219</v>
      </c>
      <c r="AC356" s="3">
        <f>IF(ISERROR((VLOOKUP($A356,'SegEnds_NonXtal_BW#'!$A:$Z,20,FALSE)+VLOOKUP($A356,A:AL,28,FALSE)-50)),"-",(VLOOKUP($A356,'SegEnds_NonXtal_BW#'!$A:$Z,20,FALSE)+VLOOKUP($A356,A:AL,28,FALSE)-50))</f>
        <v>230</v>
      </c>
      <c r="AD356" s="3">
        <f>IF(ISERROR(VLOOKUP($A356,'SegEnds_NonXtal_BW#'!$A:$Z,21,FALSE)+VLOOKUP($A356,A:AL,31,FALSE)-50),"-",(VLOOKUP($A356,'SegEnds_NonXtal_BW#'!$A:$Z,21,FALSE)+VLOOKUP($A356,A:AL,31,FALSE)-50))</f>
        <v>241</v>
      </c>
      <c r="AE356" s="3">
        <v>258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275</v>
      </c>
      <c r="AH356" s="3">
        <v>292</v>
      </c>
      <c r="AI356" s="3">
        <f>IF(ISERROR((VLOOKUP($A356,'SegEnds_NonXtal_BW#'!$A:$Z,24,FALSE)+VLOOKUP($A356,A:AL,34,FALSE)-50)),"-",(VLOOKUP($A356,'SegEnds_NonXtal_BW#'!$A:$Z,24,FALSE)+VLOOKUP($A356,A:AL,34,FALSE)-50))</f>
        <v>306</v>
      </c>
      <c r="AJ356" s="3">
        <f>IF(ISERROR(VLOOKUP($A356,'SegEnds_NonXtal_BW#'!$A:$Z,25,FALSE)+VLOOKUP($A356,A:AL,37,FALSE)-50),"-",(VLOOKUP($A356,'SegEnds_NonXtal_BW#'!$A:$Z,25,FALSE)+VLOOKUP($A356,A:AL,37,FALSE)-50))</f>
        <v>308</v>
      </c>
      <c r="AK356" s="3">
        <v>312</v>
      </c>
      <c r="AL356" s="3">
        <v>319</v>
      </c>
      <c r="AM356" s="28" t="str">
        <f>VLOOKUP(A356,Classification!A:B,2,FALSE)</f>
        <v>C</v>
      </c>
      <c r="AN356" s="28" t="b">
        <f t="shared" si="216"/>
        <v>1</v>
      </c>
      <c r="AO356" s="3" t="str">
        <f>IF(ISERROR(MATCH(A356,'SegEnds_Xtal_Prot#'!B:B, 0)), "NoXtal", "Xtal")</f>
        <v>NoXtal</v>
      </c>
      <c r="AP356" s="3">
        <f t="shared" si="201"/>
        <v>1</v>
      </c>
      <c r="AQ356" s="3">
        <f t="shared" si="202"/>
        <v>1</v>
      </c>
      <c r="AR356" s="3" t="str">
        <f t="shared" si="203"/>
        <v>-</v>
      </c>
      <c r="AS356" s="3" t="str">
        <f t="shared" si="204"/>
        <v>-</v>
      </c>
      <c r="AT356" s="3" t="str">
        <f t="shared" si="205"/>
        <v>-</v>
      </c>
      <c r="AU356" s="3" t="str">
        <f t="shared" si="206"/>
        <v>-</v>
      </c>
      <c r="AV356" s="3">
        <f t="shared" si="207"/>
        <v>24</v>
      </c>
      <c r="AW356" s="3">
        <f t="shared" si="208"/>
        <v>1</v>
      </c>
      <c r="AX356" s="3">
        <f t="shared" si="209"/>
        <v>11</v>
      </c>
      <c r="AY356" s="3">
        <f t="shared" si="210"/>
        <v>10</v>
      </c>
      <c r="AZ356" s="3">
        <f t="shared" si="211"/>
        <v>2</v>
      </c>
      <c r="BA356" s="3">
        <f>IF(ISERROR(LEN(VLOOKUP(A356,Seqs!A:E,2,FALSE))-AL356),"-",LEN(VLOOKUP(A356,Seqs!A:E,2,FALSE))-AL356)</f>
        <v>122</v>
      </c>
      <c r="BB356" s="16">
        <f t="shared" si="212"/>
        <v>33</v>
      </c>
      <c r="BC356" s="9" t="str">
        <f t="shared" si="213"/>
        <v>-</v>
      </c>
      <c r="BD356" s="3">
        <f t="shared" si="214"/>
        <v>33</v>
      </c>
      <c r="BE356" s="3">
        <f t="shared" si="215"/>
        <v>39</v>
      </c>
    </row>
    <row r="357" spans="1:58" s="3" customFormat="1" x14ac:dyDescent="0.2">
      <c r="A357" s="3" t="s">
        <v>113</v>
      </c>
      <c r="B357" s="3" t="str">
        <f>LOWER(VLOOKUP(A357,Xtal_Templ!A:B,2,FALSE))</f>
        <v>grm1_human</v>
      </c>
      <c r="C357" s="3">
        <f>VLOOKUP($A357,'SegEnds_NonXtal_BW#'!$A:$Z,3,FALSE)+D357-50</f>
        <v>21</v>
      </c>
      <c r="D357" s="3">
        <v>37</v>
      </c>
      <c r="E357" s="3">
        <f>IF(ISERROR(VLOOKUP($A357,'SegEnds_NonXtal_BW#'!$A:$Z,4,FALSE)+VLOOKUP($A357,A:AL,4,FALSE)-50),"-",(VLOOKUP($A357,'SegEnds_NonXtal_BW#'!$A:$Z,4,FALSE)+VLOOKUP($A357,A:AL,4,FALSE)-50))</f>
        <v>47</v>
      </c>
      <c r="F357" s="3">
        <f t="shared" si="218"/>
        <v>48</v>
      </c>
      <c r="G357" s="3">
        <v>51</v>
      </c>
      <c r="H357" s="3">
        <f t="shared" si="219"/>
        <v>54</v>
      </c>
      <c r="I357" s="3">
        <f t="shared" si="220"/>
        <v>55</v>
      </c>
      <c r="J357" s="3">
        <v>70</v>
      </c>
      <c r="K357" s="3">
        <f>VLOOKUP($A357,'SegEnds_NonXtal_BW#'!$A:$Z,8,FALSE)+VLOOKUP($A357,A:AL,10,FALSE)-50</f>
        <v>81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86</v>
      </c>
      <c r="P357" s="3">
        <v>114</v>
      </c>
      <c r="Q357" s="3">
        <f>VLOOKUP($A357,'SegEnds_NonXtal_BW#'!$A:$Z,12,FALSE)+VLOOKUP($A357,A:AL,16,FALSE)-50</f>
        <v>118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125</v>
      </c>
      <c r="V357" s="3">
        <v>137</v>
      </c>
      <c r="W357" s="3">
        <f>IF(ISERROR(VLOOKUP($A357,'SegEnds_NonXtal_BW#'!$A:$Z,16,FALSE)+VLOOKUP($A357,A:AL,22,FALSE)-50),"-",(VLOOKUP($A357,'SegEnds_NonXtal_BW#'!$A:$Z,16,FALSE)+VLOOKUP($A357,A:AL,22,FALSE)-50))</f>
        <v>151</v>
      </c>
      <c r="X357" s="3">
        <f>IF(ISERROR(VLOOKUP($A357,'SegEnds_NonXtal_BW#'!$A:$Z,17,FALSE)+VLOOKUP($A357,A:AL,25,FALSE)-50),"-",(VLOOKUP($A357,'SegEnds_NonXtal_BW#'!$A:$Z,17,FALSE)+VLOOKUP($A357,A:AL,25,FALSE)-50))</f>
        <v>164</v>
      </c>
      <c r="Y357" s="105">
        <v>164</v>
      </c>
      <c r="Z357" s="3">
        <f>IF(ISERROR(VLOOKUP($A357,'SegEnds_NonXtal_BW#'!$A:$Z,18,FALSE)+VLOOKUP($A357,A:AL,25,FALSE)-50),"-",(VLOOKUP($A357,'SegEnds_NonXtal_BW#'!$A:$Z,18,FALSE)+VLOOKUP($A357,A:AL,25,FALSE)-50))</f>
        <v>166</v>
      </c>
      <c r="AA357" s="105">
        <v>167</v>
      </c>
      <c r="AB357" s="3">
        <v>180</v>
      </c>
      <c r="AC357" s="3">
        <f>IF(ISERROR((VLOOKUP($A357,'SegEnds_NonXtal_BW#'!$A:$Z,20,FALSE)+VLOOKUP($A357,A:AL,28,FALSE)-50)),"-",(VLOOKUP($A357,'SegEnds_NonXtal_BW#'!$A:$Z,20,FALSE)+VLOOKUP($A357,A:AL,28,FALSE)-50))</f>
        <v>191</v>
      </c>
      <c r="AD357" s="3">
        <f>IF(ISERROR(VLOOKUP($A357,'SegEnds_NonXtal_BW#'!$A:$Z,21,FALSE)+VLOOKUP($A357,A:AL,31,FALSE)-50),"-",(VLOOKUP($A357,'SegEnds_NonXtal_BW#'!$A:$Z,21,FALSE)+VLOOKUP($A357,A:AL,31,FALSE)-50))</f>
        <v>202</v>
      </c>
      <c r="AE357" s="3">
        <v>219</v>
      </c>
      <c r="AF357" s="3">
        <f>IF(ISERROR((VLOOKUP($A357,'SegEnds_NonXtal_BW#'!$A:$Z,22,FALSE)+VLOOKUP($A357,A:AL,31,FALSE)-50)),"-",(VLOOKUP($A357,'SegEnds_NonXtal_BW#'!$A:$Z,22,FALSE)+VLOOKUP($A357,A:AL,31,FALSE)-50))</f>
        <v>226</v>
      </c>
      <c r="AG357" s="3">
        <f>IF(ISERROR(VLOOKUP($A357,'SegEnds_NonXtal_BW#'!$A:$Z,23,FALSE)+VLOOKUP($A357,A:AL,34,FALSE)-50),"-",(VLOOKUP($A357,'SegEnds_NonXtal_BW#'!$A:$Z,23,FALSE)+VLOOKUP($A357,A:AL,34,FALSE)-50))</f>
        <v>237</v>
      </c>
      <c r="AH357" s="3">
        <v>254</v>
      </c>
      <c r="AI357" s="3">
        <f>IF(ISERROR((VLOOKUP($A357,'SegEnds_NonXtal_BW#'!$A:$Z,24,FALSE)+VLOOKUP($A357,A:AL,34,FALSE)-50)),"-",(VLOOKUP($A357,'SegEnds_NonXtal_BW#'!$A:$Z,24,FALSE)+VLOOKUP($A357,A:AL,34,FALSE)-50))</f>
        <v>268</v>
      </c>
      <c r="AJ357" s="3">
        <f>IF(ISERROR(VLOOKUP($A357,'SegEnds_NonXtal_BW#'!$A:$Z,25,FALSE)+VLOOKUP($A357,A:AL,37,FALSE)-50),"-",(VLOOKUP($A357,'SegEnds_NonXtal_BW#'!$A:$Z,25,FALSE)+VLOOKUP($A357,A:AL,37,FALSE)-50))</f>
        <v>271</v>
      </c>
      <c r="AK357" s="3">
        <v>275</v>
      </c>
      <c r="AL357" s="3">
        <v>281</v>
      </c>
      <c r="AM357" s="28" t="str">
        <f>VLOOKUP(A357,Classification!A:B,2,FALSE)</f>
        <v>C</v>
      </c>
      <c r="AN357" s="28" t="b">
        <f t="shared" si="216"/>
        <v>1</v>
      </c>
      <c r="AO357" s="3" t="str">
        <f>IF(ISERROR(MATCH(A357,'SegEnds_Xtal_Prot#'!B:B, 0)), "NoXtal", "Xtal")</f>
        <v>NoXtal</v>
      </c>
      <c r="AP357" s="3">
        <f t="shared" si="201"/>
        <v>1</v>
      </c>
      <c r="AQ357" s="3">
        <f t="shared" si="202"/>
        <v>1</v>
      </c>
      <c r="AR357" s="3" t="str">
        <f t="shared" si="203"/>
        <v>-</v>
      </c>
      <c r="AS357" s="3" t="str">
        <f t="shared" si="204"/>
        <v>-</v>
      </c>
      <c r="AT357" s="3" t="str">
        <f t="shared" si="205"/>
        <v>-</v>
      </c>
      <c r="AU357" s="3" t="str">
        <f t="shared" si="206"/>
        <v>-</v>
      </c>
      <c r="AV357" s="3">
        <f t="shared" si="207"/>
        <v>13</v>
      </c>
      <c r="AW357" s="3">
        <f t="shared" si="208"/>
        <v>1</v>
      </c>
      <c r="AX357" s="3">
        <f t="shared" si="209"/>
        <v>11</v>
      </c>
      <c r="AY357" s="3">
        <f t="shared" si="210"/>
        <v>11</v>
      </c>
      <c r="AZ357" s="3">
        <f t="shared" si="211"/>
        <v>3</v>
      </c>
      <c r="BA357" s="3">
        <f>IF(ISERROR(LEN(VLOOKUP(A357,Seqs!A:E,2,FALSE))-AL357),"-",LEN(VLOOKUP(A357,Seqs!A:E,2,FALSE))-AL357)</f>
        <v>64</v>
      </c>
      <c r="BB357" s="16">
        <f t="shared" si="212"/>
        <v>33</v>
      </c>
      <c r="BC357" s="9" t="str">
        <f t="shared" si="213"/>
        <v>-</v>
      </c>
      <c r="BD357" s="3">
        <f t="shared" si="214"/>
        <v>33</v>
      </c>
      <c r="BE357" s="3">
        <f t="shared" si="215"/>
        <v>39</v>
      </c>
    </row>
    <row r="358" spans="1:58" s="3" customFormat="1" x14ac:dyDescent="0.2">
      <c r="A358" s="3" t="s">
        <v>114</v>
      </c>
      <c r="B358" s="3" t="str">
        <f>LOWER(VLOOKUP(A358,Xtal_Templ!A:B,2,FALSE))</f>
        <v>grm1_human</v>
      </c>
      <c r="C358" s="3">
        <f>VLOOKUP($A358,'SegEnds_NonXtal_BW#'!$A:$Z,3,FALSE)+D358-50</f>
        <v>592</v>
      </c>
      <c r="D358" s="3">
        <v>608</v>
      </c>
      <c r="E358" s="3">
        <f>IF(ISERROR(VLOOKUP($A358,'SegEnds_NonXtal_BW#'!$A:$Z,4,FALSE)+VLOOKUP($A358,A:AL,4,FALSE)-50),"-",(VLOOKUP($A358,'SegEnds_NonXtal_BW#'!$A:$Z,4,FALSE)+VLOOKUP($A358,A:AL,4,FALSE)-50))</f>
        <v>618</v>
      </c>
      <c r="F358" s="3">
        <f t="shared" si="218"/>
        <v>621</v>
      </c>
      <c r="G358" s="3">
        <v>624</v>
      </c>
      <c r="H358" s="3">
        <f t="shared" si="219"/>
        <v>627</v>
      </c>
      <c r="I358" s="3">
        <f t="shared" si="220"/>
        <v>628</v>
      </c>
      <c r="J358" s="3">
        <v>640</v>
      </c>
      <c r="K358" s="3">
        <f>VLOOKUP($A358,'SegEnds_NonXtal_BW#'!$A:$Z,8,FALSE)+VLOOKUP($A358,A:AL,10,FALSE)-50</f>
        <v>651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656</v>
      </c>
      <c r="P358" s="3">
        <v>684</v>
      </c>
      <c r="Q358" s="3">
        <f>VLOOKUP($A358,'SegEnds_NonXtal_BW#'!$A:$Z,12,FALSE)+VLOOKUP($A358,A:AL,16,FALSE)-50</f>
        <v>688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700</v>
      </c>
      <c r="V358" s="3">
        <v>712</v>
      </c>
      <c r="W358" s="3">
        <f>IF(ISERROR(VLOOKUP($A358,'SegEnds_NonXtal_BW#'!$A:$Z,16,FALSE)+VLOOKUP($A358,A:AL,22,FALSE)-50),"-",(VLOOKUP($A358,'SegEnds_NonXtal_BW#'!$A:$Z,16,FALSE)+VLOOKUP($A358,A:AL,22,FALSE)-50))</f>
        <v>726</v>
      </c>
      <c r="X358" s="3">
        <f>IF(ISERROR(VLOOKUP($A358,'SegEnds_NonXtal_BW#'!$A:$Z,17,FALSE)+VLOOKUP($A358,A:AL,25,FALSE)-50),"-",(VLOOKUP($A358,'SegEnds_NonXtal_BW#'!$A:$Z,17,FALSE)+VLOOKUP($A358,A:AL,25,FALSE)-50))</f>
        <v>744</v>
      </c>
      <c r="Y358" s="3">
        <v>744</v>
      </c>
      <c r="Z358" s="3">
        <f t="shared" ref="Z358:Z366" si="221">Y358+2</f>
        <v>746</v>
      </c>
      <c r="AA358" s="3">
        <f>IF(ISERROR(VLOOKUP($A358,'SegEnds_NonXtal_BW#'!$A:$Z,19,FALSE)+VLOOKUP($A358,A:AL,28,FALSE)-50),"-",(VLOOKUP($A358,'SegEnds_NonXtal_BW#'!$A:$Z,19,FALSE)+VLOOKUP($A358,A:AL,28,FALSE)-50))</f>
        <v>748</v>
      </c>
      <c r="AB358" s="3">
        <v>762</v>
      </c>
      <c r="AC358" s="3">
        <f>IF(ISERROR((VLOOKUP($A358,'SegEnds_NonXtal_BW#'!$A:$Z,20,FALSE)+VLOOKUP($A358,A:AL,28,FALSE)-50)),"-",(VLOOKUP($A358,'SegEnds_NonXtal_BW#'!$A:$Z,20,FALSE)+VLOOKUP($A358,A:AL,28,FALSE)-50))</f>
        <v>773</v>
      </c>
      <c r="AD358" s="3">
        <f>IF(ISERROR(VLOOKUP($A358,'SegEnds_NonXtal_BW#'!$A:$Z,21,FALSE)+VLOOKUP($A358,A:AL,31,FALSE)-50),"-",(VLOOKUP($A358,'SegEnds_NonXtal_BW#'!$A:$Z,21,FALSE)+VLOOKUP($A358,A:AL,31,FALSE)-50))</f>
        <v>780</v>
      </c>
      <c r="AE358" s="3">
        <v>797</v>
      </c>
      <c r="AF358" s="3">
        <f>IF(ISERROR((VLOOKUP($A358,'SegEnds_NonXtal_BW#'!$A:$Z,22,FALSE)+VLOOKUP($A358,A:AL,31,FALSE)-50)),"-",(VLOOKUP($A358,'SegEnds_NonXtal_BW#'!$A:$Z,22,FALSE)+VLOOKUP($A358,A:AL,31,FALSE)-50))</f>
        <v>804</v>
      </c>
      <c r="AG358" s="3">
        <f>IF(ISERROR(VLOOKUP($A358,'SegEnds_NonXtal_BW#'!$A:$Z,23,FALSE)+VLOOKUP($A358,A:AL,34,FALSE)-50),"-",(VLOOKUP($A358,'SegEnds_NonXtal_BW#'!$A:$Z,23,FALSE)+VLOOKUP($A358,A:AL,34,FALSE)-50))</f>
        <v>809</v>
      </c>
      <c r="AH358" s="3">
        <v>826</v>
      </c>
      <c r="AI358" s="3">
        <f>IF(ISERROR((VLOOKUP($A358,'SegEnds_NonXtal_BW#'!$A:$Z,24,FALSE)+VLOOKUP($A358,A:AL,34,FALSE)-50)),"-",(VLOOKUP($A358,'SegEnds_NonXtal_BW#'!$A:$Z,24,FALSE)+VLOOKUP($A358,A:AL,34,FALSE)-50))</f>
        <v>840</v>
      </c>
      <c r="AJ358" s="3">
        <f>IF(ISERROR(VLOOKUP($A358,'SegEnds_NonXtal_BW#'!$A:$Z,25,FALSE)+VLOOKUP($A358,A:AL,37,FALSE)-50),"-",(VLOOKUP($A358,'SegEnds_NonXtal_BW#'!$A:$Z,25,FALSE)+VLOOKUP($A358,A:AL,37,FALSE)-50))</f>
        <v>841</v>
      </c>
      <c r="AK358" s="3">
        <v>845</v>
      </c>
      <c r="AL358" s="3">
        <f>IF(ISERROR((VLOOKUP($A358,'SegEnds_NonXtal_BW#'!$A:$Z,26,FALSE)+VLOOKUP($A358,A:AL,37,FALSE)-50)),"-",(VLOOKUP($A358,'SegEnds_NonXtal_BW#'!$A:$Z,26,FALSE)+VLOOKUP($A358,A:AL,37,FALSE)-50))</f>
        <v>852</v>
      </c>
      <c r="AM358" s="28" t="str">
        <f>VLOOKUP(A358,Classification!A:B,2,FALSE)</f>
        <v>C</v>
      </c>
      <c r="AN358" s="28" t="b">
        <f t="shared" si="216"/>
        <v>1</v>
      </c>
      <c r="AO358" s="3" t="str">
        <f>IF(ISERROR(MATCH(A358,'SegEnds_Xtal_Prot#'!B:B, 0)), "NoXtal", "Xtal")</f>
        <v>NoXtal</v>
      </c>
      <c r="AP358" s="3">
        <f t="shared" si="201"/>
        <v>3</v>
      </c>
      <c r="AQ358" s="3">
        <f t="shared" si="202"/>
        <v>1</v>
      </c>
      <c r="AR358" s="3" t="str">
        <f t="shared" si="203"/>
        <v>-</v>
      </c>
      <c r="AS358" s="3" t="str">
        <f t="shared" si="204"/>
        <v>-</v>
      </c>
      <c r="AT358" s="3" t="str">
        <f t="shared" si="205"/>
        <v>-</v>
      </c>
      <c r="AU358" s="3" t="str">
        <f t="shared" si="206"/>
        <v>-</v>
      </c>
      <c r="AV358" s="3">
        <f t="shared" si="207"/>
        <v>18</v>
      </c>
      <c r="AW358" s="3">
        <f t="shared" si="208"/>
        <v>2</v>
      </c>
      <c r="AX358" s="3">
        <f t="shared" si="209"/>
        <v>7</v>
      </c>
      <c r="AY358" s="3">
        <f t="shared" si="210"/>
        <v>5</v>
      </c>
      <c r="AZ358" s="3">
        <f t="shared" si="211"/>
        <v>1</v>
      </c>
      <c r="BA358" s="3">
        <f>IF(ISERROR(LEN(VLOOKUP(A358,Seqs!A:E,2,FALSE))-AL358),"-",LEN(VLOOKUP(A358,Seqs!A:E,2,FALSE))-AL358)</f>
        <v>74</v>
      </c>
      <c r="BB358" s="16">
        <f t="shared" si="212"/>
        <v>32</v>
      </c>
      <c r="BC358" s="9" t="str">
        <f t="shared" si="213"/>
        <v>-</v>
      </c>
      <c r="BD358" s="3">
        <f t="shared" si="214"/>
        <v>32</v>
      </c>
      <c r="BE358" s="3">
        <f t="shared" si="215"/>
        <v>35</v>
      </c>
    </row>
    <row r="359" spans="1:58" s="3" customFormat="1" x14ac:dyDescent="0.2">
      <c r="A359" s="3" t="s">
        <v>40</v>
      </c>
      <c r="B359" s="3" t="str">
        <f>LOWER(VLOOKUP(A359,Xtal_Templ!A:B,2,FALSE))</f>
        <v>grm1_human</v>
      </c>
      <c r="C359" s="3">
        <f>VLOOKUP($A359,'SegEnds_NonXtal_BW#'!$A:$Z,3,FALSE)+D359-50</f>
        <v>591</v>
      </c>
      <c r="D359" s="3">
        <v>607</v>
      </c>
      <c r="E359" s="3">
        <f>IF(ISERROR(VLOOKUP($A359,'SegEnds_NonXtal_BW#'!$A:$Z,4,FALSE)+VLOOKUP($A359,A:AL,4,FALSE)-50),"-",(VLOOKUP($A359,'SegEnds_NonXtal_BW#'!$A:$Z,4,FALSE)+VLOOKUP($A359,A:AL,4,FALSE)-50))</f>
        <v>617</v>
      </c>
      <c r="F359" s="3">
        <f t="shared" si="218"/>
        <v>620</v>
      </c>
      <c r="G359" s="3">
        <v>623</v>
      </c>
      <c r="H359" s="3">
        <f t="shared" si="219"/>
        <v>626</v>
      </c>
      <c r="I359" s="3">
        <f t="shared" si="220"/>
        <v>627</v>
      </c>
      <c r="J359" s="3">
        <v>638</v>
      </c>
      <c r="K359" s="3">
        <f>VLOOKUP($A359,'SegEnds_NonXtal_BW#'!$A:$Z,8,FALSE)+VLOOKUP($A359,A:AL,10,FALSE)-50</f>
        <v>649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654</v>
      </c>
      <c r="P359" s="3">
        <v>682</v>
      </c>
      <c r="Q359" s="3">
        <f>VLOOKUP($A359,'SegEnds_NonXtal_BW#'!$A:$Z,12,FALSE)+VLOOKUP($A359,A:AL,16,FALSE)-50</f>
        <v>686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702</v>
      </c>
      <c r="V359" s="3">
        <v>714</v>
      </c>
      <c r="W359" s="3">
        <f>IF(ISERROR(VLOOKUP($A359,'SegEnds_NonXtal_BW#'!$A:$Z,16,FALSE)+VLOOKUP($A359,A:AL,22,FALSE)-50),"-",(VLOOKUP($A359,'SegEnds_NonXtal_BW#'!$A:$Z,16,FALSE)+VLOOKUP($A359,A:AL,22,FALSE)-50))</f>
        <v>728</v>
      </c>
      <c r="X359" s="3">
        <f>IF(ISERROR(VLOOKUP($A359,'SegEnds_NonXtal_BW#'!$A:$Z,17,FALSE)+VLOOKUP($A359,A:AL,25,FALSE)-50),"-",(VLOOKUP($A359,'SegEnds_NonXtal_BW#'!$A:$Z,17,FALSE)+VLOOKUP($A359,A:AL,25,FALSE)-50))</f>
        <v>746</v>
      </c>
      <c r="Y359" s="3">
        <v>746</v>
      </c>
      <c r="Z359" s="3">
        <f t="shared" si="221"/>
        <v>748</v>
      </c>
      <c r="AA359" s="3">
        <f>IF(ISERROR(VLOOKUP($A359,'SegEnds_NonXtal_BW#'!$A:$Z,19,FALSE)+VLOOKUP($A359,A:AL,28,FALSE)-50),"-",(VLOOKUP($A359,'SegEnds_NonXtal_BW#'!$A:$Z,19,FALSE)+VLOOKUP($A359,A:AL,28,FALSE)-50))</f>
        <v>749</v>
      </c>
      <c r="AB359" s="3">
        <v>763</v>
      </c>
      <c r="AC359" s="3">
        <f>IF(ISERROR((VLOOKUP($A359,'SegEnds_NonXtal_BW#'!$A:$Z,20,FALSE)+VLOOKUP($A359,A:AL,28,FALSE)-50)),"-",(VLOOKUP($A359,'SegEnds_NonXtal_BW#'!$A:$Z,20,FALSE)+VLOOKUP($A359,A:AL,28,FALSE)-50))</f>
        <v>774</v>
      </c>
      <c r="AD359" s="3">
        <f>IF(ISERROR(VLOOKUP($A359,'SegEnds_NonXtal_BW#'!$A:$Z,21,FALSE)+VLOOKUP($A359,A:AL,31,FALSE)-50),"-",(VLOOKUP($A359,'SegEnds_NonXtal_BW#'!$A:$Z,21,FALSE)+VLOOKUP($A359,A:AL,31,FALSE)-50))</f>
        <v>783</v>
      </c>
      <c r="AE359" s="3">
        <v>800</v>
      </c>
      <c r="AF359" s="3">
        <f>IF(ISERROR((VLOOKUP($A359,'SegEnds_NonXtal_BW#'!$A:$Z,22,FALSE)+VLOOKUP($A359,A:AL,31,FALSE)-50)),"-",(VLOOKUP($A359,'SegEnds_NonXtal_BW#'!$A:$Z,22,FALSE)+VLOOKUP($A359,A:AL,31,FALSE)-50))</f>
        <v>807</v>
      </c>
      <c r="AG359" s="3">
        <f>IF(ISERROR(VLOOKUP($A359,'SegEnds_NonXtal_BW#'!$A:$Z,23,FALSE)+VLOOKUP($A359,A:AL,34,FALSE)-50),"-",(VLOOKUP($A359,'SegEnds_NonXtal_BW#'!$A:$Z,23,FALSE)+VLOOKUP($A359,A:AL,34,FALSE)-50))</f>
        <v>810</v>
      </c>
      <c r="AH359" s="3">
        <v>827</v>
      </c>
      <c r="AI359" s="3">
        <f>IF(ISERROR((VLOOKUP($A359,'SegEnds_NonXtal_BW#'!$A:$Z,24,FALSE)+VLOOKUP($A359,A:AL,34,FALSE)-50)),"-",(VLOOKUP($A359,'SegEnds_NonXtal_BW#'!$A:$Z,24,FALSE)+VLOOKUP($A359,A:AL,34,FALSE)-50))</f>
        <v>841</v>
      </c>
      <c r="AJ359" s="3">
        <f>IF(ISERROR(VLOOKUP($A359,'SegEnds_NonXtal_BW#'!$A:$Z,25,FALSE)+VLOOKUP($A359,A:AL,37,FALSE)-50),"-",(VLOOKUP($A359,'SegEnds_NonXtal_BW#'!$A:$Z,25,FALSE)+VLOOKUP($A359,A:AL,37,FALSE)-50))</f>
        <v>842</v>
      </c>
      <c r="AK359" s="3">
        <v>846</v>
      </c>
      <c r="AL359" s="3">
        <f>IF(ISERROR((VLOOKUP($A359,'SegEnds_NonXtal_BW#'!$A:$Z,26,FALSE)+VLOOKUP($A359,A:AL,37,FALSE)-50)),"-",(VLOOKUP($A359,'SegEnds_NonXtal_BW#'!$A:$Z,26,FALSE)+VLOOKUP($A359,A:AL,37,FALSE)-50))</f>
        <v>853</v>
      </c>
      <c r="AM359" s="28" t="str">
        <f>VLOOKUP(A359,Classification!A:B,2,FALSE)</f>
        <v>C</v>
      </c>
      <c r="AN359" s="28" t="b">
        <f t="shared" si="216"/>
        <v>1</v>
      </c>
      <c r="AO359" s="3" t="str">
        <f>IF(ISERROR(MATCH(A359,'SegEnds_Xtal_Prot#'!B:B, 0)), "NoXtal", "Xtal")</f>
        <v>Xtal</v>
      </c>
      <c r="AP359" s="3">
        <f t="shared" si="201"/>
        <v>3</v>
      </c>
      <c r="AQ359" s="3">
        <f t="shared" si="202"/>
        <v>1</v>
      </c>
      <c r="AR359" s="3" t="str">
        <f t="shared" si="203"/>
        <v>-</v>
      </c>
      <c r="AS359" s="3" t="str">
        <f t="shared" si="204"/>
        <v>-</v>
      </c>
      <c r="AT359" s="3" t="str">
        <f t="shared" si="205"/>
        <v>-</v>
      </c>
      <c r="AU359" s="3" t="str">
        <f t="shared" si="206"/>
        <v>-</v>
      </c>
      <c r="AV359" s="3">
        <f t="shared" si="207"/>
        <v>18</v>
      </c>
      <c r="AW359" s="3">
        <f t="shared" si="208"/>
        <v>1</v>
      </c>
      <c r="AX359" s="3">
        <f t="shared" si="209"/>
        <v>9</v>
      </c>
      <c r="AY359" s="3">
        <f t="shared" si="210"/>
        <v>3</v>
      </c>
      <c r="AZ359" s="3">
        <f t="shared" si="211"/>
        <v>1</v>
      </c>
      <c r="BA359" s="3">
        <f>IF(ISERROR(LEN(VLOOKUP(A359,Seqs!A:E,2,FALSE))-AL359),"-",LEN(VLOOKUP(A359,Seqs!A:E,2,FALSE))-AL359)</f>
        <v>341</v>
      </c>
      <c r="BB359" s="16">
        <f t="shared" si="212"/>
        <v>31</v>
      </c>
      <c r="BC359" s="9" t="str">
        <f t="shared" si="213"/>
        <v>-</v>
      </c>
      <c r="BD359" s="3">
        <f t="shared" si="214"/>
        <v>31</v>
      </c>
      <c r="BE359" s="3">
        <f t="shared" si="215"/>
        <v>37</v>
      </c>
    </row>
    <row r="360" spans="1:58" s="3" customFormat="1" x14ac:dyDescent="0.2">
      <c r="A360" s="3" t="s">
        <v>115</v>
      </c>
      <c r="B360" s="3" t="str">
        <f>LOWER(VLOOKUP(A360,Xtal_Templ!A:B,2,FALSE))</f>
        <v>grm1_human</v>
      </c>
      <c r="C360" s="3">
        <f>VLOOKUP($A360,'SegEnds_NonXtal_BW#'!$A:$Z,3,FALSE)+D360-50</f>
        <v>566</v>
      </c>
      <c r="D360" s="3">
        <v>582</v>
      </c>
      <c r="E360" s="3">
        <f>IF(ISERROR(VLOOKUP($A360,'SegEnds_NonXtal_BW#'!$A:$Z,4,FALSE)+VLOOKUP($A360,A:AL,4,FALSE)-50),"-",(VLOOKUP($A360,'SegEnds_NonXtal_BW#'!$A:$Z,4,FALSE)+VLOOKUP($A360,A:AL,4,FALSE)-50))</f>
        <v>592</v>
      </c>
      <c r="F360" s="3">
        <f t="shared" si="218"/>
        <v>595</v>
      </c>
      <c r="G360" s="3">
        <v>598</v>
      </c>
      <c r="H360" s="3">
        <f t="shared" si="219"/>
        <v>601</v>
      </c>
      <c r="I360" s="3">
        <f t="shared" si="220"/>
        <v>602</v>
      </c>
      <c r="J360" s="3">
        <v>613</v>
      </c>
      <c r="K360" s="3">
        <f>VLOOKUP($A360,'SegEnds_NonXtal_BW#'!$A:$Z,8,FALSE)+VLOOKUP($A360,A:AL,10,FALSE)-50</f>
        <v>624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629</v>
      </c>
      <c r="P360" s="3">
        <v>657</v>
      </c>
      <c r="Q360" s="3">
        <f>VLOOKUP($A360,'SegEnds_NonXtal_BW#'!$A:$Z,12,FALSE)+VLOOKUP($A360,A:AL,16,FALSE)-50</f>
        <v>661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675</v>
      </c>
      <c r="V360" s="3">
        <v>687</v>
      </c>
      <c r="W360" s="3">
        <f>IF(ISERROR(VLOOKUP($A360,'SegEnds_NonXtal_BW#'!$A:$Z,16,FALSE)+VLOOKUP($A360,A:AL,22,FALSE)-50),"-",(VLOOKUP($A360,'SegEnds_NonXtal_BW#'!$A:$Z,16,FALSE)+VLOOKUP($A360,A:AL,22,FALSE)-50))</f>
        <v>701</v>
      </c>
      <c r="X360" s="3">
        <f>IF(ISERROR(VLOOKUP($A360,'SegEnds_NonXtal_BW#'!$A:$Z,17,FALSE)+VLOOKUP($A360,A:AL,25,FALSE)-50),"-",(VLOOKUP($A360,'SegEnds_NonXtal_BW#'!$A:$Z,17,FALSE)+VLOOKUP($A360,A:AL,25,FALSE)-50))</f>
        <v>721</v>
      </c>
      <c r="Y360" s="3">
        <v>721</v>
      </c>
      <c r="Z360" s="3">
        <f t="shared" si="221"/>
        <v>723</v>
      </c>
      <c r="AA360" s="3">
        <f>IF(ISERROR(VLOOKUP($A360,'SegEnds_NonXtal_BW#'!$A:$Z,19,FALSE)+VLOOKUP($A360,A:AL,28,FALSE)-50),"-",(VLOOKUP($A360,'SegEnds_NonXtal_BW#'!$A:$Z,19,FALSE)+VLOOKUP($A360,A:AL,28,FALSE)-50))</f>
        <v>724</v>
      </c>
      <c r="AB360" s="3">
        <v>738</v>
      </c>
      <c r="AC360" s="3">
        <f>IF(ISERROR((VLOOKUP($A360,'SegEnds_NonXtal_BW#'!$A:$Z,20,FALSE)+VLOOKUP($A360,A:AL,28,FALSE)-50)),"-",(VLOOKUP($A360,'SegEnds_NonXtal_BW#'!$A:$Z,20,FALSE)+VLOOKUP($A360,A:AL,28,FALSE)-50))</f>
        <v>749</v>
      </c>
      <c r="AD360" s="3">
        <f>IF(ISERROR(VLOOKUP($A360,'SegEnds_NonXtal_BW#'!$A:$Z,21,FALSE)+VLOOKUP($A360,A:AL,31,FALSE)-50),"-",(VLOOKUP($A360,'SegEnds_NonXtal_BW#'!$A:$Z,21,FALSE)+VLOOKUP($A360,A:AL,31,FALSE)-50))</f>
        <v>758</v>
      </c>
      <c r="AE360" s="3">
        <v>775</v>
      </c>
      <c r="AF360" s="3">
        <f>IF(ISERROR((VLOOKUP($A360,'SegEnds_NonXtal_BW#'!$A:$Z,22,FALSE)+VLOOKUP($A360,A:AL,31,FALSE)-50)),"-",(VLOOKUP($A360,'SegEnds_NonXtal_BW#'!$A:$Z,22,FALSE)+VLOOKUP($A360,A:AL,31,FALSE)-50))</f>
        <v>782</v>
      </c>
      <c r="AG360" s="3">
        <f>IF(ISERROR(VLOOKUP($A360,'SegEnds_NonXtal_BW#'!$A:$Z,23,FALSE)+VLOOKUP($A360,A:AL,34,FALSE)-50),"-",(VLOOKUP($A360,'SegEnds_NonXtal_BW#'!$A:$Z,23,FALSE)+VLOOKUP($A360,A:AL,34,FALSE)-50))</f>
        <v>789</v>
      </c>
      <c r="AH360" s="3">
        <v>806</v>
      </c>
      <c r="AI360" s="3">
        <f>IF(ISERROR((VLOOKUP($A360,'SegEnds_NonXtal_BW#'!$A:$Z,24,FALSE)+VLOOKUP($A360,A:AL,34,FALSE)-50)),"-",(VLOOKUP($A360,'SegEnds_NonXtal_BW#'!$A:$Z,24,FALSE)+VLOOKUP($A360,A:AL,34,FALSE)-50))</f>
        <v>820</v>
      </c>
      <c r="AJ360" s="3">
        <f>IF(ISERROR(VLOOKUP($A360,'SegEnds_NonXtal_BW#'!$A:$Z,25,FALSE)+VLOOKUP($A360,A:AL,37,FALSE)-50),"-",(VLOOKUP($A360,'SegEnds_NonXtal_BW#'!$A:$Z,25,FALSE)+VLOOKUP($A360,A:AL,37,FALSE)-50))</f>
        <v>821</v>
      </c>
      <c r="AK360" s="3">
        <v>825</v>
      </c>
      <c r="AL360" s="3">
        <f>IF(ISERROR((VLOOKUP($A360,'SegEnds_NonXtal_BW#'!$A:$Z,26,FALSE)+VLOOKUP($A360,A:AL,37,FALSE)-50)),"-",(VLOOKUP($A360,'SegEnds_NonXtal_BW#'!$A:$Z,26,FALSE)+VLOOKUP($A360,A:AL,37,FALSE)-50))</f>
        <v>832</v>
      </c>
      <c r="AM360" s="28" t="str">
        <f>VLOOKUP(A360,Classification!A:B,2,FALSE)</f>
        <v>C</v>
      </c>
      <c r="AN360" s="28" t="b">
        <f t="shared" si="216"/>
        <v>1</v>
      </c>
      <c r="AO360" s="3" t="str">
        <f>IF(ISERROR(MATCH(A360,'SegEnds_Xtal_Prot#'!B:B, 0)), "NoXtal", "Xtal")</f>
        <v>NoXtal</v>
      </c>
      <c r="AP360" s="3">
        <f t="shared" si="201"/>
        <v>3</v>
      </c>
      <c r="AQ360" s="3">
        <f t="shared" si="202"/>
        <v>1</v>
      </c>
      <c r="AR360" s="3" t="str">
        <f t="shared" si="203"/>
        <v>-</v>
      </c>
      <c r="AS360" s="3" t="str">
        <f t="shared" si="204"/>
        <v>-</v>
      </c>
      <c r="AT360" s="3" t="str">
        <f t="shared" si="205"/>
        <v>-</v>
      </c>
      <c r="AU360" s="3" t="str">
        <f t="shared" si="206"/>
        <v>-</v>
      </c>
      <c r="AV360" s="3">
        <f t="shared" si="207"/>
        <v>20</v>
      </c>
      <c r="AW360" s="3">
        <f t="shared" si="208"/>
        <v>1</v>
      </c>
      <c r="AX360" s="3">
        <f t="shared" si="209"/>
        <v>9</v>
      </c>
      <c r="AY360" s="3">
        <f t="shared" si="210"/>
        <v>7</v>
      </c>
      <c r="AZ360" s="3">
        <f t="shared" si="211"/>
        <v>1</v>
      </c>
      <c r="BA360" s="3">
        <f>IF(ISERROR(LEN(VLOOKUP(A360,Seqs!A:E,2,FALSE))-AL360),"-",LEN(VLOOKUP(A360,Seqs!A:E,2,FALSE))-AL360)</f>
        <v>40</v>
      </c>
      <c r="BB360" s="16">
        <f t="shared" si="212"/>
        <v>31</v>
      </c>
      <c r="BC360" s="9" t="str">
        <f t="shared" si="213"/>
        <v>-</v>
      </c>
      <c r="BD360" s="3">
        <f t="shared" si="214"/>
        <v>31</v>
      </c>
      <c r="BE360" s="3">
        <f t="shared" si="215"/>
        <v>37</v>
      </c>
    </row>
    <row r="361" spans="1:58" s="3" customFormat="1" x14ac:dyDescent="0.2">
      <c r="A361" s="3" t="s">
        <v>116</v>
      </c>
      <c r="B361" s="3" t="str">
        <f>LOWER(VLOOKUP(A361,Xtal_Templ!A:B,2,FALSE))</f>
        <v>grm5_human</v>
      </c>
      <c r="C361" s="3">
        <f>VLOOKUP($A361,'SegEnds_NonXtal_BW#'!$A:$Z,3,FALSE)+D361-50</f>
        <v>575</v>
      </c>
      <c r="D361" s="3">
        <v>591</v>
      </c>
      <c r="E361" s="3">
        <f>IF(ISERROR(VLOOKUP($A361,'SegEnds_NonXtal_BW#'!$A:$Z,4,FALSE)+VLOOKUP($A361,A:AL,4,FALSE)-50),"-",(VLOOKUP($A361,'SegEnds_NonXtal_BW#'!$A:$Z,4,FALSE)+VLOOKUP($A361,A:AL,4,FALSE)-50))</f>
        <v>601</v>
      </c>
      <c r="F361" s="3">
        <f t="shared" si="218"/>
        <v>604</v>
      </c>
      <c r="G361" s="3">
        <v>607</v>
      </c>
      <c r="H361" s="3">
        <f t="shared" si="219"/>
        <v>610</v>
      </c>
      <c r="I361" s="3">
        <f t="shared" si="220"/>
        <v>611</v>
      </c>
      <c r="J361" s="3">
        <v>622</v>
      </c>
      <c r="K361" s="3">
        <f>VLOOKUP($A361,'SegEnds_NonXtal_BW#'!$A:$Z,8,FALSE)+VLOOKUP($A361,A:AL,10,FALSE)-50</f>
        <v>633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637</v>
      </c>
      <c r="P361" s="3">
        <v>666</v>
      </c>
      <c r="Q361" s="3">
        <f>VLOOKUP($A361,'SegEnds_NonXtal_BW#'!$A:$Z,12,FALSE)+VLOOKUP($A361,A:AL,16,FALSE)-50</f>
        <v>670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684</v>
      </c>
      <c r="V361" s="3">
        <v>696</v>
      </c>
      <c r="W361" s="3">
        <f>IF(ISERROR(VLOOKUP($A361,'SegEnds_NonXtal_BW#'!$A:$Z,16,FALSE)+VLOOKUP($A361,A:AL,22,FALSE)-50),"-",(VLOOKUP($A361,'SegEnds_NonXtal_BW#'!$A:$Z,16,FALSE)+VLOOKUP($A361,A:AL,22,FALSE)-50))</f>
        <v>710</v>
      </c>
      <c r="X361" s="3">
        <f>IF(ISERROR(VLOOKUP($A361,'SegEnds_NonXtal_BW#'!$A:$Z,17,FALSE)+VLOOKUP($A361,A:AL,25,FALSE)-50),"-",(VLOOKUP($A361,'SegEnds_NonXtal_BW#'!$A:$Z,17,FALSE)+VLOOKUP($A361,A:AL,25,FALSE)-50))</f>
        <v>730</v>
      </c>
      <c r="Y361" s="3">
        <v>730</v>
      </c>
      <c r="Z361" s="3">
        <f t="shared" si="221"/>
        <v>732</v>
      </c>
      <c r="AA361" s="3">
        <f>IF(ISERROR(VLOOKUP($A361,'SegEnds_NonXtal_BW#'!$A:$Z,19,FALSE)+VLOOKUP($A361,A:AL,28,FALSE)-50),"-",(VLOOKUP($A361,'SegEnds_NonXtal_BW#'!$A:$Z,19,FALSE)+VLOOKUP($A361,A:AL,28,FALSE)-50))</f>
        <v>733</v>
      </c>
      <c r="AB361" s="3">
        <v>747</v>
      </c>
      <c r="AC361" s="3">
        <f>IF(ISERROR((VLOOKUP($A361,'SegEnds_NonXtal_BW#'!$A:$Z,20,FALSE)+VLOOKUP($A361,A:AL,28,FALSE)-50)),"-",(VLOOKUP($A361,'SegEnds_NonXtal_BW#'!$A:$Z,20,FALSE)+VLOOKUP($A361,A:AL,28,FALSE)-50))</f>
        <v>758</v>
      </c>
      <c r="AD361" s="3">
        <f>IF(ISERROR(VLOOKUP($A361,'SegEnds_NonXtal_BW#'!$A:$Z,21,FALSE)+VLOOKUP($A361,A:AL,31,FALSE)-50),"-",(VLOOKUP($A361,'SegEnds_NonXtal_BW#'!$A:$Z,21,FALSE)+VLOOKUP($A361,A:AL,31,FALSE)-50))</f>
        <v>767</v>
      </c>
      <c r="AE361" s="3">
        <v>784</v>
      </c>
      <c r="AF361" s="3">
        <f>IF(ISERROR((VLOOKUP($A361,'SegEnds_NonXtal_BW#'!$A:$Z,22,FALSE)+VLOOKUP($A361,A:AL,31,FALSE)-50)),"-",(VLOOKUP($A361,'SegEnds_NonXtal_BW#'!$A:$Z,22,FALSE)+VLOOKUP($A361,A:AL,31,FALSE)-50))</f>
        <v>791</v>
      </c>
      <c r="AG361" s="3">
        <f>IF(ISERROR(VLOOKUP($A361,'SegEnds_NonXtal_BW#'!$A:$Z,23,FALSE)+VLOOKUP($A361,A:AL,34,FALSE)-50),"-",(VLOOKUP($A361,'SegEnds_NonXtal_BW#'!$A:$Z,23,FALSE)+VLOOKUP($A361,A:AL,34,FALSE)-50))</f>
        <v>798</v>
      </c>
      <c r="AH361" s="3">
        <v>815</v>
      </c>
      <c r="AI361" s="3">
        <f>IF(ISERROR((VLOOKUP($A361,'SegEnds_NonXtal_BW#'!$A:$Z,24,FALSE)+VLOOKUP($A361,A:AL,34,FALSE)-50)),"-",(VLOOKUP($A361,'SegEnds_NonXtal_BW#'!$A:$Z,24,FALSE)+VLOOKUP($A361,A:AL,34,FALSE)-50))</f>
        <v>829</v>
      </c>
      <c r="AJ361" s="3">
        <f>IF(ISERROR(VLOOKUP($A361,'SegEnds_NonXtal_BW#'!$A:$Z,25,FALSE)+VLOOKUP($A361,A:AL,37,FALSE)-50),"-",(VLOOKUP($A361,'SegEnds_NonXtal_BW#'!$A:$Z,25,FALSE)+VLOOKUP($A361,A:AL,37,FALSE)-50))</f>
        <v>830</v>
      </c>
      <c r="AK361" s="3">
        <v>834</v>
      </c>
      <c r="AL361" s="3">
        <f>IF(ISERROR((VLOOKUP($A361,'SegEnds_NonXtal_BW#'!$A:$Z,26,FALSE)+VLOOKUP($A361,A:AL,37,FALSE)-50)),"-",(VLOOKUP($A361,'SegEnds_NonXtal_BW#'!$A:$Z,26,FALSE)+VLOOKUP($A361,A:AL,37,FALSE)-50))</f>
        <v>841</v>
      </c>
      <c r="AM361" s="28" t="str">
        <f>VLOOKUP(A361,Classification!A:B,2,FALSE)</f>
        <v>C</v>
      </c>
      <c r="AN361" s="28" t="b">
        <f t="shared" si="216"/>
        <v>1</v>
      </c>
      <c r="AO361" s="3" t="str">
        <f>IF(ISERROR(MATCH(A361,'SegEnds_Xtal_Prot#'!B:B, 0)), "NoXtal", "Xtal")</f>
        <v>NoXtal</v>
      </c>
      <c r="AP361" s="3">
        <f t="shared" si="201"/>
        <v>3</v>
      </c>
      <c r="AQ361" s="3">
        <f t="shared" si="202"/>
        <v>1</v>
      </c>
      <c r="AR361" s="3" t="str">
        <f t="shared" si="203"/>
        <v>-</v>
      </c>
      <c r="AS361" s="3" t="str">
        <f t="shared" si="204"/>
        <v>-</v>
      </c>
      <c r="AT361" s="3" t="str">
        <f t="shared" si="205"/>
        <v>-</v>
      </c>
      <c r="AU361" s="3" t="str">
        <f t="shared" si="206"/>
        <v>-</v>
      </c>
      <c r="AV361" s="3">
        <f t="shared" si="207"/>
        <v>20</v>
      </c>
      <c r="AW361" s="3">
        <f t="shared" si="208"/>
        <v>1</v>
      </c>
      <c r="AX361" s="3">
        <f t="shared" si="209"/>
        <v>9</v>
      </c>
      <c r="AY361" s="3">
        <f t="shared" si="210"/>
        <v>7</v>
      </c>
      <c r="AZ361" s="3">
        <f t="shared" si="211"/>
        <v>1</v>
      </c>
      <c r="BA361" s="3">
        <f>IF(ISERROR(LEN(VLOOKUP(A361,Seqs!A:E,2,FALSE))-AL361),"-",LEN(VLOOKUP(A361,Seqs!A:E,2,FALSE))-AL361)</f>
        <v>38</v>
      </c>
      <c r="BB361" s="16">
        <f t="shared" si="212"/>
        <v>31</v>
      </c>
      <c r="BC361" s="9" t="str">
        <f t="shared" si="213"/>
        <v>-</v>
      </c>
      <c r="BD361" s="3">
        <f t="shared" si="214"/>
        <v>31</v>
      </c>
      <c r="BE361" s="3">
        <f t="shared" si="215"/>
        <v>37</v>
      </c>
    </row>
    <row r="362" spans="1:58" s="3" customFormat="1" x14ac:dyDescent="0.2">
      <c r="A362" s="3" t="s">
        <v>117</v>
      </c>
      <c r="B362" s="3" t="str">
        <f>LOWER(VLOOKUP(A362,Xtal_Templ!A:B,2,FALSE))</f>
        <v>grm5_human</v>
      </c>
      <c r="C362" s="3">
        <f>VLOOKUP($A362,'SegEnds_NonXtal_BW#'!$A:$Z,3,FALSE)+D362-50</f>
        <v>586</v>
      </c>
      <c r="D362" s="3">
        <v>602</v>
      </c>
      <c r="E362" s="3">
        <f>IF(ISERROR(VLOOKUP($A362,'SegEnds_NonXtal_BW#'!$A:$Z,4,FALSE)+VLOOKUP($A362,A:AL,4,FALSE)-50),"-",(VLOOKUP($A362,'SegEnds_NonXtal_BW#'!$A:$Z,4,FALSE)+VLOOKUP($A362,A:AL,4,FALSE)-50))</f>
        <v>612</v>
      </c>
      <c r="F362" s="3">
        <f t="shared" si="218"/>
        <v>615</v>
      </c>
      <c r="G362" s="3">
        <v>618</v>
      </c>
      <c r="H362" s="3">
        <f t="shared" si="219"/>
        <v>621</v>
      </c>
      <c r="I362" s="3">
        <f t="shared" si="220"/>
        <v>622</v>
      </c>
      <c r="J362" s="3">
        <v>633</v>
      </c>
      <c r="K362" s="3">
        <f>VLOOKUP($A362,'SegEnds_NonXtal_BW#'!$A:$Z,8,FALSE)+VLOOKUP($A362,A:AL,10,FALSE)-50</f>
        <v>644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648</v>
      </c>
      <c r="P362" s="3">
        <v>677</v>
      </c>
      <c r="Q362" s="3">
        <f>VLOOKUP($A362,'SegEnds_NonXtal_BW#'!$A:$Z,12,FALSE)+VLOOKUP($A362,A:AL,16,FALSE)-50</f>
        <v>681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695</v>
      </c>
      <c r="V362" s="3">
        <v>707</v>
      </c>
      <c r="W362" s="3">
        <f>IF(ISERROR(VLOOKUP($A362,'SegEnds_NonXtal_BW#'!$A:$Z,16,FALSE)+VLOOKUP($A362,A:AL,22,FALSE)-50),"-",(VLOOKUP($A362,'SegEnds_NonXtal_BW#'!$A:$Z,16,FALSE)+VLOOKUP($A362,A:AL,22,FALSE)-50))</f>
        <v>721</v>
      </c>
      <c r="X362" s="3">
        <f>IF(ISERROR(VLOOKUP($A362,'SegEnds_NonXtal_BW#'!$A:$Z,17,FALSE)+VLOOKUP($A362,A:AL,25,FALSE)-50),"-",(VLOOKUP($A362,'SegEnds_NonXtal_BW#'!$A:$Z,17,FALSE)+VLOOKUP($A362,A:AL,25,FALSE)-50))</f>
        <v>746</v>
      </c>
      <c r="Y362" s="3">
        <v>746</v>
      </c>
      <c r="Z362" s="3">
        <f t="shared" si="221"/>
        <v>748</v>
      </c>
      <c r="AA362" s="3">
        <f>IF(ISERROR(VLOOKUP($A362,'SegEnds_NonXtal_BW#'!$A:$Z,19,FALSE)+VLOOKUP($A362,A:AL,28,FALSE)-50),"-",(VLOOKUP($A362,'SegEnds_NonXtal_BW#'!$A:$Z,19,FALSE)+VLOOKUP($A362,A:AL,28,FALSE)-50))</f>
        <v>749</v>
      </c>
      <c r="AB362" s="3">
        <v>763</v>
      </c>
      <c r="AC362" s="3">
        <f>IF(ISERROR((VLOOKUP($A362,'SegEnds_NonXtal_BW#'!$A:$Z,20,FALSE)+VLOOKUP($A362,A:AL,28,FALSE)-50)),"-",(VLOOKUP($A362,'SegEnds_NonXtal_BW#'!$A:$Z,20,FALSE)+VLOOKUP($A362,A:AL,28,FALSE)-50))</f>
        <v>774</v>
      </c>
      <c r="AD362" s="3">
        <f>IF(ISERROR(VLOOKUP($A362,'SegEnds_NonXtal_BW#'!$A:$Z,21,FALSE)+VLOOKUP($A362,A:AL,31,FALSE)-50),"-",(VLOOKUP($A362,'SegEnds_NonXtal_BW#'!$A:$Z,21,FALSE)+VLOOKUP($A362,A:AL,31,FALSE)-50))</f>
        <v>783</v>
      </c>
      <c r="AE362" s="3">
        <v>800</v>
      </c>
      <c r="AF362" s="3">
        <f>IF(ISERROR((VLOOKUP($A362,'SegEnds_NonXtal_BW#'!$A:$Z,22,FALSE)+VLOOKUP($A362,A:AL,31,FALSE)-50)),"-",(VLOOKUP($A362,'SegEnds_NonXtal_BW#'!$A:$Z,22,FALSE)+VLOOKUP($A362,A:AL,31,FALSE)-50))</f>
        <v>807</v>
      </c>
      <c r="AG362" s="3">
        <f>IF(ISERROR(VLOOKUP($A362,'SegEnds_NonXtal_BW#'!$A:$Z,23,FALSE)+VLOOKUP($A362,A:AL,34,FALSE)-50),"-",(VLOOKUP($A362,'SegEnds_NonXtal_BW#'!$A:$Z,23,FALSE)+VLOOKUP($A362,A:AL,34,FALSE)-50))</f>
        <v>817</v>
      </c>
      <c r="AH362" s="3">
        <v>834</v>
      </c>
      <c r="AI362" s="3">
        <f>IF(ISERROR((VLOOKUP($A362,'SegEnds_NonXtal_BW#'!$A:$Z,24,FALSE)+VLOOKUP($A362,A:AL,34,FALSE)-50)),"-",(VLOOKUP($A362,'SegEnds_NonXtal_BW#'!$A:$Z,24,FALSE)+VLOOKUP($A362,A:AL,34,FALSE)-50))</f>
        <v>848</v>
      </c>
      <c r="AJ362" s="3">
        <f>IF(ISERROR(VLOOKUP($A362,'SegEnds_NonXtal_BW#'!$A:$Z,25,FALSE)+VLOOKUP($A362,A:AL,37,FALSE)-50),"-",(VLOOKUP($A362,'SegEnds_NonXtal_BW#'!$A:$Z,25,FALSE)+VLOOKUP($A362,A:AL,37,FALSE)-50))</f>
        <v>849</v>
      </c>
      <c r="AK362" s="3">
        <v>853</v>
      </c>
      <c r="AL362" s="3">
        <f>IF(ISERROR((VLOOKUP($A362,'SegEnds_NonXtal_BW#'!$A:$Z,26,FALSE)+VLOOKUP($A362,A:AL,37,FALSE)-50)),"-",(VLOOKUP($A362,'SegEnds_NonXtal_BW#'!$A:$Z,26,FALSE)+VLOOKUP($A362,A:AL,37,FALSE)-50))</f>
        <v>860</v>
      </c>
      <c r="AM362" s="28" t="str">
        <f>VLOOKUP(A362,Classification!A:B,2,FALSE)</f>
        <v>C</v>
      </c>
      <c r="AN362" s="28" t="b">
        <f t="shared" si="216"/>
        <v>1</v>
      </c>
      <c r="AO362" s="3" t="str">
        <f>IF(ISERROR(MATCH(A362,'SegEnds_Xtal_Prot#'!B:B, 0)), "NoXtal", "Xtal")</f>
        <v>NoXtal</v>
      </c>
      <c r="AP362" s="3">
        <f t="shared" si="201"/>
        <v>3</v>
      </c>
      <c r="AQ362" s="3">
        <f t="shared" si="202"/>
        <v>1</v>
      </c>
      <c r="AR362" s="3" t="str">
        <f t="shared" si="203"/>
        <v>-</v>
      </c>
      <c r="AS362" s="3" t="str">
        <f t="shared" si="204"/>
        <v>-</v>
      </c>
      <c r="AT362" s="3" t="str">
        <f t="shared" si="205"/>
        <v>-</v>
      </c>
      <c r="AU362" s="3" t="str">
        <f t="shared" si="206"/>
        <v>-</v>
      </c>
      <c r="AV362" s="3">
        <f t="shared" si="207"/>
        <v>25</v>
      </c>
      <c r="AW362" s="3">
        <f t="shared" si="208"/>
        <v>1</v>
      </c>
      <c r="AX362" s="3">
        <f t="shared" si="209"/>
        <v>9</v>
      </c>
      <c r="AY362" s="3">
        <f t="shared" si="210"/>
        <v>10</v>
      </c>
      <c r="AZ362" s="3">
        <f t="shared" si="211"/>
        <v>1</v>
      </c>
      <c r="BA362" s="3">
        <f>IF(ISERROR(LEN(VLOOKUP(A362,Seqs!A:E,2,FALSE))-AL362),"-",LEN(VLOOKUP(A362,Seqs!A:E,2,FALSE))-AL362)</f>
        <v>52</v>
      </c>
      <c r="BB362" s="16">
        <f t="shared" si="212"/>
        <v>31</v>
      </c>
      <c r="BC362" s="9" t="str">
        <f t="shared" si="213"/>
        <v>-</v>
      </c>
      <c r="BD362" s="3">
        <f t="shared" si="214"/>
        <v>31</v>
      </c>
      <c r="BE362" s="3">
        <f t="shared" si="215"/>
        <v>37</v>
      </c>
    </row>
    <row r="363" spans="1:58" s="3" customFormat="1" x14ac:dyDescent="0.2">
      <c r="A363" s="3" t="s">
        <v>41</v>
      </c>
      <c r="B363" s="3" t="str">
        <f>LOWER(VLOOKUP(A363,Xtal_Templ!A:B,2,FALSE))</f>
        <v>grm5_human</v>
      </c>
      <c r="C363" s="3">
        <f>VLOOKUP($A363,'SegEnds_NonXtal_BW#'!$A:$Z,3,FALSE)+D363-50</f>
        <v>578</v>
      </c>
      <c r="D363" s="3">
        <v>594</v>
      </c>
      <c r="E363" s="3">
        <f>IF(ISERROR(VLOOKUP($A363,'SegEnds_NonXtal_BW#'!$A:$Z,4,FALSE)+VLOOKUP($A363,A:AL,4,FALSE)-50),"-",(VLOOKUP($A363,'SegEnds_NonXtal_BW#'!$A:$Z,4,FALSE)+VLOOKUP($A363,A:AL,4,FALSE)-50))</f>
        <v>604</v>
      </c>
      <c r="F363" s="3">
        <f t="shared" si="218"/>
        <v>607</v>
      </c>
      <c r="G363" s="3">
        <v>610</v>
      </c>
      <c r="H363" s="3">
        <f t="shared" si="219"/>
        <v>613</v>
      </c>
      <c r="I363" s="3">
        <f t="shared" si="220"/>
        <v>614</v>
      </c>
      <c r="J363" s="3">
        <v>625</v>
      </c>
      <c r="K363" s="3">
        <f>VLOOKUP($A363,'SegEnds_NonXtal_BW#'!$A:$Z,8,FALSE)+VLOOKUP($A363,A:AL,10,FALSE)-50</f>
        <v>636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640</v>
      </c>
      <c r="P363" s="3">
        <v>669</v>
      </c>
      <c r="Q363" s="3">
        <f>VLOOKUP($A363,'SegEnds_NonXtal_BW#'!$A:$Z,12,FALSE)+VLOOKUP($A363,A:AL,16,FALSE)-50</f>
        <v>673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689</v>
      </c>
      <c r="V363" s="3">
        <v>701</v>
      </c>
      <c r="W363" s="3">
        <f>IF(ISERROR(VLOOKUP($A363,'SegEnds_NonXtal_BW#'!$A:$Z,16,FALSE)+VLOOKUP($A363,A:AL,22,FALSE)-50),"-",(VLOOKUP($A363,'SegEnds_NonXtal_BW#'!$A:$Z,16,FALSE)+VLOOKUP($A363,A:AL,22,FALSE)-50))</f>
        <v>715</v>
      </c>
      <c r="X363" s="3">
        <f>IF(ISERROR(VLOOKUP($A363,'SegEnds_NonXtal_BW#'!$A:$Z,17,FALSE)+VLOOKUP($A363,A:AL,25,FALSE)-50),"-",(VLOOKUP($A363,'SegEnds_NonXtal_BW#'!$A:$Z,17,FALSE)+VLOOKUP($A363,A:AL,25,FALSE)-50))</f>
        <v>733</v>
      </c>
      <c r="Y363" s="3">
        <v>733</v>
      </c>
      <c r="Z363" s="3">
        <f t="shared" si="221"/>
        <v>735</v>
      </c>
      <c r="AA363" s="3">
        <f>IF(ISERROR(VLOOKUP($A363,'SegEnds_NonXtal_BW#'!$A:$Z,19,FALSE)+VLOOKUP($A363,A:AL,28,FALSE)-50),"-",(VLOOKUP($A363,'SegEnds_NonXtal_BW#'!$A:$Z,19,FALSE)+VLOOKUP($A363,A:AL,28,FALSE)-50))</f>
        <v>736</v>
      </c>
      <c r="AB363" s="3">
        <v>750</v>
      </c>
      <c r="AC363" s="3">
        <f>IF(ISERROR((VLOOKUP($A363,'SegEnds_NonXtal_BW#'!$A:$Z,20,FALSE)+VLOOKUP($A363,A:AL,28,FALSE)-50)),"-",(VLOOKUP($A363,'SegEnds_NonXtal_BW#'!$A:$Z,20,FALSE)+VLOOKUP($A363,A:AL,28,FALSE)-50))</f>
        <v>761</v>
      </c>
      <c r="AD363" s="3">
        <f>IF(ISERROR(VLOOKUP($A363,'SegEnds_NonXtal_BW#'!$A:$Z,21,FALSE)+VLOOKUP($A363,A:AL,31,FALSE)-50),"-",(VLOOKUP($A363,'SegEnds_NonXtal_BW#'!$A:$Z,21,FALSE)+VLOOKUP($A363,A:AL,31,FALSE)-50))</f>
        <v>770</v>
      </c>
      <c r="AE363" s="3">
        <v>787</v>
      </c>
      <c r="AF363" s="3">
        <f>IF(ISERROR((VLOOKUP($A363,'SegEnds_NonXtal_BW#'!$A:$Z,22,FALSE)+VLOOKUP($A363,A:AL,31,FALSE)-50)),"-",(VLOOKUP($A363,'SegEnds_NonXtal_BW#'!$A:$Z,22,FALSE)+VLOOKUP($A363,A:AL,31,FALSE)-50))</f>
        <v>794</v>
      </c>
      <c r="AG363" s="3">
        <f>IF(ISERROR(VLOOKUP($A363,'SegEnds_NonXtal_BW#'!$A:$Z,23,FALSE)+VLOOKUP($A363,A:AL,34,FALSE)-50),"-",(VLOOKUP($A363,'SegEnds_NonXtal_BW#'!$A:$Z,23,FALSE)+VLOOKUP($A363,A:AL,34,FALSE)-50))</f>
        <v>797</v>
      </c>
      <c r="AH363" s="3">
        <v>814</v>
      </c>
      <c r="AI363" s="3">
        <f>IF(ISERROR((VLOOKUP($A363,'SegEnds_NonXtal_BW#'!$A:$Z,24,FALSE)+VLOOKUP($A363,A:AL,34,FALSE)-50)),"-",(VLOOKUP($A363,'SegEnds_NonXtal_BW#'!$A:$Z,24,FALSE)+VLOOKUP($A363,A:AL,34,FALSE)-50))</f>
        <v>828</v>
      </c>
      <c r="AJ363" s="3">
        <f>IF(ISERROR(VLOOKUP($A363,'SegEnds_NonXtal_BW#'!$A:$Z,25,FALSE)+VLOOKUP($A363,A:AL,37,FALSE)-50),"-",(VLOOKUP($A363,'SegEnds_NonXtal_BW#'!$A:$Z,25,FALSE)+VLOOKUP($A363,A:AL,37,FALSE)-50))</f>
        <v>829</v>
      </c>
      <c r="AK363" s="3">
        <v>833</v>
      </c>
      <c r="AL363" s="3">
        <f>IF(ISERROR((VLOOKUP($A363,'SegEnds_NonXtal_BW#'!$A:$Z,26,FALSE)+VLOOKUP($A363,A:AL,37,FALSE)-50)),"-",(VLOOKUP($A363,'SegEnds_NonXtal_BW#'!$A:$Z,26,FALSE)+VLOOKUP($A363,A:AL,37,FALSE)-50))</f>
        <v>840</v>
      </c>
      <c r="AM363" s="28" t="str">
        <f>VLOOKUP(A363,Classification!A:B,2,FALSE)</f>
        <v>C</v>
      </c>
      <c r="AN363" s="28" t="b">
        <f t="shared" si="216"/>
        <v>1</v>
      </c>
      <c r="AO363" s="3" t="str">
        <f>IF(ISERROR(MATCH(A363,'SegEnds_Xtal_Prot#'!B:B, 0)), "NoXtal", "Xtal")</f>
        <v>Xtal</v>
      </c>
      <c r="AP363" s="3">
        <f t="shared" si="201"/>
        <v>3</v>
      </c>
      <c r="AQ363" s="3">
        <f t="shared" si="202"/>
        <v>1</v>
      </c>
      <c r="AR363" s="3" t="str">
        <f t="shared" si="203"/>
        <v>-</v>
      </c>
      <c r="AS363" s="3" t="str">
        <f t="shared" si="204"/>
        <v>-</v>
      </c>
      <c r="AT363" s="3" t="str">
        <f t="shared" si="205"/>
        <v>-</v>
      </c>
      <c r="AU363" s="3" t="str">
        <f t="shared" si="206"/>
        <v>-</v>
      </c>
      <c r="AV363" s="3">
        <f t="shared" si="207"/>
        <v>18</v>
      </c>
      <c r="AW363" s="3">
        <f t="shared" si="208"/>
        <v>1</v>
      </c>
      <c r="AX363" s="3">
        <f t="shared" si="209"/>
        <v>9</v>
      </c>
      <c r="AY363" s="3">
        <f t="shared" si="210"/>
        <v>3</v>
      </c>
      <c r="AZ363" s="3">
        <f t="shared" si="211"/>
        <v>1</v>
      </c>
      <c r="BA363" s="3">
        <f>IF(ISERROR(LEN(VLOOKUP(A363,Seqs!A:E,2,FALSE))-AL363),"-",LEN(VLOOKUP(A363,Seqs!A:E,2,FALSE))-AL363)</f>
        <v>372</v>
      </c>
      <c r="BB363" s="16">
        <f t="shared" si="212"/>
        <v>31</v>
      </c>
      <c r="BC363" s="9" t="str">
        <f t="shared" si="213"/>
        <v>-</v>
      </c>
      <c r="BD363" s="3">
        <f t="shared" si="214"/>
        <v>31</v>
      </c>
      <c r="BE363" s="3">
        <f t="shared" si="215"/>
        <v>37</v>
      </c>
    </row>
    <row r="364" spans="1:58" s="3" customFormat="1" x14ac:dyDescent="0.2">
      <c r="A364" s="3" t="s">
        <v>118</v>
      </c>
      <c r="B364" s="3" t="str">
        <f>LOWER(VLOOKUP(A364,Xtal_Templ!A:B,2,FALSE))</f>
        <v>grm5_human</v>
      </c>
      <c r="C364" s="3">
        <f>VLOOKUP($A364,'SegEnds_NonXtal_BW#'!$A:$Z,3,FALSE)+D364-50</f>
        <v>584</v>
      </c>
      <c r="D364" s="3">
        <v>600</v>
      </c>
      <c r="E364" s="3">
        <f>IF(ISERROR(VLOOKUP($A364,'SegEnds_NonXtal_BW#'!$A:$Z,4,FALSE)+VLOOKUP($A364,A:AL,4,FALSE)-50),"-",(VLOOKUP($A364,'SegEnds_NonXtal_BW#'!$A:$Z,4,FALSE)+VLOOKUP($A364,A:AL,4,FALSE)-50))</f>
        <v>610</v>
      </c>
      <c r="F364" s="3">
        <f t="shared" si="218"/>
        <v>613</v>
      </c>
      <c r="G364" s="3">
        <v>616</v>
      </c>
      <c r="H364" s="3">
        <f t="shared" si="219"/>
        <v>619</v>
      </c>
      <c r="I364" s="3">
        <f t="shared" si="220"/>
        <v>620</v>
      </c>
      <c r="J364" s="3">
        <v>631</v>
      </c>
      <c r="K364" s="3">
        <f>VLOOKUP($A364,'SegEnds_NonXtal_BW#'!$A:$Z,8,FALSE)+VLOOKUP($A364,A:AL,10,FALSE)-50</f>
        <v>642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646</v>
      </c>
      <c r="P364" s="3">
        <v>675</v>
      </c>
      <c r="Q364" s="3">
        <f>VLOOKUP($A364,'SegEnds_NonXtal_BW#'!$A:$Z,12,FALSE)+VLOOKUP($A364,A:AL,16,FALSE)-50</f>
        <v>679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693</v>
      </c>
      <c r="V364" s="3">
        <v>705</v>
      </c>
      <c r="W364" s="3">
        <f>IF(ISERROR(VLOOKUP($A364,'SegEnds_NonXtal_BW#'!$A:$Z,16,FALSE)+VLOOKUP($A364,A:AL,22,FALSE)-50),"-",(VLOOKUP($A364,'SegEnds_NonXtal_BW#'!$A:$Z,16,FALSE)+VLOOKUP($A364,A:AL,22,FALSE)-50))</f>
        <v>719</v>
      </c>
      <c r="X364" s="3">
        <f>IF(ISERROR(VLOOKUP($A364,'SegEnds_NonXtal_BW#'!$A:$Z,17,FALSE)+VLOOKUP($A364,A:AL,25,FALSE)-50),"-",(VLOOKUP($A364,'SegEnds_NonXtal_BW#'!$A:$Z,17,FALSE)+VLOOKUP($A364,A:AL,25,FALSE)-50))</f>
        <v>744</v>
      </c>
      <c r="Y364" s="3">
        <v>744</v>
      </c>
      <c r="Z364" s="3">
        <f t="shared" si="221"/>
        <v>746</v>
      </c>
      <c r="AA364" s="3">
        <f>IF(ISERROR(VLOOKUP($A364,'SegEnds_NonXtal_BW#'!$A:$Z,19,FALSE)+VLOOKUP($A364,A:AL,28,FALSE)-50),"-",(VLOOKUP($A364,'SegEnds_NonXtal_BW#'!$A:$Z,19,FALSE)+VLOOKUP($A364,A:AL,28,FALSE)-50))</f>
        <v>747</v>
      </c>
      <c r="AB364" s="3">
        <v>761</v>
      </c>
      <c r="AC364" s="3">
        <f>IF(ISERROR((VLOOKUP($A364,'SegEnds_NonXtal_BW#'!$A:$Z,20,FALSE)+VLOOKUP($A364,A:AL,28,FALSE)-50)),"-",(VLOOKUP($A364,'SegEnds_NonXtal_BW#'!$A:$Z,20,FALSE)+VLOOKUP($A364,A:AL,28,FALSE)-50))</f>
        <v>772</v>
      </c>
      <c r="AD364" s="3">
        <f>IF(ISERROR(VLOOKUP($A364,'SegEnds_NonXtal_BW#'!$A:$Z,21,FALSE)+VLOOKUP($A364,A:AL,31,FALSE)-50),"-",(VLOOKUP($A364,'SegEnds_NonXtal_BW#'!$A:$Z,21,FALSE)+VLOOKUP($A364,A:AL,31,FALSE)-50))</f>
        <v>781</v>
      </c>
      <c r="AE364" s="3">
        <v>798</v>
      </c>
      <c r="AF364" s="3">
        <f>IF(ISERROR((VLOOKUP($A364,'SegEnds_NonXtal_BW#'!$A:$Z,22,FALSE)+VLOOKUP($A364,A:AL,31,FALSE)-50)),"-",(VLOOKUP($A364,'SegEnds_NonXtal_BW#'!$A:$Z,22,FALSE)+VLOOKUP($A364,A:AL,31,FALSE)-50))</f>
        <v>805</v>
      </c>
      <c r="AG364" s="3">
        <f>IF(ISERROR(VLOOKUP($A364,'SegEnds_NonXtal_BW#'!$A:$Z,23,FALSE)+VLOOKUP($A364,A:AL,34,FALSE)-50),"-",(VLOOKUP($A364,'SegEnds_NonXtal_BW#'!$A:$Z,23,FALSE)+VLOOKUP($A364,A:AL,34,FALSE)-50))</f>
        <v>815</v>
      </c>
      <c r="AH364" s="3">
        <v>832</v>
      </c>
      <c r="AI364" s="3">
        <f>IF(ISERROR((VLOOKUP($A364,'SegEnds_NonXtal_BW#'!$A:$Z,24,FALSE)+VLOOKUP($A364,A:AL,34,FALSE)-50)),"-",(VLOOKUP($A364,'SegEnds_NonXtal_BW#'!$A:$Z,24,FALSE)+VLOOKUP($A364,A:AL,34,FALSE)-50))</f>
        <v>846</v>
      </c>
      <c r="AJ364" s="3">
        <f>IF(ISERROR(VLOOKUP($A364,'SegEnds_NonXtal_BW#'!$A:$Z,25,FALSE)+VLOOKUP($A364,A:AL,37,FALSE)-50),"-",(VLOOKUP($A364,'SegEnds_NonXtal_BW#'!$A:$Z,25,FALSE)+VLOOKUP($A364,A:AL,37,FALSE)-50))</f>
        <v>847</v>
      </c>
      <c r="AK364" s="3">
        <v>851</v>
      </c>
      <c r="AL364" s="3">
        <f>IF(ISERROR((VLOOKUP($A364,'SegEnds_NonXtal_BW#'!$A:$Z,26,FALSE)+VLOOKUP($A364,A:AL,37,FALSE)-50)),"-",(VLOOKUP($A364,'SegEnds_NonXtal_BW#'!$A:$Z,26,FALSE)+VLOOKUP($A364,A:AL,37,FALSE)-50))</f>
        <v>858</v>
      </c>
      <c r="AM364" s="28" t="str">
        <f>VLOOKUP(A364,Classification!A:B,2,FALSE)</f>
        <v>C</v>
      </c>
      <c r="AN364" s="28" t="b">
        <f t="shared" si="216"/>
        <v>1</v>
      </c>
      <c r="AO364" s="3" t="str">
        <f>IF(ISERROR(MATCH(A364,'SegEnds_Xtal_Prot#'!B:B, 0)), "NoXtal", "Xtal")</f>
        <v>NoXtal</v>
      </c>
      <c r="AP364" s="3">
        <f t="shared" si="201"/>
        <v>3</v>
      </c>
      <c r="AQ364" s="3">
        <f t="shared" si="202"/>
        <v>1</v>
      </c>
      <c r="AR364" s="3" t="str">
        <f t="shared" si="203"/>
        <v>-</v>
      </c>
      <c r="AS364" s="3" t="str">
        <f t="shared" si="204"/>
        <v>-</v>
      </c>
      <c r="AT364" s="3" t="str">
        <f t="shared" si="205"/>
        <v>-</v>
      </c>
      <c r="AU364" s="3" t="str">
        <f t="shared" si="206"/>
        <v>-</v>
      </c>
      <c r="AV364" s="3">
        <f t="shared" si="207"/>
        <v>25</v>
      </c>
      <c r="AW364" s="3">
        <f t="shared" si="208"/>
        <v>1</v>
      </c>
      <c r="AX364" s="3">
        <f t="shared" si="209"/>
        <v>9</v>
      </c>
      <c r="AY364" s="3">
        <f t="shared" si="210"/>
        <v>10</v>
      </c>
      <c r="AZ364" s="3">
        <f t="shared" si="211"/>
        <v>1</v>
      </c>
      <c r="BA364" s="3">
        <f>IF(ISERROR(LEN(VLOOKUP(A364,Seqs!A:E,2,FALSE))-AL364),"-",LEN(VLOOKUP(A364,Seqs!A:E,2,FALSE))-AL364)</f>
        <v>19</v>
      </c>
      <c r="BB364" s="16">
        <f t="shared" si="212"/>
        <v>31</v>
      </c>
      <c r="BC364" s="9" t="str">
        <f t="shared" si="213"/>
        <v>-</v>
      </c>
      <c r="BD364" s="3">
        <f t="shared" si="214"/>
        <v>31</v>
      </c>
      <c r="BE364" s="3">
        <f t="shared" si="215"/>
        <v>37</v>
      </c>
      <c r="BF364" s="3">
        <f>AH364-AE364</f>
        <v>34</v>
      </c>
    </row>
    <row r="365" spans="1:58" s="3" customFormat="1" x14ac:dyDescent="0.2">
      <c r="A365" s="3" t="s">
        <v>119</v>
      </c>
      <c r="B365" s="3" t="str">
        <f>LOWER(VLOOKUP(A365,Xtal_Templ!A:B,2,FALSE))</f>
        <v>grm5_human</v>
      </c>
      <c r="C365" s="3">
        <f>VLOOKUP($A365,'SegEnds_NonXtal_BW#'!$A:$Z,3,FALSE)+D365-50</f>
        <v>589</v>
      </c>
      <c r="D365" s="3">
        <v>605</v>
      </c>
      <c r="E365" s="3">
        <f>IF(ISERROR(VLOOKUP($A365,'SegEnds_NonXtal_BW#'!$A:$Z,4,FALSE)+VLOOKUP($A365,A:AL,4,FALSE)-50),"-",(VLOOKUP($A365,'SegEnds_NonXtal_BW#'!$A:$Z,4,FALSE)+VLOOKUP($A365,A:AL,4,FALSE)-50))</f>
        <v>615</v>
      </c>
      <c r="F365" s="3">
        <f t="shared" si="218"/>
        <v>618</v>
      </c>
      <c r="G365" s="3">
        <v>621</v>
      </c>
      <c r="H365" s="3">
        <f t="shared" si="219"/>
        <v>624</v>
      </c>
      <c r="I365" s="3">
        <f t="shared" si="220"/>
        <v>625</v>
      </c>
      <c r="J365" s="3">
        <v>636</v>
      </c>
      <c r="K365" s="3">
        <f>VLOOKUP($A365,'SegEnds_NonXtal_BW#'!$A:$Z,8,FALSE)+VLOOKUP($A365,A:AL,10,FALSE)-50</f>
        <v>647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651</v>
      </c>
      <c r="P365" s="3">
        <v>680</v>
      </c>
      <c r="Q365" s="3">
        <f>VLOOKUP($A365,'SegEnds_NonXtal_BW#'!$A:$Z,12,FALSE)+VLOOKUP($A365,A:AL,16,FALSE)-50</f>
        <v>684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698</v>
      </c>
      <c r="V365" s="3">
        <v>710</v>
      </c>
      <c r="W365" s="3">
        <f>IF(ISERROR(VLOOKUP($A365,'SegEnds_NonXtal_BW#'!$A:$Z,16,FALSE)+VLOOKUP($A365,A:AL,22,FALSE)-50),"-",(VLOOKUP($A365,'SegEnds_NonXtal_BW#'!$A:$Z,16,FALSE)+VLOOKUP($A365,A:AL,22,FALSE)-50))</f>
        <v>724</v>
      </c>
      <c r="X365" s="3">
        <f>IF(ISERROR(VLOOKUP($A365,'SegEnds_NonXtal_BW#'!$A:$Z,17,FALSE)+VLOOKUP($A365,A:AL,25,FALSE)-50),"-",(VLOOKUP($A365,'SegEnds_NonXtal_BW#'!$A:$Z,17,FALSE)+VLOOKUP($A365,A:AL,25,FALSE)-50))</f>
        <v>749</v>
      </c>
      <c r="Y365" s="3">
        <v>749</v>
      </c>
      <c r="Z365" s="3">
        <f t="shared" si="221"/>
        <v>751</v>
      </c>
      <c r="AA365" s="3">
        <f>IF(ISERROR(VLOOKUP($A365,'SegEnds_NonXtal_BW#'!$A:$Z,19,FALSE)+VLOOKUP($A365,A:AL,28,FALSE)-50),"-",(VLOOKUP($A365,'SegEnds_NonXtal_BW#'!$A:$Z,19,FALSE)+VLOOKUP($A365,A:AL,28,FALSE)-50))</f>
        <v>752</v>
      </c>
      <c r="AB365" s="3">
        <v>766</v>
      </c>
      <c r="AC365" s="3">
        <f>IF(ISERROR((VLOOKUP($A365,'SegEnds_NonXtal_BW#'!$A:$Z,20,FALSE)+VLOOKUP($A365,A:AL,28,FALSE)-50)),"-",(VLOOKUP($A365,'SegEnds_NonXtal_BW#'!$A:$Z,20,FALSE)+VLOOKUP($A365,A:AL,28,FALSE)-50))</f>
        <v>777</v>
      </c>
      <c r="AD365" s="3">
        <f>IF(ISERROR(VLOOKUP($A365,'SegEnds_NonXtal_BW#'!$A:$Z,21,FALSE)+VLOOKUP($A365,A:AL,31,FALSE)-50),"-",(VLOOKUP($A365,'SegEnds_NonXtal_BW#'!$A:$Z,21,FALSE)+VLOOKUP($A365,A:AL,31,FALSE)-50))</f>
        <v>786</v>
      </c>
      <c r="AE365" s="3">
        <v>803</v>
      </c>
      <c r="AF365" s="3">
        <f>IF(ISERROR((VLOOKUP($A365,'SegEnds_NonXtal_BW#'!$A:$Z,22,FALSE)+VLOOKUP($A365,A:AL,31,FALSE)-50)),"-",(VLOOKUP($A365,'SegEnds_NonXtal_BW#'!$A:$Z,22,FALSE)+VLOOKUP($A365,A:AL,31,FALSE)-50))</f>
        <v>810</v>
      </c>
      <c r="AG365" s="3">
        <f>IF(ISERROR(VLOOKUP($A365,'SegEnds_NonXtal_BW#'!$A:$Z,23,FALSE)+VLOOKUP($A365,A:AL,34,FALSE)-50),"-",(VLOOKUP($A365,'SegEnds_NonXtal_BW#'!$A:$Z,23,FALSE)+VLOOKUP($A365,A:AL,34,FALSE)-50))</f>
        <v>820</v>
      </c>
      <c r="AH365" s="3">
        <v>837</v>
      </c>
      <c r="AI365" s="3">
        <f>IF(ISERROR((VLOOKUP($A365,'SegEnds_NonXtal_BW#'!$A:$Z,24,FALSE)+VLOOKUP($A365,A:AL,34,FALSE)-50)),"-",(VLOOKUP($A365,'SegEnds_NonXtal_BW#'!$A:$Z,24,FALSE)+VLOOKUP($A365,A:AL,34,FALSE)-50))</f>
        <v>851</v>
      </c>
      <c r="AJ365" s="3">
        <f>IF(ISERROR(VLOOKUP($A365,'SegEnds_NonXtal_BW#'!$A:$Z,25,FALSE)+VLOOKUP($A365,A:AL,37,FALSE)-50),"-",(VLOOKUP($A365,'SegEnds_NonXtal_BW#'!$A:$Z,25,FALSE)+VLOOKUP($A365,A:AL,37,FALSE)-50))</f>
        <v>852</v>
      </c>
      <c r="AK365" s="3">
        <v>856</v>
      </c>
      <c r="AL365" s="3">
        <f>IF(ISERROR((VLOOKUP($A365,'SegEnds_NonXtal_BW#'!$A:$Z,26,FALSE)+VLOOKUP($A365,A:AL,37,FALSE)-50)),"-",(VLOOKUP($A365,'SegEnds_NonXtal_BW#'!$A:$Z,26,FALSE)+VLOOKUP($A365,A:AL,37,FALSE)-50))</f>
        <v>863</v>
      </c>
      <c r="AM365" s="28" t="str">
        <f>VLOOKUP(A365,Classification!A:B,2,FALSE)</f>
        <v>C</v>
      </c>
      <c r="AN365" s="28" t="b">
        <f t="shared" si="216"/>
        <v>1</v>
      </c>
      <c r="AO365" s="3" t="str">
        <f>IF(ISERROR(MATCH(A365,'SegEnds_Xtal_Prot#'!B:B, 0)), "NoXtal", "Xtal")</f>
        <v>NoXtal</v>
      </c>
      <c r="AP365" s="3">
        <f t="shared" si="201"/>
        <v>3</v>
      </c>
      <c r="AQ365" s="3">
        <f t="shared" si="202"/>
        <v>1</v>
      </c>
      <c r="AR365" s="3" t="str">
        <f t="shared" si="203"/>
        <v>-</v>
      </c>
      <c r="AS365" s="3" t="str">
        <f t="shared" si="204"/>
        <v>-</v>
      </c>
      <c r="AT365" s="3" t="str">
        <f t="shared" si="205"/>
        <v>-</v>
      </c>
      <c r="AU365" s="3" t="str">
        <f t="shared" si="206"/>
        <v>-</v>
      </c>
      <c r="AV365" s="3">
        <f t="shared" si="207"/>
        <v>25</v>
      </c>
      <c r="AW365" s="3">
        <f t="shared" si="208"/>
        <v>1</v>
      </c>
      <c r="AX365" s="3">
        <f t="shared" si="209"/>
        <v>9</v>
      </c>
      <c r="AY365" s="3">
        <f t="shared" si="210"/>
        <v>10</v>
      </c>
      <c r="AZ365" s="3">
        <f t="shared" si="211"/>
        <v>1</v>
      </c>
      <c r="BA365" s="3">
        <f>IF(ISERROR(LEN(VLOOKUP(A365,Seqs!A:E,2,FALSE))-AL365),"-",LEN(VLOOKUP(A365,Seqs!A:E,2,FALSE))-AL365)</f>
        <v>52</v>
      </c>
      <c r="BB365" s="16">
        <f t="shared" si="212"/>
        <v>31</v>
      </c>
      <c r="BC365" s="9" t="str">
        <f t="shared" si="213"/>
        <v>-</v>
      </c>
      <c r="BD365" s="3">
        <f t="shared" si="214"/>
        <v>31</v>
      </c>
      <c r="BE365" s="3">
        <f t="shared" si="215"/>
        <v>37</v>
      </c>
    </row>
    <row r="366" spans="1:58" s="3" customFormat="1" x14ac:dyDescent="0.2">
      <c r="A366" s="3" t="s">
        <v>120</v>
      </c>
      <c r="B366" s="3" t="str">
        <f>LOWER(VLOOKUP(A366,Xtal_Templ!A:B,2,FALSE))</f>
        <v>grm5_human</v>
      </c>
      <c r="C366" s="3">
        <f>VLOOKUP($A366,'SegEnds_NonXtal_BW#'!$A:$Z,3,FALSE)+D366-50</f>
        <v>582</v>
      </c>
      <c r="D366" s="3">
        <v>598</v>
      </c>
      <c r="E366" s="3">
        <f>IF(ISERROR(VLOOKUP($A366,'SegEnds_NonXtal_BW#'!$A:$Z,4,FALSE)+VLOOKUP($A366,A:AL,4,FALSE)-50),"-",(VLOOKUP($A366,'SegEnds_NonXtal_BW#'!$A:$Z,4,FALSE)+VLOOKUP($A366,A:AL,4,FALSE)-50))</f>
        <v>608</v>
      </c>
      <c r="F366" s="3">
        <f t="shared" si="218"/>
        <v>611</v>
      </c>
      <c r="G366" s="3">
        <v>614</v>
      </c>
      <c r="H366" s="3">
        <f t="shared" si="219"/>
        <v>617</v>
      </c>
      <c r="I366" s="3">
        <f t="shared" si="220"/>
        <v>618</v>
      </c>
      <c r="J366" s="3">
        <v>629</v>
      </c>
      <c r="K366" s="3">
        <f>VLOOKUP($A366,'SegEnds_NonXtal_BW#'!$A:$Z,8,FALSE)+VLOOKUP($A366,A:AL,10,FALSE)-50</f>
        <v>640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644</v>
      </c>
      <c r="P366" s="3">
        <v>673</v>
      </c>
      <c r="Q366" s="3">
        <f>VLOOKUP($A366,'SegEnds_NonXtal_BW#'!$A:$Z,12,FALSE)+VLOOKUP($A366,A:AL,16,FALSE)-50</f>
        <v>677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691</v>
      </c>
      <c r="V366" s="3">
        <v>703</v>
      </c>
      <c r="W366" s="3">
        <f>IF(ISERROR(VLOOKUP($A366,'SegEnds_NonXtal_BW#'!$A:$Z,16,FALSE)+VLOOKUP($A366,A:AL,22,FALSE)-50),"-",(VLOOKUP($A366,'SegEnds_NonXtal_BW#'!$A:$Z,16,FALSE)+VLOOKUP($A366,A:AL,22,FALSE)-50))</f>
        <v>717</v>
      </c>
      <c r="X366" s="3">
        <f>IF(ISERROR(VLOOKUP($A366,'SegEnds_NonXtal_BW#'!$A:$Z,17,FALSE)+VLOOKUP($A366,A:AL,25,FALSE)-50),"-",(VLOOKUP($A366,'SegEnds_NonXtal_BW#'!$A:$Z,17,FALSE)+VLOOKUP($A366,A:AL,25,FALSE)-50))</f>
        <v>742</v>
      </c>
      <c r="Y366" s="3">
        <v>742</v>
      </c>
      <c r="Z366" s="3">
        <f t="shared" si="221"/>
        <v>744</v>
      </c>
      <c r="AA366" s="3">
        <f>IF(ISERROR(VLOOKUP($A366,'SegEnds_NonXtal_BW#'!$A:$Z,19,FALSE)+VLOOKUP($A366,A:AL,28,FALSE)-50),"-",(VLOOKUP($A366,'SegEnds_NonXtal_BW#'!$A:$Z,19,FALSE)+VLOOKUP($A366,A:AL,28,FALSE)-50))</f>
        <v>745</v>
      </c>
      <c r="AB366" s="3">
        <v>759</v>
      </c>
      <c r="AC366" s="3">
        <f>IF(ISERROR((VLOOKUP($A366,'SegEnds_NonXtal_BW#'!$A:$Z,20,FALSE)+VLOOKUP($A366,A:AL,28,FALSE)-50)),"-",(VLOOKUP($A366,'SegEnds_NonXtal_BW#'!$A:$Z,20,FALSE)+VLOOKUP($A366,A:AL,28,FALSE)-50))</f>
        <v>770</v>
      </c>
      <c r="AD366" s="3">
        <f>IF(ISERROR(VLOOKUP($A366,'SegEnds_NonXtal_BW#'!$A:$Z,21,FALSE)+VLOOKUP($A366,A:AL,31,FALSE)-50),"-",(VLOOKUP($A366,'SegEnds_NonXtal_BW#'!$A:$Z,21,FALSE)+VLOOKUP($A366,A:AL,31,FALSE)-50))</f>
        <v>779</v>
      </c>
      <c r="AE366" s="3">
        <v>796</v>
      </c>
      <c r="AF366" s="3">
        <f>IF(ISERROR((VLOOKUP($A366,'SegEnds_NonXtal_BW#'!$A:$Z,22,FALSE)+VLOOKUP($A366,A:AL,31,FALSE)-50)),"-",(VLOOKUP($A366,'SegEnds_NonXtal_BW#'!$A:$Z,22,FALSE)+VLOOKUP($A366,A:AL,31,FALSE)-50))</f>
        <v>803</v>
      </c>
      <c r="AG366" s="3">
        <f>IF(ISERROR(VLOOKUP($A366,'SegEnds_NonXtal_BW#'!$A:$Z,23,FALSE)+VLOOKUP($A366,A:AL,34,FALSE)-50),"-",(VLOOKUP($A366,'SegEnds_NonXtal_BW#'!$A:$Z,23,FALSE)+VLOOKUP($A366,A:AL,34,FALSE)-50))</f>
        <v>813</v>
      </c>
      <c r="AH366" s="3">
        <v>830</v>
      </c>
      <c r="AI366" s="3">
        <f>IF(ISERROR((VLOOKUP($A366,'SegEnds_NonXtal_BW#'!$A:$Z,24,FALSE)+VLOOKUP($A366,A:AL,34,FALSE)-50)),"-",(VLOOKUP($A366,'SegEnds_NonXtal_BW#'!$A:$Z,24,FALSE)+VLOOKUP($A366,A:AL,34,FALSE)-50))</f>
        <v>844</v>
      </c>
      <c r="AJ366" s="3">
        <f>IF(ISERROR(VLOOKUP($A366,'SegEnds_NonXtal_BW#'!$A:$Z,25,FALSE)+VLOOKUP($A366,A:AL,37,FALSE)-50),"-",(VLOOKUP($A366,'SegEnds_NonXtal_BW#'!$A:$Z,25,FALSE)+VLOOKUP($A366,A:AL,37,FALSE)-50))</f>
        <v>845</v>
      </c>
      <c r="AK366" s="3">
        <v>849</v>
      </c>
      <c r="AL366" s="3">
        <f>IF(ISERROR((VLOOKUP($A366,'SegEnds_NonXtal_BW#'!$A:$Z,26,FALSE)+VLOOKUP($A366,A:AL,37,FALSE)-50)),"-",(VLOOKUP($A366,'SegEnds_NonXtal_BW#'!$A:$Z,26,FALSE)+VLOOKUP($A366,A:AL,37,FALSE)-50))</f>
        <v>856</v>
      </c>
      <c r="AM366" s="28" t="str">
        <f>VLOOKUP(A366,Classification!A:B,2,FALSE)</f>
        <v>C</v>
      </c>
      <c r="AN366" s="28" t="b">
        <f t="shared" si="216"/>
        <v>1</v>
      </c>
      <c r="AO366" s="3" t="str">
        <f>IF(ISERROR(MATCH(A366,'SegEnds_Xtal_Prot#'!B:B, 0)), "NoXtal", "Xtal")</f>
        <v>NoXtal</v>
      </c>
      <c r="AP366" s="3">
        <f t="shared" si="201"/>
        <v>3</v>
      </c>
      <c r="AQ366" s="3">
        <f t="shared" si="202"/>
        <v>1</v>
      </c>
      <c r="AR366" s="3" t="str">
        <f t="shared" si="203"/>
        <v>-</v>
      </c>
      <c r="AS366" s="3" t="str">
        <f t="shared" si="204"/>
        <v>-</v>
      </c>
      <c r="AT366" s="3" t="str">
        <f t="shared" si="205"/>
        <v>-</v>
      </c>
      <c r="AU366" s="3" t="str">
        <f t="shared" si="206"/>
        <v>-</v>
      </c>
      <c r="AV366" s="3">
        <f t="shared" si="207"/>
        <v>25</v>
      </c>
      <c r="AW366" s="3">
        <f t="shared" si="208"/>
        <v>1</v>
      </c>
      <c r="AX366" s="3">
        <f t="shared" si="209"/>
        <v>9</v>
      </c>
      <c r="AY366" s="3">
        <f t="shared" si="210"/>
        <v>10</v>
      </c>
      <c r="AZ366" s="3">
        <f t="shared" si="211"/>
        <v>1</v>
      </c>
      <c r="BA366" s="3">
        <f>IF(ISERROR(LEN(VLOOKUP(A366,Seqs!A:E,2,FALSE))-AL366),"-",LEN(VLOOKUP(A366,Seqs!A:E,2,FALSE))-AL366)</f>
        <v>52</v>
      </c>
      <c r="BB366" s="16">
        <f t="shared" si="212"/>
        <v>31</v>
      </c>
      <c r="BC366" s="9" t="str">
        <f t="shared" si="213"/>
        <v>-</v>
      </c>
      <c r="BD366" s="3">
        <f t="shared" si="214"/>
        <v>31</v>
      </c>
      <c r="BE366" s="3">
        <f t="shared" si="215"/>
        <v>37</v>
      </c>
    </row>
    <row r="367" spans="1:58" s="3" customFormat="1" x14ac:dyDescent="0.2">
      <c r="A367" s="3" t="s">
        <v>121</v>
      </c>
      <c r="B367" s="3" t="str">
        <f>LOWER(VLOOKUP(A367,Xtal_Templ!A:B,2,FALSE))</f>
        <v>grm1_human</v>
      </c>
      <c r="C367" s="3">
        <f>VLOOKUP($A367,'SegEnds_NonXtal_BW#'!$A:$Z,3,FALSE)+D367-50</f>
        <v>26</v>
      </c>
      <c r="D367" s="3">
        <v>42</v>
      </c>
      <c r="E367" s="3">
        <f>IF(ISERROR(VLOOKUP($A367,'SegEnds_NonXtal_BW#'!$A:$Z,4,FALSE)+VLOOKUP($A367,A:AL,4,FALSE)-50),"-",(VLOOKUP($A367,'SegEnds_NonXtal_BW#'!$A:$Z,4,FALSE)+VLOOKUP($A367,A:AL,4,FALSE)-50))</f>
        <v>52</v>
      </c>
      <c r="F367" s="3">
        <f t="shared" si="218"/>
        <v>53</v>
      </c>
      <c r="G367" s="3">
        <v>56</v>
      </c>
      <c r="H367" s="3">
        <f t="shared" si="219"/>
        <v>59</v>
      </c>
      <c r="I367" s="3">
        <f t="shared" si="220"/>
        <v>60</v>
      </c>
      <c r="J367" s="3">
        <v>75</v>
      </c>
      <c r="K367" s="3">
        <f>VLOOKUP($A367,'SegEnds_NonXtal_BW#'!$A:$Z,8,FALSE)+VLOOKUP($A367,A:AL,10,FALSE)-50</f>
        <v>86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91</v>
      </c>
      <c r="P367" s="3">
        <v>119</v>
      </c>
      <c r="Q367" s="3">
        <f>VLOOKUP($A367,'SegEnds_NonXtal_BW#'!$A:$Z,12,FALSE)+VLOOKUP($A367,A:AL,16,FALSE)-50</f>
        <v>123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130</v>
      </c>
      <c r="V367" s="3">
        <v>142</v>
      </c>
      <c r="W367" s="3">
        <f>IF(ISERROR(VLOOKUP($A367,'SegEnds_NonXtal_BW#'!$A:$Z,16,FALSE)+VLOOKUP($A367,A:AL,22,FALSE)-50),"-",(VLOOKUP($A367,'SegEnds_NonXtal_BW#'!$A:$Z,16,FALSE)+VLOOKUP($A367,A:AL,22,FALSE)-50))</f>
        <v>156</v>
      </c>
      <c r="X367" s="3" t="str">
        <f>IF(ISERROR(VLOOKUP($A367,'SegEnds_NonXtal_BW#'!$A:$Z,17,FALSE)+VLOOKUP($A367,A:AL,25,FALSE)-50),"-",(VLOOKUP($A367,'SegEnds_NonXtal_BW#'!$A:$Z,17,FALSE)+VLOOKUP($A367,A:AL,25,FALSE)-50))</f>
        <v>-</v>
      </c>
      <c r="Y367" s="3" t="s">
        <v>23</v>
      </c>
      <c r="Z367" s="3" t="str">
        <f>IF(ISERROR(VLOOKUP($A367,'SegEnds_NonXtal_BW#'!$A:$Z,18,FALSE)+VLOOKUP($A367,A:AL,25,FALSE)-50),"-",(VLOOKUP($A367,'SegEnds_NonXtal_BW#'!$A:$Z,18,FALSE)+VLOOKUP($A367,A:AL,25,FALSE)-50))</f>
        <v>-</v>
      </c>
      <c r="AA367" s="3">
        <f>IF(ISERROR(VLOOKUP($A367,'SegEnds_NonXtal_BW#'!$A:$Z,19,FALSE)+VLOOKUP($A367,A:AL,28,FALSE)-50),"-",(VLOOKUP($A367,'SegEnds_NonXtal_BW#'!$A:$Z,19,FALSE)+VLOOKUP($A367,A:AL,28,FALSE)-50))</f>
        <v>173</v>
      </c>
      <c r="AB367" s="3">
        <v>187</v>
      </c>
      <c r="AC367" s="3">
        <f>IF(ISERROR((VLOOKUP($A367,'SegEnds_NonXtal_BW#'!$A:$Z,20,FALSE)+VLOOKUP($A367,A:AL,28,FALSE)-50)),"-",(VLOOKUP($A367,'SegEnds_NonXtal_BW#'!$A:$Z,20,FALSE)+VLOOKUP($A367,A:AL,28,FALSE)-50))</f>
        <v>198</v>
      </c>
      <c r="AD367" s="3">
        <f>IF(ISERROR(VLOOKUP($A367,'SegEnds_NonXtal_BW#'!$A:$Z,21,FALSE)+VLOOKUP($A367,A:AL,31,FALSE)-50),"-",(VLOOKUP($A367,'SegEnds_NonXtal_BW#'!$A:$Z,21,FALSE)+VLOOKUP($A367,A:AL,31,FALSE)-50))</f>
        <v>209</v>
      </c>
      <c r="AE367" s="3">
        <v>226</v>
      </c>
      <c r="AF367" s="3">
        <f>IF(ISERROR((VLOOKUP($A367,'SegEnds_NonXtal_BW#'!$A:$Z,22,FALSE)+VLOOKUP($A367,A:AL,31,FALSE)-50)),"-",(VLOOKUP($A367,'SegEnds_NonXtal_BW#'!$A:$Z,22,FALSE)+VLOOKUP($A367,A:AL,31,FALSE)-50))</f>
        <v>233</v>
      </c>
      <c r="AG367" s="3">
        <f>IF(ISERROR(VLOOKUP($A367,'SegEnds_NonXtal_BW#'!$A:$Z,23,FALSE)+VLOOKUP($A367,A:AL,34,FALSE)-50),"-",(VLOOKUP($A367,'SegEnds_NonXtal_BW#'!$A:$Z,23,FALSE)+VLOOKUP($A367,A:AL,34,FALSE)-50))</f>
        <v>240</v>
      </c>
      <c r="AH367" s="3">
        <v>257</v>
      </c>
      <c r="AI367" s="3">
        <f>IF(ISERROR((VLOOKUP($A367,'SegEnds_NonXtal_BW#'!$A:$Z,24,FALSE)+VLOOKUP($A367,A:AL,34,FALSE)-50)),"-",(VLOOKUP($A367,'SegEnds_NonXtal_BW#'!$A:$Z,24,FALSE)+VLOOKUP($A367,A:AL,34,FALSE)-50))</f>
        <v>271</v>
      </c>
      <c r="AJ367" s="3">
        <v>273</v>
      </c>
      <c r="AK367" s="3">
        <v>278</v>
      </c>
      <c r="AL367" s="3">
        <v>285</v>
      </c>
      <c r="AM367" s="28" t="str">
        <f>VLOOKUP(A367,Classification!A:B,2,FALSE)</f>
        <v>C</v>
      </c>
      <c r="AN367" s="28" t="b">
        <f t="shared" si="216"/>
        <v>1</v>
      </c>
      <c r="AO367" s="3" t="str">
        <f>IF(ISERROR(MATCH(A367,'SegEnds_Xtal_Prot#'!B:B, 0)), "NoXtal", "Xtal")</f>
        <v>NoXtal</v>
      </c>
      <c r="AP367" s="3">
        <f t="shared" si="201"/>
        <v>1</v>
      </c>
      <c r="AQ367" s="3">
        <f t="shared" si="202"/>
        <v>1</v>
      </c>
      <c r="AR367" s="3" t="str">
        <f t="shared" si="203"/>
        <v>-</v>
      </c>
      <c r="AS367" s="3" t="str">
        <f t="shared" si="204"/>
        <v>-</v>
      </c>
      <c r="AT367" s="3" t="str">
        <f t="shared" si="205"/>
        <v>-</v>
      </c>
      <c r="AU367" s="3" t="str">
        <f t="shared" si="206"/>
        <v>-</v>
      </c>
      <c r="AV367" s="3" t="str">
        <f t="shared" si="207"/>
        <v>-</v>
      </c>
      <c r="AW367" s="3" t="str">
        <f t="shared" si="208"/>
        <v>-</v>
      </c>
      <c r="AX367" s="3">
        <f t="shared" si="209"/>
        <v>11</v>
      </c>
      <c r="AY367" s="3">
        <f t="shared" si="210"/>
        <v>7</v>
      </c>
      <c r="AZ367" s="3">
        <f t="shared" si="211"/>
        <v>2</v>
      </c>
      <c r="BA367" s="3">
        <f>IF(ISERROR(LEN(VLOOKUP(A367,Seqs!A:E,2,FALSE))-AL367),"-",LEN(VLOOKUP(A367,Seqs!A:E,2,FALSE))-AL367)</f>
        <v>72</v>
      </c>
      <c r="BB367" s="16">
        <f t="shared" si="212"/>
        <v>33</v>
      </c>
      <c r="BC367" s="9" t="str">
        <f t="shared" si="213"/>
        <v>-</v>
      </c>
      <c r="BD367" s="3">
        <f t="shared" si="214"/>
        <v>33</v>
      </c>
      <c r="BE367" s="3">
        <f t="shared" si="215"/>
        <v>39</v>
      </c>
    </row>
    <row r="368" spans="1:58" s="3" customFormat="1" ht="17" customHeight="1" x14ac:dyDescent="0.2">
      <c r="A368" s="3" t="s">
        <v>122</v>
      </c>
      <c r="B368" s="3" t="str">
        <f>LOWER(VLOOKUP(A368,Xtal_Templ!A:B,2,FALSE))</f>
        <v>grm1_human</v>
      </c>
      <c r="C368" s="3">
        <f>VLOOKUP($A368,'SegEnds_NonXtal_BW#'!$A:$Z,3,FALSE)+D368-50</f>
        <v>565</v>
      </c>
      <c r="D368" s="3">
        <v>581</v>
      </c>
      <c r="E368" s="3">
        <f>IF(ISERROR(VLOOKUP($A368,'SegEnds_NonXtal_BW#'!$A:$Z,4,FALSE)+VLOOKUP($A368,A:AL,4,FALSE)-50),"-",(VLOOKUP($A368,'SegEnds_NonXtal_BW#'!$A:$Z,4,FALSE)+VLOOKUP($A368,A:AL,4,FALSE)-50))</f>
        <v>591</v>
      </c>
      <c r="F368" s="3">
        <f t="shared" si="218"/>
        <v>594</v>
      </c>
      <c r="G368" s="3">
        <v>597</v>
      </c>
      <c r="H368" s="3">
        <f t="shared" si="219"/>
        <v>600</v>
      </c>
      <c r="I368" s="3">
        <f t="shared" si="220"/>
        <v>601</v>
      </c>
      <c r="J368" s="3">
        <v>612</v>
      </c>
      <c r="K368" s="3">
        <f>VLOOKUP($A368,'SegEnds_NonXtal_BW#'!$A:$Z,8,FALSE)+VLOOKUP($A368,A:AL,10,FALSE)-50</f>
        <v>623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628</v>
      </c>
      <c r="P368" s="3">
        <v>656</v>
      </c>
      <c r="Q368" s="3">
        <f>VLOOKUP($A368,'SegEnds_NonXtal_BW#'!$A:$Z,12,FALSE)+VLOOKUP($A368,A:AL,16,FALSE)-50</f>
        <v>660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675</v>
      </c>
      <c r="V368" s="3">
        <v>687</v>
      </c>
      <c r="W368" s="3">
        <f>IF(ISERROR(VLOOKUP($A368,'SegEnds_NonXtal_BW#'!$A:$Z,16,FALSE)+VLOOKUP($A368,A:AL,22,FALSE)-50),"-",(VLOOKUP($A368,'SegEnds_NonXtal_BW#'!$A:$Z,16,FALSE)+VLOOKUP($A368,A:AL,22,FALSE)-50))</f>
        <v>701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ref="Z368:Z381" si="222">Y368+2</f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216"/>
        <v>1</v>
      </c>
      <c r="AO368" s="3" t="str">
        <f>IF(ISERROR(MATCH(A368,'SegEnds_Xtal_Prot#'!B:B, 0)), "NoXtal", "Xtal")</f>
        <v>NoXtal</v>
      </c>
      <c r="AP368" s="3">
        <f t="shared" si="201"/>
        <v>3</v>
      </c>
      <c r="AQ368" s="3">
        <f t="shared" si="202"/>
        <v>1</v>
      </c>
      <c r="AR368" s="3" t="str">
        <f t="shared" si="203"/>
        <v>-</v>
      </c>
      <c r="AS368" s="3" t="str">
        <f t="shared" si="204"/>
        <v>-</v>
      </c>
      <c r="AT368" s="3" t="str">
        <f t="shared" si="205"/>
        <v>-</v>
      </c>
      <c r="AU368" s="3" t="str">
        <f t="shared" si="206"/>
        <v>-</v>
      </c>
      <c r="AV368" s="3">
        <f t="shared" si="207"/>
        <v>19</v>
      </c>
      <c r="AW368" s="3">
        <f t="shared" si="208"/>
        <v>2</v>
      </c>
      <c r="AX368" s="3">
        <f t="shared" si="209"/>
        <v>9</v>
      </c>
      <c r="AY368" s="3">
        <f t="shared" si="210"/>
        <v>5</v>
      </c>
      <c r="AZ368" s="3">
        <f t="shared" si="211"/>
        <v>1</v>
      </c>
      <c r="BA368" s="3">
        <f>IF(ISERROR(LEN(VLOOKUP(A368,Seqs!A:E,2,FALSE))-AL368),"-",LEN(VLOOKUP(A368,Seqs!A:E,2,FALSE))-AL368)</f>
        <v>11</v>
      </c>
      <c r="BB368" s="16">
        <f t="shared" si="212"/>
        <v>31</v>
      </c>
      <c r="BC368" s="9" t="str">
        <f t="shared" si="213"/>
        <v>-</v>
      </c>
      <c r="BD368" s="3">
        <f t="shared" si="214"/>
        <v>31</v>
      </c>
      <c r="BE368" s="3">
        <f t="shared" si="215"/>
        <v>37</v>
      </c>
      <c r="BF368" s="3">
        <f>AH368-AE368</f>
        <v>29</v>
      </c>
    </row>
    <row r="369" spans="1:58" s="3" customFormat="1" x14ac:dyDescent="0.2">
      <c r="A369" s="3" t="s">
        <v>123</v>
      </c>
      <c r="B369" s="3" t="str">
        <f>LOWER(VLOOKUP(A369,Xtal_Templ!A:B,2,FALSE))</f>
        <v>grm1_human</v>
      </c>
      <c r="C369" s="3">
        <f>VLOOKUP($A369,'SegEnds_NonXtal_BW#'!$A:$Z,3,FALSE)+D369-50</f>
        <v>564</v>
      </c>
      <c r="D369" s="3">
        <v>580</v>
      </c>
      <c r="E369" s="3">
        <f>IF(ISERROR(VLOOKUP($A369,'SegEnds_NonXtal_BW#'!$A:$Z,4,FALSE)+VLOOKUP($A369,A:AL,4,FALSE)-50),"-",(VLOOKUP($A369,'SegEnds_NonXtal_BW#'!$A:$Z,4,FALSE)+VLOOKUP($A369,A:AL,4,FALSE)-50))</f>
        <v>590</v>
      </c>
      <c r="F369" s="3">
        <f t="shared" si="218"/>
        <v>593</v>
      </c>
      <c r="G369" s="3">
        <v>596</v>
      </c>
      <c r="H369" s="3">
        <f t="shared" si="219"/>
        <v>599</v>
      </c>
      <c r="I369" s="3">
        <f t="shared" si="220"/>
        <v>600</v>
      </c>
      <c r="J369" s="3">
        <v>611</v>
      </c>
      <c r="K369" s="3">
        <f>VLOOKUP($A369,'SegEnds_NonXtal_BW#'!$A:$Z,8,FALSE)+VLOOKUP($A369,A:AL,10,FALSE)-50</f>
        <v>622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627</v>
      </c>
      <c r="P369" s="3">
        <v>655</v>
      </c>
      <c r="Q369" s="3">
        <f>VLOOKUP($A369,'SegEnds_NonXtal_BW#'!$A:$Z,12,FALSE)+VLOOKUP($A369,A:AL,16,FALSE)-50</f>
        <v>659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674</v>
      </c>
      <c r="V369" s="3">
        <v>686</v>
      </c>
      <c r="W369" s="3">
        <f>IF(ISERROR(VLOOKUP($A369,'SegEnds_NonXtal_BW#'!$A:$Z,16,FALSE)+VLOOKUP($A369,A:AL,22,FALSE)-50),"-",(VLOOKUP($A369,'SegEnds_NonXtal_BW#'!$A:$Z,16,FALSE)+VLOOKUP($A369,A:AL,22,FALSE)-50))</f>
        <v>700</v>
      </c>
      <c r="X369" s="3">
        <f>IF(ISERROR(VLOOKUP($A369,'SegEnds_NonXtal_BW#'!$A:$Z,17,FALSE)+VLOOKUP($A369,A:AL,25,FALSE)-50),"-",(VLOOKUP($A369,'SegEnds_NonXtal_BW#'!$A:$Z,17,FALSE)+VLOOKUP($A369,A:AL,25,FALSE)-50))</f>
        <v>720</v>
      </c>
      <c r="Y369" s="3">
        <v>720</v>
      </c>
      <c r="Z369" s="3">
        <f t="shared" si="222"/>
        <v>722</v>
      </c>
      <c r="AA369" s="3">
        <f>IF(ISERROR(VLOOKUP($A369,'SegEnds_NonXtal_BW#'!$A:$Z,19,FALSE)+VLOOKUP($A369,A:AL,28,FALSE)-50),"-",(VLOOKUP($A369,'SegEnds_NonXtal_BW#'!$A:$Z,19,FALSE)+VLOOKUP($A369,A:AL,28,FALSE)-50))</f>
        <v>724</v>
      </c>
      <c r="AB369" s="3">
        <v>738</v>
      </c>
      <c r="AC369" s="3">
        <f>IF(ISERROR((VLOOKUP($A369,'SegEnds_NonXtal_BW#'!$A:$Z,20,FALSE)+VLOOKUP($A369,A:AL,28,FALSE)-50)),"-",(VLOOKUP($A369,'SegEnds_NonXtal_BW#'!$A:$Z,20,FALSE)+VLOOKUP($A369,A:AL,28,FALSE)-50))</f>
        <v>749</v>
      </c>
      <c r="AD369" s="3">
        <f>IF(ISERROR(VLOOKUP($A369,'SegEnds_NonXtal_BW#'!$A:$Z,21,FALSE)+VLOOKUP($A369,A:AL,31,FALSE)-50),"-",(VLOOKUP($A369,'SegEnds_NonXtal_BW#'!$A:$Z,21,FALSE)+VLOOKUP($A369,A:AL,31,FALSE)-50))</f>
        <v>758</v>
      </c>
      <c r="AE369" s="3">
        <v>775</v>
      </c>
      <c r="AF369" s="3">
        <f>IF(ISERROR((VLOOKUP($A369,'SegEnds_NonXtal_BW#'!$A:$Z,22,FALSE)+VLOOKUP($A369,A:AL,31,FALSE)-50)),"-",(VLOOKUP($A369,'SegEnds_NonXtal_BW#'!$A:$Z,22,FALSE)+VLOOKUP($A369,A:AL,31,FALSE)-50))</f>
        <v>782</v>
      </c>
      <c r="AG369" s="3">
        <f>IF(ISERROR(VLOOKUP($A369,'SegEnds_NonXtal_BW#'!$A:$Z,23,FALSE)+VLOOKUP($A369,A:AL,34,FALSE)-50),"-",(VLOOKUP($A369,'SegEnds_NonXtal_BW#'!$A:$Z,23,FALSE)+VLOOKUP($A369,A:AL,34,FALSE)-50))</f>
        <v>787</v>
      </c>
      <c r="AH369" s="3">
        <v>804</v>
      </c>
      <c r="AI369" s="3">
        <f>IF(ISERROR((VLOOKUP($A369,'SegEnds_NonXtal_BW#'!$A:$Z,24,FALSE)+VLOOKUP($A369,A:AL,34,FALSE)-50)),"-",(VLOOKUP($A369,'SegEnds_NonXtal_BW#'!$A:$Z,24,FALSE)+VLOOKUP($A369,A:AL,34,FALSE)-50))</f>
        <v>818</v>
      </c>
      <c r="AJ369" s="3">
        <f>IF(ISERROR(VLOOKUP($A369,'SegEnds_NonXtal_BW#'!$A:$Z,25,FALSE)+VLOOKUP($A369,A:AL,37,FALSE)-50),"-",(VLOOKUP($A369,'SegEnds_NonXtal_BW#'!$A:$Z,25,FALSE)+VLOOKUP($A369,A:AL,37,FALSE)-50))</f>
        <v>819</v>
      </c>
      <c r="AK369" s="3">
        <v>823</v>
      </c>
      <c r="AL369" s="3">
        <f>IF(ISERROR((VLOOKUP($A369,'SegEnds_NonXtal_BW#'!$A:$Z,26,FALSE)+VLOOKUP($A369,A:AL,37,FALSE)-50)),"-",(VLOOKUP($A369,'SegEnds_NonXtal_BW#'!$A:$Z,26,FALSE)+VLOOKUP($A369,A:AL,37,FALSE)-50))</f>
        <v>830</v>
      </c>
      <c r="AM369" s="28" t="str">
        <f>VLOOKUP(A369,Classification!A:B,2,FALSE)</f>
        <v>C</v>
      </c>
      <c r="AN369" s="28" t="b">
        <f t="shared" si="216"/>
        <v>1</v>
      </c>
      <c r="AO369" s="3" t="str">
        <f>IF(ISERROR(MATCH(A369,'SegEnds_Xtal_Prot#'!B:B, 0)), "NoXtal", "Xtal")</f>
        <v>NoXtal</v>
      </c>
      <c r="AP369" s="3">
        <f t="shared" si="201"/>
        <v>3</v>
      </c>
      <c r="AQ369" s="3">
        <f t="shared" si="202"/>
        <v>1</v>
      </c>
      <c r="AR369" s="3" t="str">
        <f t="shared" si="203"/>
        <v>-</v>
      </c>
      <c r="AS369" s="3" t="str">
        <f t="shared" si="204"/>
        <v>-</v>
      </c>
      <c r="AT369" s="3" t="str">
        <f t="shared" si="205"/>
        <v>-</v>
      </c>
      <c r="AU369" s="3" t="str">
        <f t="shared" si="206"/>
        <v>-</v>
      </c>
      <c r="AV369" s="3">
        <f t="shared" si="207"/>
        <v>20</v>
      </c>
      <c r="AW369" s="3">
        <f t="shared" si="208"/>
        <v>2</v>
      </c>
      <c r="AX369" s="3">
        <f t="shared" si="209"/>
        <v>9</v>
      </c>
      <c r="AY369" s="3">
        <f t="shared" si="210"/>
        <v>5</v>
      </c>
      <c r="AZ369" s="3">
        <f t="shared" si="211"/>
        <v>1</v>
      </c>
      <c r="BA369" s="3">
        <f>IF(ISERROR(LEN(VLOOKUP(A369,Seqs!A:E,2,FALSE))-AL369),"-",LEN(VLOOKUP(A369,Seqs!A:E,2,FALSE))-AL369)</f>
        <v>9</v>
      </c>
      <c r="BB369" s="16">
        <f t="shared" si="212"/>
        <v>31</v>
      </c>
      <c r="BC369" s="9" t="str">
        <f t="shared" si="213"/>
        <v>-</v>
      </c>
      <c r="BD369" s="3">
        <f t="shared" si="214"/>
        <v>31</v>
      </c>
      <c r="BE369" s="3">
        <f t="shared" si="215"/>
        <v>37</v>
      </c>
      <c r="BF369" s="3">
        <f>AH369-AE369</f>
        <v>29</v>
      </c>
    </row>
    <row r="370" spans="1:58" s="3" customFormat="1" x14ac:dyDescent="0.2">
      <c r="A370" s="3" t="s">
        <v>124</v>
      </c>
      <c r="B370" s="3" t="str">
        <f>LOWER(VLOOKUP(A370,Xtal_Templ!A:B,2,FALSE))</f>
        <v>grm1_human</v>
      </c>
      <c r="C370" s="3">
        <f>VLOOKUP($A370,'SegEnds_NonXtal_BW#'!$A:$Z,3,FALSE)+D370-50</f>
        <v>567</v>
      </c>
      <c r="D370" s="3">
        <v>583</v>
      </c>
      <c r="E370" s="3">
        <f>IF(ISERROR(VLOOKUP($A370,'SegEnds_NonXtal_BW#'!$A:$Z,4,FALSE)+VLOOKUP($A370,A:AL,4,FALSE)-50),"-",(VLOOKUP($A370,'SegEnds_NonXtal_BW#'!$A:$Z,4,FALSE)+VLOOKUP($A370,A:AL,4,FALSE)-50))</f>
        <v>593</v>
      </c>
      <c r="F370" s="3">
        <f t="shared" si="218"/>
        <v>596</v>
      </c>
      <c r="G370" s="3">
        <v>599</v>
      </c>
      <c r="H370" s="3">
        <f t="shared" si="219"/>
        <v>602</v>
      </c>
      <c r="I370" s="3">
        <f t="shared" si="220"/>
        <v>603</v>
      </c>
      <c r="J370" s="3">
        <v>614</v>
      </c>
      <c r="K370" s="3">
        <f>VLOOKUP($A370,'SegEnds_NonXtal_BW#'!$A:$Z,8,FALSE)+VLOOKUP($A370,A:AL,10,FALSE)-50</f>
        <v>625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630</v>
      </c>
      <c r="P370" s="3">
        <v>658</v>
      </c>
      <c r="Q370" s="3">
        <f>VLOOKUP($A370,'SegEnds_NonXtal_BW#'!$A:$Z,12,FALSE)+VLOOKUP($A370,A:AL,16,FALSE)-50</f>
        <v>662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677</v>
      </c>
      <c r="V370" s="3">
        <v>689</v>
      </c>
      <c r="W370" s="3">
        <f>IF(ISERROR(VLOOKUP($A370,'SegEnds_NonXtal_BW#'!$A:$Z,16,FALSE)+VLOOKUP($A370,A:AL,22,FALSE)-50),"-",(VLOOKUP($A370,'SegEnds_NonXtal_BW#'!$A:$Z,16,FALSE)+VLOOKUP($A370,A:AL,22,FALSE)-50))</f>
        <v>703</v>
      </c>
      <c r="X370" s="3">
        <f>IF(ISERROR(VLOOKUP($A370,'SegEnds_NonXtal_BW#'!$A:$Z,17,FALSE)+VLOOKUP($A370,A:AL,25,FALSE)-50),"-",(VLOOKUP($A370,'SegEnds_NonXtal_BW#'!$A:$Z,17,FALSE)+VLOOKUP($A370,A:AL,25,FALSE)-50))</f>
        <v>722</v>
      </c>
      <c r="Y370" s="3">
        <v>722</v>
      </c>
      <c r="Z370" s="3">
        <f t="shared" si="222"/>
        <v>724</v>
      </c>
      <c r="AA370" s="3">
        <f>IF(ISERROR(VLOOKUP($A370,'SegEnds_NonXtal_BW#'!$A:$Z,19,FALSE)+VLOOKUP($A370,A:AL,28,FALSE)-50),"-",(VLOOKUP($A370,'SegEnds_NonXtal_BW#'!$A:$Z,19,FALSE)+VLOOKUP($A370,A:AL,28,FALSE)-50))</f>
        <v>726</v>
      </c>
      <c r="AB370" s="3">
        <v>740</v>
      </c>
      <c r="AC370" s="3">
        <f>IF(ISERROR((VLOOKUP($A370,'SegEnds_NonXtal_BW#'!$A:$Z,20,FALSE)+VLOOKUP($A370,A:AL,28,FALSE)-50)),"-",(VLOOKUP($A370,'SegEnds_NonXtal_BW#'!$A:$Z,20,FALSE)+VLOOKUP($A370,A:AL,28,FALSE)-50))</f>
        <v>751</v>
      </c>
      <c r="AD370" s="3">
        <f>IF(ISERROR(VLOOKUP($A370,'SegEnds_NonXtal_BW#'!$A:$Z,21,FALSE)+VLOOKUP($A370,A:AL,31,FALSE)-50),"-",(VLOOKUP($A370,'SegEnds_NonXtal_BW#'!$A:$Z,21,FALSE)+VLOOKUP($A370,A:AL,31,FALSE)-50))</f>
        <v>760</v>
      </c>
      <c r="AE370" s="3">
        <v>777</v>
      </c>
      <c r="AF370" s="3">
        <f>IF(ISERROR((VLOOKUP($A370,'SegEnds_NonXtal_BW#'!$A:$Z,22,FALSE)+VLOOKUP($A370,A:AL,31,FALSE)-50)),"-",(VLOOKUP($A370,'SegEnds_NonXtal_BW#'!$A:$Z,22,FALSE)+VLOOKUP($A370,A:AL,31,FALSE)-50))</f>
        <v>784</v>
      </c>
      <c r="AG370" s="3">
        <f>IF(ISERROR(VLOOKUP($A370,'SegEnds_NonXtal_BW#'!$A:$Z,23,FALSE)+VLOOKUP($A370,A:AL,34,FALSE)-50),"-",(VLOOKUP($A370,'SegEnds_NonXtal_BW#'!$A:$Z,23,FALSE)+VLOOKUP($A370,A:AL,34,FALSE)-50))</f>
        <v>789</v>
      </c>
      <c r="AH370" s="3">
        <v>806</v>
      </c>
      <c r="AI370" s="3">
        <f>IF(ISERROR((VLOOKUP($A370,'SegEnds_NonXtal_BW#'!$A:$Z,24,FALSE)+VLOOKUP($A370,A:AL,34,FALSE)-50)),"-",(VLOOKUP($A370,'SegEnds_NonXtal_BW#'!$A:$Z,24,FALSE)+VLOOKUP($A370,A:AL,34,FALSE)-50))</f>
        <v>820</v>
      </c>
      <c r="AJ370" s="3">
        <f>IF(ISERROR(VLOOKUP($A370,'SegEnds_NonXtal_BW#'!$A:$Z,25,FALSE)+VLOOKUP($A370,A:AL,37,FALSE)-50),"-",(VLOOKUP($A370,'SegEnds_NonXtal_BW#'!$A:$Z,25,FALSE)+VLOOKUP($A370,A:AL,37,FALSE)-50))</f>
        <v>821</v>
      </c>
      <c r="AK370" s="3">
        <v>825</v>
      </c>
      <c r="AL370" s="3">
        <f>IF(ISERROR((VLOOKUP($A370,'SegEnds_NonXtal_BW#'!$A:$Z,26,FALSE)+VLOOKUP($A370,A:AL,37,FALSE)-50)),"-",(VLOOKUP($A370,'SegEnds_NonXtal_BW#'!$A:$Z,26,FALSE)+VLOOKUP($A370,A:AL,37,FALSE)-50))</f>
        <v>832</v>
      </c>
      <c r="AM370" s="28" t="str">
        <f>VLOOKUP(A370,Classification!A:B,2,FALSE)</f>
        <v>C</v>
      </c>
      <c r="AN370" s="28" t="b">
        <f t="shared" si="216"/>
        <v>1</v>
      </c>
      <c r="AO370" s="3" t="str">
        <f>IF(ISERROR(MATCH(A370,'SegEnds_Xtal_Prot#'!B:B, 0)), "NoXtal", "Xtal")</f>
        <v>NoXtal</v>
      </c>
      <c r="AP370" s="3">
        <f t="shared" si="201"/>
        <v>3</v>
      </c>
      <c r="AQ370" s="3">
        <f t="shared" si="202"/>
        <v>1</v>
      </c>
      <c r="AR370" s="3" t="str">
        <f t="shared" si="203"/>
        <v>-</v>
      </c>
      <c r="AS370" s="3" t="str">
        <f t="shared" si="204"/>
        <v>-</v>
      </c>
      <c r="AT370" s="3" t="str">
        <f t="shared" si="205"/>
        <v>-</v>
      </c>
      <c r="AU370" s="3" t="str">
        <f t="shared" si="206"/>
        <v>-</v>
      </c>
      <c r="AV370" s="3">
        <f t="shared" si="207"/>
        <v>19</v>
      </c>
      <c r="AW370" s="3">
        <f t="shared" si="208"/>
        <v>2</v>
      </c>
      <c r="AX370" s="3">
        <f t="shared" si="209"/>
        <v>9</v>
      </c>
      <c r="AY370" s="3">
        <f t="shared" si="210"/>
        <v>5</v>
      </c>
      <c r="AZ370" s="3">
        <f t="shared" si="211"/>
        <v>1</v>
      </c>
      <c r="BA370" s="3">
        <f>IF(ISERROR(LEN(VLOOKUP(A370,Seqs!A:E,2,FALSE))-AL370),"-",LEN(VLOOKUP(A370,Seqs!A:E,2,FALSE))-AL370)</f>
        <v>20</v>
      </c>
      <c r="BB370" s="16">
        <f t="shared" si="212"/>
        <v>31</v>
      </c>
      <c r="BC370" s="9" t="str">
        <f t="shared" si="213"/>
        <v>-</v>
      </c>
      <c r="BD370" s="3">
        <f t="shared" si="214"/>
        <v>31</v>
      </c>
      <c r="BE370" s="3">
        <f t="shared" si="215"/>
        <v>37</v>
      </c>
      <c r="BF370" s="3">
        <f>AH370-AE370</f>
        <v>29</v>
      </c>
    </row>
    <row r="371" spans="1:58" s="3" customFormat="1" x14ac:dyDescent="0.2">
      <c r="A371" s="3" t="s">
        <v>446</v>
      </c>
      <c r="B371" s="3" t="str">
        <f>LOWER(VLOOKUP(A371,Xtal_Templ!A:B,2,FALSE))</f>
        <v>fzd4_human</v>
      </c>
      <c r="C371" s="3">
        <f>VLOOKUP($A371,'SegEnds_NonXtal_BW#'!$A:$Z,3,FALSE)+D371-50</f>
        <v>312</v>
      </c>
      <c r="D371" s="3">
        <v>334</v>
      </c>
      <c r="E371" s="3">
        <f>IF(ISERROR(VLOOKUP($A371,'SegEnds_NonXtal_BW#'!$A:$Z,4,FALSE)+VLOOKUP($A371,A:AL,4,FALSE)-50),"-",(VLOOKUP($A371,'SegEnds_NonXtal_BW#'!$A:$Z,4,FALSE)+VLOOKUP($A371,A:AL,4,FALSE)-50))</f>
        <v>344</v>
      </c>
      <c r="F371" s="3">
        <f t="shared" si="218"/>
        <v>345</v>
      </c>
      <c r="G371" s="3">
        <v>348</v>
      </c>
      <c r="H371" s="3">
        <f t="shared" ref="H371:H381" si="223">G371+1</f>
        <v>349</v>
      </c>
      <c r="I371" s="3">
        <f t="shared" si="220"/>
        <v>350</v>
      </c>
      <c r="J371" s="3">
        <v>360</v>
      </c>
      <c r="K371" s="3">
        <f>VLOOKUP($A371,'SegEnds_NonXtal_BW#'!$A:$Z,8,FALSE)+VLOOKUP($A371,A:AL,10,FALSE)-50</f>
        <v>376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399</v>
      </c>
      <c r="P371" s="3">
        <v>427</v>
      </c>
      <c r="Q371" s="3">
        <f>VLOOKUP($A371,'SegEnds_NonXtal_BW#'!$A:$Z,12,FALSE)+VLOOKUP($A371,A:AL,16,FALSE)-50</f>
        <v>432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443</v>
      </c>
      <c r="V371" s="3">
        <v>452</v>
      </c>
      <c r="W371" s="3">
        <f>IF(ISERROR(VLOOKUP($A371,'SegEnds_NonXtal_BW#'!$A:$Z,16,FALSE)+VLOOKUP($A371,A:AL,22,FALSE)-50),"-",(VLOOKUP($A371,'SegEnds_NonXtal_BW#'!$A:$Z,16,FALSE)+VLOOKUP($A371,A:AL,22,FALSE)-50))</f>
        <v>466</v>
      </c>
      <c r="X371" s="3">
        <f>IF(ISERROR(VLOOKUP($A371,'SegEnds_NonXtal_BW#'!$A:$Z,17,FALSE)+VLOOKUP($A371,A:AL,25,FALSE)-50),"-",(VLOOKUP($A371,'SegEnds_NonXtal_BW#'!$A:$Z,17,FALSE)+VLOOKUP($A371,A:AL,25,FALSE)-50))</f>
        <v>477</v>
      </c>
      <c r="Y371" s="3">
        <v>477</v>
      </c>
      <c r="Z371" s="3">
        <f t="shared" si="222"/>
        <v>479</v>
      </c>
      <c r="AA371" s="3">
        <f>IF(ISERROR(VLOOKUP($A371,'SegEnds_NonXtal_BW#'!$A:$Z,19,FALSE)+VLOOKUP($A371,A:AL,28,FALSE)-50),"-",(VLOOKUP($A371,'SegEnds_NonXtal_BW#'!$A:$Z,19,FALSE)+VLOOKUP($A371,A:AL,28,FALSE)-50))</f>
        <v>483</v>
      </c>
      <c r="AB371" s="3">
        <v>498</v>
      </c>
      <c r="AC371" s="3">
        <f>IF(ISERROR((VLOOKUP($A371,'SegEnds_NonXtal_BW#'!$A:$Z,20,FALSE)+VLOOKUP($A371,A:AL,28,FALSE)-50)),"-",(VLOOKUP($A371,'SegEnds_NonXtal_BW#'!$A:$Z,20,FALSE)+VLOOKUP($A371,A:AL,28,FALSE)-50))</f>
        <v>520</v>
      </c>
      <c r="AD371" s="3">
        <f>IF(ISERROR(VLOOKUP($A371,'SegEnds_NonXtal_BW#'!$A:$Z,21,FALSE)+VLOOKUP($A371,A:AL,31,FALSE)-50),"-",(VLOOKUP($A371,'SegEnds_NonXtal_BW#'!$A:$Z,21,FALSE)+VLOOKUP($A371,A:AL,31,FALSE)-50))</f>
        <v>531</v>
      </c>
      <c r="AE371" s="3">
        <v>553</v>
      </c>
      <c r="AF371" s="3">
        <f>IF(ISERROR((VLOOKUP($A371,'SegEnds_NonXtal_BW#'!$A:$Z,22,FALSE)+VLOOKUP($A371,A:AL,31,FALSE)-50)),"-",(VLOOKUP($A371,'SegEnds_NonXtal_BW#'!$A:$Z,22,FALSE)+VLOOKUP($A371,A:AL,31,FALSE)-50))</f>
        <v>581</v>
      </c>
      <c r="AG371" s="3">
        <f>IF(ISERROR(VLOOKUP($A371,'SegEnds_NonXtal_BW#'!$A:$Z,23,FALSE)+VLOOKUP($A371,A:AL,34,FALSE)-50),"-",(VLOOKUP($A371,'SegEnds_NonXtal_BW#'!$A:$Z,23,FALSE)+VLOOKUP($A371,A:AL,34,FALSE)-50))</f>
        <v>599</v>
      </c>
      <c r="AH371" s="3">
        <v>615</v>
      </c>
      <c r="AI371" s="3">
        <f>IF(ISERROR((VLOOKUP($A371,'SegEnds_NonXtal_BW#'!$A:$Z,24,FALSE)+VLOOKUP($A371,A:AL,34,FALSE)-50)),"-",(VLOOKUP($A371,'SegEnds_NonXtal_BW#'!$A:$Z,24,FALSE)+VLOOKUP($A371,A:AL,34,FALSE)-50))</f>
        <v>622</v>
      </c>
      <c r="AJ371" s="3">
        <f>IF(ISERROR(VLOOKUP($A371,'SegEnds_NonXtal_BW#'!$A:$Z,25,FALSE)+VLOOKUP($A371,A:AL,37,FALSE)-50),"-",(VLOOKUP($A371,'SegEnds_NonXtal_BW#'!$A:$Z,25,FALSE)+VLOOKUP($A371,A:AL,37,FALSE)-50))</f>
        <v>623</v>
      </c>
      <c r="AK371" s="3">
        <v>626</v>
      </c>
      <c r="AL371" s="3">
        <f>IF(ISERROR((VLOOKUP($A371,'SegEnds_NonXtal_BW#'!$A:$Z,26,FALSE)+VLOOKUP($A371,A:AL,37,FALSE)-50)),"-",(VLOOKUP($A371,'SegEnds_NonXtal_BW#'!$A:$Z,26,FALSE)+VLOOKUP($A371,A:AL,37,FALSE)-50))</f>
        <v>638</v>
      </c>
      <c r="AM371" s="28" t="str">
        <f>VLOOKUP(A371,Classification!A:B,2,FALSE)</f>
        <v>F</v>
      </c>
      <c r="AN371" s="28" t="b">
        <f t="shared" si="216"/>
        <v>1</v>
      </c>
      <c r="AO371" s="3" t="str">
        <f>IF(ISERROR(MATCH(A371,'SegEnds_Xtal_Prot#'!B:B, 0)), "NoXtal", "Xtal")</f>
        <v>NoXtal</v>
      </c>
      <c r="AP371" s="3">
        <f t="shared" si="201"/>
        <v>1</v>
      </c>
      <c r="AQ371" s="3">
        <f t="shared" si="202"/>
        <v>1</v>
      </c>
      <c r="AR371" s="3" t="str">
        <f t="shared" si="203"/>
        <v>-</v>
      </c>
      <c r="AS371" s="3" t="str">
        <f t="shared" si="204"/>
        <v>-</v>
      </c>
      <c r="AT371" s="3" t="str">
        <f t="shared" si="205"/>
        <v>-</v>
      </c>
      <c r="AU371" s="3" t="str">
        <f t="shared" si="206"/>
        <v>-</v>
      </c>
      <c r="AV371" s="3">
        <f t="shared" si="207"/>
        <v>11</v>
      </c>
      <c r="AW371" s="3">
        <f t="shared" si="208"/>
        <v>4</v>
      </c>
      <c r="AX371" s="3">
        <f t="shared" si="209"/>
        <v>11</v>
      </c>
      <c r="AY371" s="3">
        <f t="shared" si="210"/>
        <v>18</v>
      </c>
      <c r="AZ371" s="3">
        <f t="shared" si="211"/>
        <v>1</v>
      </c>
      <c r="BA371" s="3">
        <f>IF(ISERROR(LEN(VLOOKUP(A371,Seqs!A:E,2,FALSE))-AL371),"-",LEN(VLOOKUP(A371,Seqs!A:E,2,FALSE))-AL371)</f>
        <v>9</v>
      </c>
      <c r="BB371" s="16">
        <f t="shared" si="212"/>
        <v>26</v>
      </c>
      <c r="BC371" s="9" t="str">
        <f t="shared" si="213"/>
        <v>-</v>
      </c>
      <c r="BD371" s="3">
        <f t="shared" si="214"/>
        <v>26</v>
      </c>
      <c r="BE371" s="3">
        <f t="shared" si="215"/>
        <v>55</v>
      </c>
      <c r="BF371" s="3">
        <f>AH371-AE371</f>
        <v>62</v>
      </c>
    </row>
    <row r="372" spans="1:58" s="3" customFormat="1" x14ac:dyDescent="0.2">
      <c r="A372" s="3" t="s">
        <v>447</v>
      </c>
      <c r="B372" s="3" t="str">
        <f>LOWER(VLOOKUP(A372,Xtal_Templ!A:B,2,FALSE))</f>
        <v>fzd4_human</v>
      </c>
      <c r="C372" s="3">
        <f>VLOOKUP($A372,'SegEnds_NonXtal_BW#'!$A:$Z,3,FALSE)+D372-50</f>
        <v>220</v>
      </c>
      <c r="D372" s="3">
        <v>242</v>
      </c>
      <c r="E372" s="3">
        <f>IF(ISERROR(VLOOKUP($A372,'SegEnds_NonXtal_BW#'!$A:$Z,4,FALSE)+VLOOKUP($A372,A:AL,4,FALSE)-50),"-",(VLOOKUP($A372,'SegEnds_NonXtal_BW#'!$A:$Z,4,FALSE)+VLOOKUP($A372,A:AL,4,FALSE)-50))</f>
        <v>252</v>
      </c>
      <c r="F372" s="3">
        <f t="shared" si="218"/>
        <v>253</v>
      </c>
      <c r="G372" s="3">
        <v>256</v>
      </c>
      <c r="H372" s="3">
        <f t="shared" si="223"/>
        <v>257</v>
      </c>
      <c r="I372" s="3">
        <f t="shared" si="220"/>
        <v>258</v>
      </c>
      <c r="J372" s="3">
        <v>268</v>
      </c>
      <c r="K372" s="3">
        <f>VLOOKUP($A372,'SegEnds_NonXtal_BW#'!$A:$Z,8,FALSE)+VLOOKUP($A372,A:AL,10,FALSE)-50</f>
        <v>284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306</v>
      </c>
      <c r="P372" s="3">
        <v>334</v>
      </c>
      <c r="Q372" s="3">
        <f>VLOOKUP($A372,'SegEnds_NonXtal_BW#'!$A:$Z,12,FALSE)+VLOOKUP($A372,A:AL,16,FALSE)-50</f>
        <v>339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350</v>
      </c>
      <c r="V372" s="3">
        <v>359</v>
      </c>
      <c r="W372" s="3">
        <f>IF(ISERROR(VLOOKUP($A372,'SegEnds_NonXtal_BW#'!$A:$Z,16,FALSE)+VLOOKUP($A372,A:AL,22,FALSE)-50),"-",(VLOOKUP($A372,'SegEnds_NonXtal_BW#'!$A:$Z,16,FALSE)+VLOOKUP($A372,A:AL,22,FALSE)-50))</f>
        <v>373</v>
      </c>
      <c r="X372" s="3">
        <f>IF(ISERROR(VLOOKUP($A372,'SegEnds_NonXtal_BW#'!$A:$Z,17,FALSE)+VLOOKUP($A372,A:AL,25,FALSE)-50),"-",(VLOOKUP($A372,'SegEnds_NonXtal_BW#'!$A:$Z,17,FALSE)+VLOOKUP($A372,A:AL,25,FALSE)-50))</f>
        <v>384</v>
      </c>
      <c r="Y372" s="3">
        <v>384</v>
      </c>
      <c r="Z372" s="3">
        <f t="shared" si="222"/>
        <v>386</v>
      </c>
      <c r="AA372" s="3">
        <f>IF(ISERROR(VLOOKUP($A372,'SegEnds_NonXtal_BW#'!$A:$Z,19,FALSE)+VLOOKUP($A372,A:AL,28,FALSE)-50),"-",(VLOOKUP($A372,'SegEnds_NonXtal_BW#'!$A:$Z,19,FALSE)+VLOOKUP($A372,A:AL,28,FALSE)-50))</f>
        <v>390</v>
      </c>
      <c r="AB372" s="3">
        <v>405</v>
      </c>
      <c r="AC372" s="3">
        <f>IF(ISERROR((VLOOKUP($A372,'SegEnds_NonXtal_BW#'!$A:$Z,20,FALSE)+VLOOKUP($A372,A:AL,28,FALSE)-50)),"-",(VLOOKUP($A372,'SegEnds_NonXtal_BW#'!$A:$Z,20,FALSE)+VLOOKUP($A372,A:AL,28,FALSE)-50))</f>
        <v>427</v>
      </c>
      <c r="AD372" s="3">
        <f>IF(ISERROR(VLOOKUP($A372,'SegEnds_NonXtal_BW#'!$A:$Z,21,FALSE)+VLOOKUP($A372,A:AL,31,FALSE)-50),"-",(VLOOKUP($A372,'SegEnds_NonXtal_BW#'!$A:$Z,21,FALSE)+VLOOKUP($A372,A:AL,31,FALSE)-50))</f>
        <v>438</v>
      </c>
      <c r="AE372" s="3">
        <v>460</v>
      </c>
      <c r="AF372" s="3">
        <f>IF(ISERROR((VLOOKUP($A372,'SegEnds_NonXtal_BW#'!$A:$Z,22,FALSE)+VLOOKUP($A372,A:AL,31,FALSE)-50)),"-",(VLOOKUP($A372,'SegEnds_NonXtal_BW#'!$A:$Z,22,FALSE)+VLOOKUP($A372,A:AL,31,FALSE)-50))</f>
        <v>488</v>
      </c>
      <c r="AG372" s="3">
        <f>IF(ISERROR(VLOOKUP($A372,'SegEnds_NonXtal_BW#'!$A:$Z,23,FALSE)+VLOOKUP($A372,A:AL,34,FALSE)-50),"-",(VLOOKUP($A372,'SegEnds_NonXtal_BW#'!$A:$Z,23,FALSE)+VLOOKUP($A372,A:AL,34,FALSE)-50))</f>
        <v>500</v>
      </c>
      <c r="AH372" s="3">
        <v>516</v>
      </c>
      <c r="AI372" s="3">
        <f>IF(ISERROR((VLOOKUP($A372,'SegEnds_NonXtal_BW#'!$A:$Z,24,FALSE)+VLOOKUP($A372,A:AL,34,FALSE)-50)),"-",(VLOOKUP($A372,'SegEnds_NonXtal_BW#'!$A:$Z,24,FALSE)+VLOOKUP($A372,A:AL,34,FALSE)-50))</f>
        <v>523</v>
      </c>
      <c r="AJ372" s="3">
        <f>IF(ISERROR(VLOOKUP($A372,'SegEnds_NonXtal_BW#'!$A:$Z,25,FALSE)+VLOOKUP($A372,A:AL,37,FALSE)-50),"-",(VLOOKUP($A372,'SegEnds_NonXtal_BW#'!$A:$Z,25,FALSE)+VLOOKUP($A372,A:AL,37,FALSE)-50))</f>
        <v>524</v>
      </c>
      <c r="AK372" s="3">
        <v>527</v>
      </c>
      <c r="AL372" s="3">
        <f>IF(ISERROR((VLOOKUP($A372,'SegEnds_NonXtal_BW#'!$A:$Z,26,FALSE)+VLOOKUP($A372,A:AL,37,FALSE)-50)),"-",(VLOOKUP($A372,'SegEnds_NonXtal_BW#'!$A:$Z,26,FALSE)+VLOOKUP($A372,A:AL,37,FALSE)-50))</f>
        <v>539</v>
      </c>
      <c r="AM372" s="28" t="str">
        <f>VLOOKUP(A372,Classification!A:B,2,FALSE)</f>
        <v>F</v>
      </c>
      <c r="AN372" s="28" t="b">
        <f t="shared" si="216"/>
        <v>1</v>
      </c>
      <c r="AO372" s="3" t="str">
        <f>IF(ISERROR(MATCH(A372,'SegEnds_Xtal_Prot#'!B:B, 0)), "NoXtal", "Xtal")</f>
        <v>NoXtal</v>
      </c>
      <c r="AP372" s="3">
        <f t="shared" si="201"/>
        <v>1</v>
      </c>
      <c r="AQ372" s="3">
        <f t="shared" si="202"/>
        <v>1</v>
      </c>
      <c r="AR372" s="3" t="str">
        <f t="shared" si="203"/>
        <v>-</v>
      </c>
      <c r="AS372" s="3" t="str">
        <f t="shared" si="204"/>
        <v>-</v>
      </c>
      <c r="AT372" s="3" t="str">
        <f t="shared" si="205"/>
        <v>-</v>
      </c>
      <c r="AU372" s="3" t="str">
        <f t="shared" si="206"/>
        <v>-</v>
      </c>
      <c r="AV372" s="3">
        <f t="shared" si="207"/>
        <v>11</v>
      </c>
      <c r="AW372" s="3">
        <f t="shared" si="208"/>
        <v>4</v>
      </c>
      <c r="AX372" s="3">
        <f t="shared" si="209"/>
        <v>11</v>
      </c>
      <c r="AY372" s="3">
        <f t="shared" si="210"/>
        <v>12</v>
      </c>
      <c r="AZ372" s="3">
        <f t="shared" si="211"/>
        <v>1</v>
      </c>
      <c r="BA372" s="3">
        <f>IF(ISERROR(LEN(VLOOKUP(A372,Seqs!A:E,2,FALSE))-AL372),"-",LEN(VLOOKUP(A372,Seqs!A:E,2,FALSE))-AL372)</f>
        <v>42</v>
      </c>
      <c r="BB372" s="16">
        <f t="shared" si="212"/>
        <v>26</v>
      </c>
      <c r="BC372" s="9" t="str">
        <f t="shared" si="213"/>
        <v>-</v>
      </c>
      <c r="BD372" s="3">
        <f t="shared" si="214"/>
        <v>26</v>
      </c>
      <c r="BE372" s="3">
        <f t="shared" si="215"/>
        <v>55</v>
      </c>
    </row>
    <row r="373" spans="1:58" s="3" customFormat="1" x14ac:dyDescent="0.2">
      <c r="A373" s="3" t="s">
        <v>448</v>
      </c>
      <c r="B373" s="3" t="str">
        <f>LOWER(VLOOKUP(A373,Xtal_Templ!A:B,2,FALSE))</f>
        <v>fzd4_human</v>
      </c>
      <c r="C373" s="3">
        <f>VLOOKUP($A373,'SegEnds_NonXtal_BW#'!$A:$Z,3,FALSE)+D373-50</f>
        <v>237</v>
      </c>
      <c r="D373" s="3">
        <v>259</v>
      </c>
      <c r="E373" s="3">
        <f>IF(ISERROR(VLOOKUP($A373,'SegEnds_NonXtal_BW#'!$A:$Z,4,FALSE)+VLOOKUP($A373,A:AL,4,FALSE)-50),"-",(VLOOKUP($A373,'SegEnds_NonXtal_BW#'!$A:$Z,4,FALSE)+VLOOKUP($A373,A:AL,4,FALSE)-50))</f>
        <v>269</v>
      </c>
      <c r="F373" s="3">
        <f t="shared" si="218"/>
        <v>270</v>
      </c>
      <c r="G373" s="3">
        <v>273</v>
      </c>
      <c r="H373" s="3">
        <f t="shared" si="223"/>
        <v>274</v>
      </c>
      <c r="I373" s="3">
        <f t="shared" si="220"/>
        <v>275</v>
      </c>
      <c r="J373" s="3">
        <v>285</v>
      </c>
      <c r="K373" s="3">
        <f>VLOOKUP($A373,'SegEnds_NonXtal_BW#'!$A:$Z,8,FALSE)+VLOOKUP($A373,A:AL,10,FALSE)-50</f>
        <v>301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324</v>
      </c>
      <c r="P373" s="3">
        <v>352</v>
      </c>
      <c r="Q373" s="3">
        <f>VLOOKUP($A373,'SegEnds_NonXtal_BW#'!$A:$Z,12,FALSE)+VLOOKUP($A373,A:AL,16,FALSE)-50</f>
        <v>357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368</v>
      </c>
      <c r="V373" s="3">
        <v>377</v>
      </c>
      <c r="W373" s="3">
        <f>IF(ISERROR(VLOOKUP($A373,'SegEnds_NonXtal_BW#'!$A:$Z,16,FALSE)+VLOOKUP($A373,A:AL,22,FALSE)-50),"-",(VLOOKUP($A373,'SegEnds_NonXtal_BW#'!$A:$Z,16,FALSE)+VLOOKUP($A373,A:AL,22,FALSE)-50))</f>
        <v>391</v>
      </c>
      <c r="X373" s="3">
        <f>IF(ISERROR(VLOOKUP($A373,'SegEnds_NonXtal_BW#'!$A:$Z,17,FALSE)+VLOOKUP($A373,A:AL,25,FALSE)-50),"-",(VLOOKUP($A373,'SegEnds_NonXtal_BW#'!$A:$Z,17,FALSE)+VLOOKUP($A373,A:AL,25,FALSE)-50))</f>
        <v>402</v>
      </c>
      <c r="Y373" s="3">
        <v>402</v>
      </c>
      <c r="Z373" s="3">
        <f t="shared" si="222"/>
        <v>404</v>
      </c>
      <c r="AA373" s="3">
        <f>IF(ISERROR(VLOOKUP($A373,'SegEnds_NonXtal_BW#'!$A:$Z,19,FALSE)+VLOOKUP($A373,A:AL,28,FALSE)-50),"-",(VLOOKUP($A373,'SegEnds_NonXtal_BW#'!$A:$Z,19,FALSE)+VLOOKUP($A373,A:AL,28,FALSE)-50))</f>
        <v>408</v>
      </c>
      <c r="AB373" s="3">
        <v>423</v>
      </c>
      <c r="AC373" s="3">
        <f>IF(ISERROR((VLOOKUP($A373,'SegEnds_NonXtal_BW#'!$A:$Z,20,FALSE)+VLOOKUP($A373,A:AL,28,FALSE)-50)),"-",(VLOOKUP($A373,'SegEnds_NonXtal_BW#'!$A:$Z,20,FALSE)+VLOOKUP($A373,A:AL,28,FALSE)-50))</f>
        <v>445</v>
      </c>
      <c r="AD373" s="3">
        <f>IF(ISERROR(VLOOKUP($A373,'SegEnds_NonXtal_BW#'!$A:$Z,21,FALSE)+VLOOKUP($A373,A:AL,31,FALSE)-50),"-",(VLOOKUP($A373,'SegEnds_NonXtal_BW#'!$A:$Z,21,FALSE)+VLOOKUP($A373,A:AL,31,FALSE)-50))</f>
        <v>456</v>
      </c>
      <c r="AE373" s="3">
        <v>478</v>
      </c>
      <c r="AF373" s="3">
        <f>IF(ISERROR((VLOOKUP($A373,'SegEnds_NonXtal_BW#'!$A:$Z,22,FALSE)+VLOOKUP($A373,A:AL,31,FALSE)-50)),"-",(VLOOKUP($A373,'SegEnds_NonXtal_BW#'!$A:$Z,22,FALSE)+VLOOKUP($A373,A:AL,31,FALSE)-50))</f>
        <v>506</v>
      </c>
      <c r="AG373" s="3">
        <f>IF(ISERROR(VLOOKUP($A373,'SegEnds_NonXtal_BW#'!$A:$Z,23,FALSE)+VLOOKUP($A373,A:AL,34,FALSE)-50),"-",(VLOOKUP($A373,'SegEnds_NonXtal_BW#'!$A:$Z,23,FALSE)+VLOOKUP($A373,A:AL,34,FALSE)-50))</f>
        <v>517</v>
      </c>
      <c r="AH373" s="3">
        <v>533</v>
      </c>
      <c r="AI373" s="3">
        <f>IF(ISERROR((VLOOKUP($A373,'SegEnds_NonXtal_BW#'!$A:$Z,24,FALSE)+VLOOKUP($A373,A:AL,34,FALSE)-50)),"-",(VLOOKUP($A373,'SegEnds_NonXtal_BW#'!$A:$Z,24,FALSE)+VLOOKUP($A373,A:AL,34,FALSE)-50))</f>
        <v>540</v>
      </c>
      <c r="AJ373" s="3">
        <f>IF(ISERROR(VLOOKUP($A373,'SegEnds_NonXtal_BW#'!$A:$Z,25,FALSE)+VLOOKUP($A373,A:AL,37,FALSE)-50),"-",(VLOOKUP($A373,'SegEnds_NonXtal_BW#'!$A:$Z,25,FALSE)+VLOOKUP($A373,A:AL,37,FALSE)-50))</f>
        <v>541</v>
      </c>
      <c r="AK373" s="3">
        <v>544</v>
      </c>
      <c r="AL373" s="3">
        <f>IF(ISERROR((VLOOKUP($A373,'SegEnds_NonXtal_BW#'!$A:$Z,26,FALSE)+VLOOKUP($A373,A:AL,37,FALSE)-50)),"-",(VLOOKUP($A373,'SegEnds_NonXtal_BW#'!$A:$Z,26,FALSE)+VLOOKUP($A373,A:AL,37,FALSE)-50))</f>
        <v>556</v>
      </c>
      <c r="AM373" s="28" t="str">
        <f>VLOOKUP(A373,Classification!A:B,2,FALSE)</f>
        <v>F</v>
      </c>
      <c r="AN373" s="28" t="b">
        <f t="shared" si="216"/>
        <v>1</v>
      </c>
      <c r="AO373" s="3" t="str">
        <f>IF(ISERROR(MATCH(A373,'SegEnds_Xtal_Prot#'!B:B, 0)), "NoXtal", "Xtal")</f>
        <v>NoXtal</v>
      </c>
      <c r="AP373" s="3">
        <f t="shared" si="201"/>
        <v>1</v>
      </c>
      <c r="AQ373" s="3">
        <f t="shared" si="202"/>
        <v>1</v>
      </c>
      <c r="AR373" s="3" t="str">
        <f t="shared" si="203"/>
        <v>-</v>
      </c>
      <c r="AS373" s="3" t="str">
        <f t="shared" si="204"/>
        <v>-</v>
      </c>
      <c r="AT373" s="3" t="str">
        <f t="shared" si="205"/>
        <v>-</v>
      </c>
      <c r="AU373" s="3" t="str">
        <f t="shared" si="206"/>
        <v>-</v>
      </c>
      <c r="AV373" s="3">
        <f t="shared" si="207"/>
        <v>11</v>
      </c>
      <c r="AW373" s="3">
        <f t="shared" si="208"/>
        <v>4</v>
      </c>
      <c r="AX373" s="3">
        <f t="shared" si="209"/>
        <v>11</v>
      </c>
      <c r="AY373" s="3">
        <f t="shared" si="210"/>
        <v>11</v>
      </c>
      <c r="AZ373" s="3">
        <f t="shared" si="211"/>
        <v>1</v>
      </c>
      <c r="BA373" s="3">
        <f>IF(ISERROR(LEN(VLOOKUP(A373,Seqs!A:E,2,FALSE))-AL373),"-",LEN(VLOOKUP(A373,Seqs!A:E,2,FALSE))-AL373)</f>
        <v>9</v>
      </c>
      <c r="BB373" s="16">
        <f t="shared" si="212"/>
        <v>26</v>
      </c>
      <c r="BC373" s="9" t="str">
        <f t="shared" si="213"/>
        <v>-</v>
      </c>
      <c r="BD373" s="3">
        <f t="shared" si="214"/>
        <v>26</v>
      </c>
      <c r="BE373" s="3">
        <f t="shared" si="215"/>
        <v>55</v>
      </c>
      <c r="BF373" s="3">
        <f>AH373-AE373</f>
        <v>55</v>
      </c>
    </row>
    <row r="374" spans="1:58" s="3" customFormat="1" x14ac:dyDescent="0.2">
      <c r="A374" s="3" t="s">
        <v>449</v>
      </c>
      <c r="B374" s="3" t="str">
        <f>LOWER(VLOOKUP(A374,Xtal_Templ!A:B,2,FALSE))</f>
        <v>fzd4_human</v>
      </c>
      <c r="C374" s="3">
        <f>VLOOKUP($A374,'SegEnds_NonXtal_BW#'!$A:$Z,3,FALSE)+D374-50</f>
        <v>195</v>
      </c>
      <c r="D374" s="3">
        <v>217</v>
      </c>
      <c r="E374" s="3">
        <f>IF(ISERROR(VLOOKUP($A374,'SegEnds_NonXtal_BW#'!$A:$Z,4,FALSE)+VLOOKUP($A374,A:AL,4,FALSE)-50),"-",(VLOOKUP($A374,'SegEnds_NonXtal_BW#'!$A:$Z,4,FALSE)+VLOOKUP($A374,A:AL,4,FALSE)-50))</f>
        <v>227</v>
      </c>
      <c r="F374" s="3">
        <f t="shared" si="218"/>
        <v>228</v>
      </c>
      <c r="G374" s="3">
        <v>231</v>
      </c>
      <c r="H374" s="3">
        <f t="shared" si="223"/>
        <v>232</v>
      </c>
      <c r="I374" s="3">
        <f t="shared" si="220"/>
        <v>233</v>
      </c>
      <c r="J374" s="3">
        <v>243</v>
      </c>
      <c r="K374" s="3">
        <f>VLOOKUP($A374,'SegEnds_NonXtal_BW#'!$A:$Z,8,FALSE)+VLOOKUP($A374,A:AL,10,FALSE)-50</f>
        <v>259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283</v>
      </c>
      <c r="P374" s="3">
        <v>311</v>
      </c>
      <c r="Q374" s="3">
        <f>VLOOKUP($A374,'SegEnds_NonXtal_BW#'!$A:$Z,12,FALSE)+VLOOKUP($A374,A:AL,16,FALSE)-50</f>
        <v>316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327</v>
      </c>
      <c r="V374" s="3">
        <v>336</v>
      </c>
      <c r="W374" s="3">
        <f>IF(ISERROR(VLOOKUP($A374,'SegEnds_NonXtal_BW#'!$A:$Z,16,FALSE)+VLOOKUP($A374,A:AL,22,FALSE)-50),"-",(VLOOKUP($A374,'SegEnds_NonXtal_BW#'!$A:$Z,16,FALSE)+VLOOKUP($A374,A:AL,22,FALSE)-50))</f>
        <v>350</v>
      </c>
      <c r="X374" s="3">
        <f>IF(ISERROR(VLOOKUP($A374,'SegEnds_NonXtal_BW#'!$A:$Z,17,FALSE)+VLOOKUP($A374,A:AL,25,FALSE)-50),"-",(VLOOKUP($A374,'SegEnds_NonXtal_BW#'!$A:$Z,17,FALSE)+VLOOKUP($A374,A:AL,25,FALSE)-50))</f>
        <v>361</v>
      </c>
      <c r="Y374" s="3">
        <v>361</v>
      </c>
      <c r="Z374" s="3">
        <f t="shared" si="222"/>
        <v>363</v>
      </c>
      <c r="AA374" s="3">
        <f>IF(ISERROR(VLOOKUP($A374,'SegEnds_NonXtal_BW#'!$A:$Z,19,FALSE)+VLOOKUP($A374,A:AL,28,FALSE)-50),"-",(VLOOKUP($A374,'SegEnds_NonXtal_BW#'!$A:$Z,19,FALSE)+VLOOKUP($A374,A:AL,28,FALSE)-50))</f>
        <v>367</v>
      </c>
      <c r="AB374" s="3">
        <v>382</v>
      </c>
      <c r="AC374" s="3">
        <f>IF(ISERROR((VLOOKUP($A374,'SegEnds_NonXtal_BW#'!$A:$Z,20,FALSE)+VLOOKUP($A374,A:AL,28,FALSE)-50)),"-",(VLOOKUP($A374,'SegEnds_NonXtal_BW#'!$A:$Z,20,FALSE)+VLOOKUP($A374,A:AL,28,FALSE)-50))</f>
        <v>404</v>
      </c>
      <c r="AD374" s="3">
        <f>IF(ISERROR(VLOOKUP($A374,'SegEnds_NonXtal_BW#'!$A:$Z,21,FALSE)+VLOOKUP($A374,A:AL,31,FALSE)-50),"-",(VLOOKUP($A374,'SegEnds_NonXtal_BW#'!$A:$Z,21,FALSE)+VLOOKUP($A374,A:AL,31,FALSE)-50))</f>
        <v>415</v>
      </c>
      <c r="AE374" s="3">
        <v>437</v>
      </c>
      <c r="AF374" s="3">
        <f>IF(ISERROR((VLOOKUP($A374,'SegEnds_NonXtal_BW#'!$A:$Z,22,FALSE)+VLOOKUP($A374,A:AL,31,FALSE)-50)),"-",(VLOOKUP($A374,'SegEnds_NonXtal_BW#'!$A:$Z,22,FALSE)+VLOOKUP($A374,A:AL,31,FALSE)-50))</f>
        <v>465</v>
      </c>
      <c r="AG374" s="3">
        <f>IF(ISERROR(VLOOKUP($A374,'SegEnds_NonXtal_BW#'!$A:$Z,23,FALSE)+VLOOKUP($A374,A:AL,34,FALSE)-50),"-",(VLOOKUP($A374,'SegEnds_NonXtal_BW#'!$A:$Z,23,FALSE)+VLOOKUP($A374,A:AL,34,FALSE)-50))</f>
        <v>476</v>
      </c>
      <c r="AH374" s="3">
        <v>492</v>
      </c>
      <c r="AI374" s="3">
        <f>IF(ISERROR((VLOOKUP($A374,'SegEnds_NonXtal_BW#'!$A:$Z,24,FALSE)+VLOOKUP($A374,A:AL,34,FALSE)-50)),"-",(VLOOKUP($A374,'SegEnds_NonXtal_BW#'!$A:$Z,24,FALSE)+VLOOKUP($A374,A:AL,34,FALSE)-50))</f>
        <v>499</v>
      </c>
      <c r="AJ374" s="3">
        <f>IF(ISERROR(VLOOKUP($A374,'SegEnds_NonXtal_BW#'!$A:$Z,25,FALSE)+VLOOKUP($A374,A:AL,37,FALSE)-50),"-",(VLOOKUP($A374,'SegEnds_NonXtal_BW#'!$A:$Z,25,FALSE)+VLOOKUP($A374,A:AL,37,FALSE)-50))</f>
        <v>500</v>
      </c>
      <c r="AK374" s="3">
        <v>503</v>
      </c>
      <c r="AL374" s="3">
        <f>IF(ISERROR((VLOOKUP($A374,'SegEnds_NonXtal_BW#'!$A:$Z,26,FALSE)+VLOOKUP($A374,A:AL,37,FALSE)-50)),"-",(VLOOKUP($A374,'SegEnds_NonXtal_BW#'!$A:$Z,26,FALSE)+VLOOKUP($A374,A:AL,37,FALSE)-50))</f>
        <v>515</v>
      </c>
      <c r="AM374" s="28" t="str">
        <f>VLOOKUP(A374,Classification!A:B,2,FALSE)</f>
        <v>F</v>
      </c>
      <c r="AN374" s="28" t="b">
        <f t="shared" si="216"/>
        <v>1</v>
      </c>
      <c r="AO374" s="3" t="str">
        <f>IF(ISERROR(MATCH(A374,'SegEnds_Xtal_Prot#'!B:B, 0)), "NoXtal", "Xtal")</f>
        <v>NoXtal</v>
      </c>
      <c r="AP374" s="3">
        <f t="shared" si="201"/>
        <v>1</v>
      </c>
      <c r="AQ374" s="3">
        <f t="shared" si="202"/>
        <v>1</v>
      </c>
      <c r="AR374" s="3" t="str">
        <f t="shared" si="203"/>
        <v>-</v>
      </c>
      <c r="AS374" s="3" t="str">
        <f t="shared" si="204"/>
        <v>-</v>
      </c>
      <c r="AT374" s="3" t="str">
        <f t="shared" si="205"/>
        <v>-</v>
      </c>
      <c r="AU374" s="3" t="str">
        <f t="shared" si="206"/>
        <v>-</v>
      </c>
      <c r="AV374" s="3">
        <f t="shared" si="207"/>
        <v>11</v>
      </c>
      <c r="AW374" s="3">
        <f t="shared" si="208"/>
        <v>4</v>
      </c>
      <c r="AX374" s="3">
        <f t="shared" si="209"/>
        <v>11</v>
      </c>
      <c r="AY374" s="3">
        <f t="shared" si="210"/>
        <v>11</v>
      </c>
      <c r="AZ374" s="3">
        <f t="shared" si="211"/>
        <v>1</v>
      </c>
      <c r="BA374" s="3">
        <f>IF(ISERROR(LEN(VLOOKUP(A374,Seqs!A:E,2,FALSE))-AL374),"-",LEN(VLOOKUP(A374,Seqs!A:E,2,FALSE))-AL374)</f>
        <v>151</v>
      </c>
      <c r="BB374" s="16">
        <f t="shared" si="212"/>
        <v>26</v>
      </c>
      <c r="BC374" s="9" t="str">
        <f t="shared" si="213"/>
        <v>-</v>
      </c>
      <c r="BD374" s="3">
        <f t="shared" si="214"/>
        <v>26</v>
      </c>
      <c r="BE374" s="3">
        <f t="shared" si="215"/>
        <v>55</v>
      </c>
    </row>
    <row r="375" spans="1:58" s="3" customFormat="1" x14ac:dyDescent="0.2">
      <c r="A375" s="3" t="s">
        <v>450</v>
      </c>
      <c r="B375" s="3" t="str">
        <f>LOWER(VLOOKUP(A375,Xtal_Templ!A:B,2,FALSE))</f>
        <v>fzd4_human</v>
      </c>
      <c r="C375" s="3">
        <f>VLOOKUP($A375,'SegEnds_NonXtal_BW#'!$A:$Z,3,FALSE)+D375-50</f>
        <v>212</v>
      </c>
      <c r="D375" s="3">
        <v>234</v>
      </c>
      <c r="E375" s="3">
        <f>IF(ISERROR(VLOOKUP($A375,'SegEnds_NonXtal_BW#'!$A:$Z,4,FALSE)+VLOOKUP($A375,A:AL,4,FALSE)-50),"-",(VLOOKUP($A375,'SegEnds_NonXtal_BW#'!$A:$Z,4,FALSE)+VLOOKUP($A375,A:AL,4,FALSE)-50))</f>
        <v>244</v>
      </c>
      <c r="F375" s="3">
        <f t="shared" si="218"/>
        <v>245</v>
      </c>
      <c r="G375" s="3">
        <v>248</v>
      </c>
      <c r="H375" s="3">
        <f t="shared" si="223"/>
        <v>249</v>
      </c>
      <c r="I375" s="3">
        <f t="shared" si="220"/>
        <v>250</v>
      </c>
      <c r="J375" s="3">
        <v>260</v>
      </c>
      <c r="K375" s="3">
        <f>VLOOKUP($A375,'SegEnds_NonXtal_BW#'!$A:$Z,8,FALSE)+VLOOKUP($A375,A:AL,10,FALSE)-50</f>
        <v>276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299</v>
      </c>
      <c r="P375" s="3">
        <v>327</v>
      </c>
      <c r="Q375" s="3">
        <f>VLOOKUP($A375,'SegEnds_NonXtal_BW#'!$A:$Z,12,FALSE)+VLOOKUP($A375,A:AL,16,FALSE)-50</f>
        <v>332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343</v>
      </c>
      <c r="V375" s="3">
        <v>352</v>
      </c>
      <c r="W375" s="3">
        <f>IF(ISERROR(VLOOKUP($A375,'SegEnds_NonXtal_BW#'!$A:$Z,16,FALSE)+VLOOKUP($A375,A:AL,22,FALSE)-50),"-",(VLOOKUP($A375,'SegEnds_NonXtal_BW#'!$A:$Z,16,FALSE)+VLOOKUP($A375,A:AL,22,FALSE)-50))</f>
        <v>366</v>
      </c>
      <c r="X375" s="3">
        <f>IF(ISERROR(VLOOKUP($A375,'SegEnds_NonXtal_BW#'!$A:$Z,17,FALSE)+VLOOKUP($A375,A:AL,25,FALSE)-50),"-",(VLOOKUP($A375,'SegEnds_NonXtal_BW#'!$A:$Z,17,FALSE)+VLOOKUP($A375,A:AL,25,FALSE)-50))</f>
        <v>377</v>
      </c>
      <c r="Y375" s="3">
        <v>377</v>
      </c>
      <c r="Z375" s="3">
        <f t="shared" si="222"/>
        <v>379</v>
      </c>
      <c r="AA375" s="3">
        <f>IF(ISERROR(VLOOKUP($A375,'SegEnds_NonXtal_BW#'!$A:$Z,19,FALSE)+VLOOKUP($A375,A:AL,28,FALSE)-50),"-",(VLOOKUP($A375,'SegEnds_NonXtal_BW#'!$A:$Z,19,FALSE)+VLOOKUP($A375,A:AL,28,FALSE)-50))</f>
        <v>383</v>
      </c>
      <c r="AB375" s="3">
        <v>398</v>
      </c>
      <c r="AC375" s="3">
        <f>IF(ISERROR((VLOOKUP($A375,'SegEnds_NonXtal_BW#'!$A:$Z,20,FALSE)+VLOOKUP($A375,A:AL,28,FALSE)-50)),"-",(VLOOKUP($A375,'SegEnds_NonXtal_BW#'!$A:$Z,20,FALSE)+VLOOKUP($A375,A:AL,28,FALSE)-50))</f>
        <v>420</v>
      </c>
      <c r="AD375" s="3">
        <f>IF(ISERROR(VLOOKUP($A375,'SegEnds_NonXtal_BW#'!$A:$Z,21,FALSE)+VLOOKUP($A375,A:AL,31,FALSE)-50),"-",(VLOOKUP($A375,'SegEnds_NonXtal_BW#'!$A:$Z,21,FALSE)+VLOOKUP($A375,A:AL,31,FALSE)-50))</f>
        <v>431</v>
      </c>
      <c r="AE375" s="3">
        <v>453</v>
      </c>
      <c r="AF375" s="3">
        <f>IF(ISERROR((VLOOKUP($A375,'SegEnds_NonXtal_BW#'!$A:$Z,22,FALSE)+VLOOKUP($A375,A:AL,31,FALSE)-50)),"-",(VLOOKUP($A375,'SegEnds_NonXtal_BW#'!$A:$Z,22,FALSE)+VLOOKUP($A375,A:AL,31,FALSE)-50))</f>
        <v>461</v>
      </c>
      <c r="AG375" s="3">
        <f>IF(ISERROR(VLOOKUP($A375,'SegEnds_NonXtal_BW#'!$A:$Z,23,FALSE)+VLOOKUP($A375,A:AL,34,FALSE)-50),"-",(VLOOKUP($A375,'SegEnds_NonXtal_BW#'!$A:$Z,23,FALSE)+VLOOKUP($A375,A:AL,34,FALSE)-50))</f>
        <v>473</v>
      </c>
      <c r="AH375" s="3">
        <v>489</v>
      </c>
      <c r="AI375" s="3">
        <f>IF(ISERROR((VLOOKUP($A375,'SegEnds_NonXtal_BW#'!$A:$Z,24,FALSE)+VLOOKUP($A375,A:AL,34,FALSE)-50)),"-",(VLOOKUP($A375,'SegEnds_NonXtal_BW#'!$A:$Z,24,FALSE)+VLOOKUP($A375,A:AL,34,FALSE)-50))</f>
        <v>496</v>
      </c>
      <c r="AJ375" s="3">
        <f>IF(ISERROR(VLOOKUP($A375,'SegEnds_NonXtal_BW#'!$A:$Z,25,FALSE)+VLOOKUP($A375,A:AL,37,FALSE)-50),"-",(VLOOKUP($A375,'SegEnds_NonXtal_BW#'!$A:$Z,25,FALSE)+VLOOKUP($A375,A:AL,37,FALSE)-50))</f>
        <v>497</v>
      </c>
      <c r="AK375" s="3">
        <v>500</v>
      </c>
      <c r="AL375" s="3">
        <f>IF(ISERROR((VLOOKUP($A375,'SegEnds_NonXtal_BW#'!$A:$Z,26,FALSE)+VLOOKUP($A375,A:AL,37,FALSE)-50)),"-",(VLOOKUP($A375,'SegEnds_NonXtal_BW#'!$A:$Z,26,FALSE)+VLOOKUP($A375,A:AL,37,FALSE)-50))</f>
        <v>512</v>
      </c>
      <c r="AM375" s="28" t="str">
        <f>VLOOKUP(A375,Classification!A:B,2,FALSE)</f>
        <v>F</v>
      </c>
      <c r="AN375" s="28" t="b">
        <f t="shared" si="216"/>
        <v>1</v>
      </c>
      <c r="AO375" s="3" t="str">
        <f>IF(ISERROR(MATCH(A375,'SegEnds_Xtal_Prot#'!B:B, 0)), "NoXtal", "Xtal")</f>
        <v>Xtal</v>
      </c>
      <c r="AP375" s="3">
        <f t="shared" si="201"/>
        <v>1</v>
      </c>
      <c r="AQ375" s="3">
        <f t="shared" si="202"/>
        <v>1</v>
      </c>
      <c r="AR375" s="3" t="str">
        <f t="shared" si="203"/>
        <v>-</v>
      </c>
      <c r="AS375" s="3" t="str">
        <f t="shared" si="204"/>
        <v>-</v>
      </c>
      <c r="AT375" s="3" t="str">
        <f t="shared" si="205"/>
        <v>-</v>
      </c>
      <c r="AU375" s="3" t="str">
        <f t="shared" si="206"/>
        <v>-</v>
      </c>
      <c r="AV375" s="3">
        <f t="shared" si="207"/>
        <v>11</v>
      </c>
      <c r="AW375" s="3">
        <f t="shared" si="208"/>
        <v>4</v>
      </c>
      <c r="AX375" s="3">
        <f t="shared" si="209"/>
        <v>11</v>
      </c>
      <c r="AY375" s="3">
        <f t="shared" si="210"/>
        <v>12</v>
      </c>
      <c r="AZ375" s="3">
        <f t="shared" si="211"/>
        <v>1</v>
      </c>
      <c r="BA375" s="3">
        <f>IF(ISERROR(LEN(VLOOKUP(A375,Seqs!A:E,2,FALSE))-AL375),"-",LEN(VLOOKUP(A375,Seqs!A:E,2,FALSE))-AL375)</f>
        <v>25</v>
      </c>
      <c r="BB375" s="16">
        <f t="shared" si="212"/>
        <v>26</v>
      </c>
      <c r="BC375" s="9" t="str">
        <f t="shared" si="213"/>
        <v>-</v>
      </c>
      <c r="BD375" s="3">
        <f t="shared" si="214"/>
        <v>26</v>
      </c>
      <c r="BE375" s="3">
        <f t="shared" si="215"/>
        <v>55</v>
      </c>
      <c r="BF375" s="3">
        <f>AH375-AE375</f>
        <v>36</v>
      </c>
    </row>
    <row r="376" spans="1:58" s="3" customFormat="1" x14ac:dyDescent="0.2">
      <c r="A376" s="3" t="s">
        <v>451</v>
      </c>
      <c r="B376" s="3" t="str">
        <f>LOWER(VLOOKUP(A376,Xtal_Templ!A:B,2,FALSE))</f>
        <v>fzd4_human</v>
      </c>
      <c r="C376" s="3">
        <f>VLOOKUP($A376,'SegEnds_NonXtal_BW#'!$A:$Z,3,FALSE)+D376-50</f>
        <v>228</v>
      </c>
      <c r="D376" s="3">
        <v>250</v>
      </c>
      <c r="E376" s="3">
        <f>IF(ISERROR(VLOOKUP($A376,'SegEnds_NonXtal_BW#'!$A:$Z,4,FALSE)+VLOOKUP($A376,A:AL,4,FALSE)-50),"-",(VLOOKUP($A376,'SegEnds_NonXtal_BW#'!$A:$Z,4,FALSE)+VLOOKUP($A376,A:AL,4,FALSE)-50))</f>
        <v>260</v>
      </c>
      <c r="F376" s="3">
        <f t="shared" si="218"/>
        <v>261</v>
      </c>
      <c r="G376" s="3">
        <v>264</v>
      </c>
      <c r="H376" s="3">
        <f t="shared" si="223"/>
        <v>265</v>
      </c>
      <c r="I376" s="3">
        <f t="shared" si="220"/>
        <v>266</v>
      </c>
      <c r="J376" s="3">
        <v>276</v>
      </c>
      <c r="K376" s="3">
        <f>VLOOKUP($A376,'SegEnds_NonXtal_BW#'!$A:$Z,8,FALSE)+VLOOKUP($A376,A:AL,10,FALSE)-50</f>
        <v>292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312</v>
      </c>
      <c r="P376" s="3">
        <v>340</v>
      </c>
      <c r="Q376" s="3">
        <f>VLOOKUP($A376,'SegEnds_NonXtal_BW#'!$A:$Z,12,FALSE)+VLOOKUP($A376,A:AL,16,FALSE)-50</f>
        <v>345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356</v>
      </c>
      <c r="V376" s="3">
        <v>365</v>
      </c>
      <c r="W376" s="3">
        <f>IF(ISERROR(VLOOKUP($A376,'SegEnds_NonXtal_BW#'!$A:$Z,16,FALSE)+VLOOKUP($A376,A:AL,22,FALSE)-50),"-",(VLOOKUP($A376,'SegEnds_NonXtal_BW#'!$A:$Z,16,FALSE)+VLOOKUP($A376,A:AL,22,FALSE)-50))</f>
        <v>379</v>
      </c>
      <c r="X376" s="3">
        <f>IF(ISERROR(VLOOKUP($A376,'SegEnds_NonXtal_BW#'!$A:$Z,17,FALSE)+VLOOKUP($A376,A:AL,25,FALSE)-50),"-",(VLOOKUP($A376,'SegEnds_NonXtal_BW#'!$A:$Z,17,FALSE)+VLOOKUP($A376,A:AL,25,FALSE)-50))</f>
        <v>390</v>
      </c>
      <c r="Y376" s="3">
        <v>390</v>
      </c>
      <c r="Z376" s="3">
        <f t="shared" si="222"/>
        <v>392</v>
      </c>
      <c r="AA376" s="3">
        <f>IF(ISERROR(VLOOKUP($A376,'SegEnds_NonXtal_BW#'!$A:$Z,19,FALSE)+VLOOKUP($A376,A:AL,28,FALSE)-50),"-",(VLOOKUP($A376,'SegEnds_NonXtal_BW#'!$A:$Z,19,FALSE)+VLOOKUP($A376,A:AL,28,FALSE)-50))</f>
        <v>396</v>
      </c>
      <c r="AB376" s="3">
        <v>411</v>
      </c>
      <c r="AC376" s="3">
        <f>IF(ISERROR((VLOOKUP($A376,'SegEnds_NonXtal_BW#'!$A:$Z,20,FALSE)+VLOOKUP($A376,A:AL,28,FALSE)-50)),"-",(VLOOKUP($A376,'SegEnds_NonXtal_BW#'!$A:$Z,20,FALSE)+VLOOKUP($A376,A:AL,28,FALSE)-50))</f>
        <v>433</v>
      </c>
      <c r="AD376" s="3">
        <f>IF(ISERROR(VLOOKUP($A376,'SegEnds_NonXtal_BW#'!$A:$Z,21,FALSE)+VLOOKUP($A376,A:AL,31,FALSE)-50),"-",(VLOOKUP($A376,'SegEnds_NonXtal_BW#'!$A:$Z,21,FALSE)+VLOOKUP($A376,A:AL,31,FALSE)-50))</f>
        <v>444</v>
      </c>
      <c r="AE376" s="3">
        <v>466</v>
      </c>
      <c r="AF376" s="3">
        <f>IF(ISERROR((VLOOKUP($A376,'SegEnds_NonXtal_BW#'!$A:$Z,22,FALSE)+VLOOKUP($A376,A:AL,31,FALSE)-50)),"-",(VLOOKUP($A376,'SegEnds_NonXtal_BW#'!$A:$Z,22,FALSE)+VLOOKUP($A376,A:AL,31,FALSE)-50))</f>
        <v>494</v>
      </c>
      <c r="AG376" s="3">
        <f>IF(ISERROR(VLOOKUP($A376,'SegEnds_NonXtal_BW#'!$A:$Z,23,FALSE)+VLOOKUP($A376,A:AL,34,FALSE)-50),"-",(VLOOKUP($A376,'SegEnds_NonXtal_BW#'!$A:$Z,23,FALSE)+VLOOKUP($A376,A:AL,34,FALSE)-50))</f>
        <v>499</v>
      </c>
      <c r="AH376" s="3">
        <v>515</v>
      </c>
      <c r="AI376" s="3">
        <f>IF(ISERROR((VLOOKUP($A376,'SegEnds_NonXtal_BW#'!$A:$Z,24,FALSE)+VLOOKUP($A376,A:AL,34,FALSE)-50)),"-",(VLOOKUP($A376,'SegEnds_NonXtal_BW#'!$A:$Z,24,FALSE)+VLOOKUP($A376,A:AL,34,FALSE)-50))</f>
        <v>522</v>
      </c>
      <c r="AJ376" s="3">
        <f>IF(ISERROR(VLOOKUP($A376,'SegEnds_NonXtal_BW#'!$A:$Z,25,FALSE)+VLOOKUP($A376,A:AL,37,FALSE)-50),"-",(VLOOKUP($A376,'SegEnds_NonXtal_BW#'!$A:$Z,25,FALSE)+VLOOKUP($A376,A:AL,37,FALSE)-50))</f>
        <v>523</v>
      </c>
      <c r="AK376" s="3">
        <v>526</v>
      </c>
      <c r="AL376" s="3">
        <f>IF(ISERROR((VLOOKUP($A376,'SegEnds_NonXtal_BW#'!$A:$Z,26,FALSE)+VLOOKUP($A376,A:AL,37,FALSE)-50)),"-",(VLOOKUP($A376,'SegEnds_NonXtal_BW#'!$A:$Z,26,FALSE)+VLOOKUP($A376,A:AL,37,FALSE)-50))</f>
        <v>538</v>
      </c>
      <c r="AM376" s="28" t="str">
        <f>VLOOKUP(A376,Classification!A:B,2,FALSE)</f>
        <v>F</v>
      </c>
      <c r="AN376" s="28" t="b">
        <f t="shared" si="216"/>
        <v>1</v>
      </c>
      <c r="AO376" s="3" t="str">
        <f>IF(ISERROR(MATCH(A376,'SegEnds_Xtal_Prot#'!B:B, 0)), "NoXtal", "Xtal")</f>
        <v>NoXtal</v>
      </c>
      <c r="AP376" s="3">
        <f t="shared" si="201"/>
        <v>1</v>
      </c>
      <c r="AQ376" s="3">
        <f t="shared" si="202"/>
        <v>1</v>
      </c>
      <c r="AR376" s="3" t="str">
        <f t="shared" si="203"/>
        <v>-</v>
      </c>
      <c r="AS376" s="3" t="str">
        <f t="shared" si="204"/>
        <v>-</v>
      </c>
      <c r="AT376" s="3" t="str">
        <f t="shared" si="205"/>
        <v>-</v>
      </c>
      <c r="AU376" s="3" t="str">
        <f t="shared" si="206"/>
        <v>-</v>
      </c>
      <c r="AV376" s="3">
        <f t="shared" si="207"/>
        <v>11</v>
      </c>
      <c r="AW376" s="3">
        <f t="shared" si="208"/>
        <v>4</v>
      </c>
      <c r="AX376" s="3">
        <f t="shared" si="209"/>
        <v>11</v>
      </c>
      <c r="AY376" s="3">
        <f t="shared" si="210"/>
        <v>5</v>
      </c>
      <c r="AZ376" s="3">
        <f t="shared" si="211"/>
        <v>1</v>
      </c>
      <c r="BA376" s="3">
        <f>IF(ISERROR(LEN(VLOOKUP(A376,Seqs!A:E,2,FALSE))-AL376),"-",LEN(VLOOKUP(A376,Seqs!A:E,2,FALSE))-AL376)</f>
        <v>47</v>
      </c>
      <c r="BB376" s="16">
        <f t="shared" si="212"/>
        <v>26</v>
      </c>
      <c r="BC376" s="9" t="str">
        <f t="shared" si="213"/>
        <v>-</v>
      </c>
      <c r="BD376" s="3">
        <f t="shared" si="214"/>
        <v>26</v>
      </c>
      <c r="BE376" s="3">
        <f t="shared" si="215"/>
        <v>55</v>
      </c>
    </row>
    <row r="377" spans="1:58" s="3" customFormat="1" x14ac:dyDescent="0.2">
      <c r="A377" s="3" t="s">
        <v>452</v>
      </c>
      <c r="B377" s="3" t="str">
        <f>LOWER(VLOOKUP(A377,Xtal_Templ!A:B,2,FALSE))</f>
        <v>fzd4_human</v>
      </c>
      <c r="C377" s="3">
        <f>VLOOKUP($A377,'SegEnds_NonXtal_BW#'!$A:$Z,3,FALSE)+D377-50</f>
        <v>191</v>
      </c>
      <c r="D377" s="3">
        <v>213</v>
      </c>
      <c r="E377" s="3">
        <f>IF(ISERROR(VLOOKUP($A377,'SegEnds_NonXtal_BW#'!$A:$Z,4,FALSE)+VLOOKUP($A377,A:AL,4,FALSE)-50),"-",(VLOOKUP($A377,'SegEnds_NonXtal_BW#'!$A:$Z,4,FALSE)+VLOOKUP($A377,A:AL,4,FALSE)-50))</f>
        <v>223</v>
      </c>
      <c r="F377" s="3">
        <f t="shared" si="218"/>
        <v>224</v>
      </c>
      <c r="G377" s="3">
        <v>227</v>
      </c>
      <c r="H377" s="3">
        <f t="shared" si="223"/>
        <v>228</v>
      </c>
      <c r="I377" s="3">
        <f t="shared" si="220"/>
        <v>229</v>
      </c>
      <c r="J377" s="3">
        <v>239</v>
      </c>
      <c r="K377" s="3">
        <f>VLOOKUP($A377,'SegEnds_NonXtal_BW#'!$A:$Z,8,FALSE)+VLOOKUP($A377,A:AL,10,FALSE)-50</f>
        <v>255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279</v>
      </c>
      <c r="P377" s="3">
        <v>307</v>
      </c>
      <c r="Q377" s="3">
        <f>VLOOKUP($A377,'SegEnds_NonXtal_BW#'!$A:$Z,12,FALSE)+VLOOKUP($A377,A:AL,16,FALSE)-50</f>
        <v>312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323</v>
      </c>
      <c r="V377" s="3">
        <v>332</v>
      </c>
      <c r="W377" s="3">
        <f>IF(ISERROR(VLOOKUP($A377,'SegEnds_NonXtal_BW#'!$A:$Z,16,FALSE)+VLOOKUP($A377,A:AL,22,FALSE)-50),"-",(VLOOKUP($A377,'SegEnds_NonXtal_BW#'!$A:$Z,16,FALSE)+VLOOKUP($A377,A:AL,22,FALSE)-50))</f>
        <v>346</v>
      </c>
      <c r="X377" s="3">
        <f>IF(ISERROR(VLOOKUP($A377,'SegEnds_NonXtal_BW#'!$A:$Z,17,FALSE)+VLOOKUP($A377,A:AL,25,FALSE)-50),"-",(VLOOKUP($A377,'SegEnds_NonXtal_BW#'!$A:$Z,17,FALSE)+VLOOKUP($A377,A:AL,25,FALSE)-50))</f>
        <v>357</v>
      </c>
      <c r="Y377" s="3">
        <v>357</v>
      </c>
      <c r="Z377" s="3">
        <f t="shared" si="222"/>
        <v>359</v>
      </c>
      <c r="AA377" s="3">
        <f>IF(ISERROR(VLOOKUP($A377,'SegEnds_NonXtal_BW#'!$A:$Z,19,FALSE)+VLOOKUP($A377,A:AL,28,FALSE)-50),"-",(VLOOKUP($A377,'SegEnds_NonXtal_BW#'!$A:$Z,19,FALSE)+VLOOKUP($A377,A:AL,28,FALSE)-50))</f>
        <v>363</v>
      </c>
      <c r="AB377" s="3">
        <v>378</v>
      </c>
      <c r="AC377" s="3">
        <f>IF(ISERROR((VLOOKUP($A377,'SegEnds_NonXtal_BW#'!$A:$Z,20,FALSE)+VLOOKUP($A377,A:AL,28,FALSE)-50)),"-",(VLOOKUP($A377,'SegEnds_NonXtal_BW#'!$A:$Z,20,FALSE)+VLOOKUP($A377,A:AL,28,FALSE)-50))</f>
        <v>400</v>
      </c>
      <c r="AD377" s="3">
        <f>IF(ISERROR(VLOOKUP($A377,'SegEnds_NonXtal_BW#'!$A:$Z,21,FALSE)+VLOOKUP($A377,A:AL,31,FALSE)-50),"-",(VLOOKUP($A377,'SegEnds_NonXtal_BW#'!$A:$Z,21,FALSE)+VLOOKUP($A377,A:AL,31,FALSE)-50))</f>
        <v>411</v>
      </c>
      <c r="AE377" s="3">
        <v>433</v>
      </c>
      <c r="AF377" s="3">
        <f>IF(ISERROR((VLOOKUP($A377,'SegEnds_NonXtal_BW#'!$A:$Z,22,FALSE)+VLOOKUP($A377,A:AL,31,FALSE)-50)),"-",(VLOOKUP($A377,'SegEnds_NonXtal_BW#'!$A:$Z,22,FALSE)+VLOOKUP($A377,A:AL,31,FALSE)-50))</f>
        <v>461</v>
      </c>
      <c r="AG377" s="3">
        <f>IF(ISERROR(VLOOKUP($A377,'SegEnds_NonXtal_BW#'!$A:$Z,23,FALSE)+VLOOKUP($A377,A:AL,34,FALSE)-50),"-",(VLOOKUP($A377,'SegEnds_NonXtal_BW#'!$A:$Z,23,FALSE)+VLOOKUP($A377,A:AL,34,FALSE)-50))</f>
        <v>472</v>
      </c>
      <c r="AH377" s="3">
        <v>488</v>
      </c>
      <c r="AI377" s="3">
        <f>IF(ISERROR((VLOOKUP($A377,'SegEnds_NonXtal_BW#'!$A:$Z,24,FALSE)+VLOOKUP($A377,A:AL,34,FALSE)-50)),"-",(VLOOKUP($A377,'SegEnds_NonXtal_BW#'!$A:$Z,24,FALSE)+VLOOKUP($A377,A:AL,34,FALSE)-50))</f>
        <v>495</v>
      </c>
      <c r="AJ377" s="3">
        <f>IF(ISERROR(VLOOKUP($A377,'SegEnds_NonXtal_BW#'!$A:$Z,25,FALSE)+VLOOKUP($A377,A:AL,37,FALSE)-50),"-",(VLOOKUP($A377,'SegEnds_NonXtal_BW#'!$A:$Z,25,FALSE)+VLOOKUP($A377,A:AL,37,FALSE)-50))</f>
        <v>496</v>
      </c>
      <c r="AK377" s="3">
        <v>499</v>
      </c>
      <c r="AL377" s="3">
        <f>IF(ISERROR((VLOOKUP($A377,'SegEnds_NonXtal_BW#'!$A:$Z,26,FALSE)+VLOOKUP($A377,A:AL,37,FALSE)-50)),"-",(VLOOKUP($A377,'SegEnds_NonXtal_BW#'!$A:$Z,26,FALSE)+VLOOKUP($A377,A:AL,37,FALSE)-50))</f>
        <v>511</v>
      </c>
      <c r="AM377" s="28" t="str">
        <f>VLOOKUP(A377,Classification!A:B,2,FALSE)</f>
        <v>F</v>
      </c>
      <c r="AN377" s="28" t="b">
        <f t="shared" si="216"/>
        <v>1</v>
      </c>
      <c r="AO377" s="3" t="str">
        <f>IF(ISERROR(MATCH(A377,'SegEnds_Xtal_Prot#'!B:B, 0)), "NoXtal", "Xtal")</f>
        <v>NoXtal</v>
      </c>
      <c r="AP377" s="3">
        <f t="shared" si="201"/>
        <v>1</v>
      </c>
      <c r="AQ377" s="3">
        <f t="shared" si="202"/>
        <v>1</v>
      </c>
      <c r="AR377" s="3" t="str">
        <f t="shared" si="203"/>
        <v>-</v>
      </c>
      <c r="AS377" s="3" t="str">
        <f t="shared" si="204"/>
        <v>-</v>
      </c>
      <c r="AT377" s="3" t="str">
        <f t="shared" si="205"/>
        <v>-</v>
      </c>
      <c r="AU377" s="3" t="str">
        <f t="shared" si="206"/>
        <v>-</v>
      </c>
      <c r="AV377" s="3">
        <f t="shared" si="207"/>
        <v>11</v>
      </c>
      <c r="AW377" s="3">
        <f t="shared" si="208"/>
        <v>4</v>
      </c>
      <c r="AX377" s="3">
        <f t="shared" si="209"/>
        <v>11</v>
      </c>
      <c r="AY377" s="3">
        <f t="shared" si="210"/>
        <v>11</v>
      </c>
      <c r="AZ377" s="3">
        <f t="shared" si="211"/>
        <v>1</v>
      </c>
      <c r="BA377" s="3">
        <f>IF(ISERROR(LEN(VLOOKUP(A377,Seqs!A:E,2,FALSE))-AL377),"-",LEN(VLOOKUP(A377,Seqs!A:E,2,FALSE))-AL377)</f>
        <v>195</v>
      </c>
      <c r="BB377" s="16">
        <f t="shared" si="212"/>
        <v>26</v>
      </c>
      <c r="BC377" s="9" t="str">
        <f t="shared" si="213"/>
        <v>-</v>
      </c>
      <c r="BD377" s="3">
        <f t="shared" si="214"/>
        <v>26</v>
      </c>
      <c r="BE377" s="3">
        <f t="shared" si="215"/>
        <v>55</v>
      </c>
    </row>
    <row r="378" spans="1:58" s="3" customFormat="1" x14ac:dyDescent="0.2">
      <c r="A378" s="3" t="s">
        <v>453</v>
      </c>
      <c r="B378" s="3" t="str">
        <f>LOWER(VLOOKUP(A378,Xtal_Templ!A:B,2,FALSE))</f>
        <v>fzd4_human</v>
      </c>
      <c r="C378" s="3">
        <f>VLOOKUP($A378,'SegEnds_NonXtal_BW#'!$A:$Z,3,FALSE)+D378-50</f>
        <v>246</v>
      </c>
      <c r="D378" s="3">
        <v>268</v>
      </c>
      <c r="E378" s="3">
        <f>IF(ISERROR(VLOOKUP($A378,'SegEnds_NonXtal_BW#'!$A:$Z,4,FALSE)+VLOOKUP($A378,A:AL,4,FALSE)-50),"-",(VLOOKUP($A378,'SegEnds_NonXtal_BW#'!$A:$Z,4,FALSE)+VLOOKUP($A378,A:AL,4,FALSE)-50))</f>
        <v>278</v>
      </c>
      <c r="F378" s="3">
        <f t="shared" si="218"/>
        <v>279</v>
      </c>
      <c r="G378" s="3">
        <v>282</v>
      </c>
      <c r="H378" s="3">
        <f t="shared" si="223"/>
        <v>283</v>
      </c>
      <c r="I378" s="3">
        <f t="shared" si="220"/>
        <v>284</v>
      </c>
      <c r="J378" s="3">
        <v>294</v>
      </c>
      <c r="K378" s="3">
        <f>VLOOKUP($A378,'SegEnds_NonXtal_BW#'!$A:$Z,8,FALSE)+VLOOKUP($A378,A:AL,10,FALSE)-50</f>
        <v>310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333</v>
      </c>
      <c r="P378" s="3">
        <v>361</v>
      </c>
      <c r="Q378" s="3">
        <f>VLOOKUP($A378,'SegEnds_NonXtal_BW#'!$A:$Z,12,FALSE)+VLOOKUP($A378,A:AL,16,FALSE)-50</f>
        <v>366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377</v>
      </c>
      <c r="V378" s="3">
        <v>386</v>
      </c>
      <c r="W378" s="3">
        <f>IF(ISERROR(VLOOKUP($A378,'SegEnds_NonXtal_BW#'!$A:$Z,16,FALSE)+VLOOKUP($A378,A:AL,22,FALSE)-50),"-",(VLOOKUP($A378,'SegEnds_NonXtal_BW#'!$A:$Z,16,FALSE)+VLOOKUP($A378,A:AL,22,FALSE)-50))</f>
        <v>400</v>
      </c>
      <c r="X378" s="3">
        <f>IF(ISERROR(VLOOKUP($A378,'SegEnds_NonXtal_BW#'!$A:$Z,17,FALSE)+VLOOKUP($A378,A:AL,25,FALSE)-50),"-",(VLOOKUP($A378,'SegEnds_NonXtal_BW#'!$A:$Z,17,FALSE)+VLOOKUP($A378,A:AL,25,FALSE)-50))</f>
        <v>411</v>
      </c>
      <c r="Y378" s="3">
        <v>411</v>
      </c>
      <c r="Z378" s="3">
        <f t="shared" si="222"/>
        <v>413</v>
      </c>
      <c r="AA378" s="3">
        <f>IF(ISERROR(VLOOKUP($A378,'SegEnds_NonXtal_BW#'!$A:$Z,19,FALSE)+VLOOKUP($A378,A:AL,28,FALSE)-50),"-",(VLOOKUP($A378,'SegEnds_NonXtal_BW#'!$A:$Z,19,FALSE)+VLOOKUP($A378,A:AL,28,FALSE)-50))</f>
        <v>417</v>
      </c>
      <c r="AB378" s="3">
        <v>432</v>
      </c>
      <c r="AC378" s="3">
        <f>IF(ISERROR((VLOOKUP($A378,'SegEnds_NonXtal_BW#'!$A:$Z,20,FALSE)+VLOOKUP($A378,A:AL,28,FALSE)-50)),"-",(VLOOKUP($A378,'SegEnds_NonXtal_BW#'!$A:$Z,20,FALSE)+VLOOKUP($A378,A:AL,28,FALSE)-50))</f>
        <v>454</v>
      </c>
      <c r="AD378" s="3">
        <f>IF(ISERROR(VLOOKUP($A378,'SegEnds_NonXtal_BW#'!$A:$Z,21,FALSE)+VLOOKUP($A378,A:AL,31,FALSE)-50),"-",(VLOOKUP($A378,'SegEnds_NonXtal_BW#'!$A:$Z,21,FALSE)+VLOOKUP($A378,A:AL,31,FALSE)-50))</f>
        <v>465</v>
      </c>
      <c r="AE378" s="3">
        <v>487</v>
      </c>
      <c r="AF378" s="3">
        <f>IF(ISERROR((VLOOKUP($A378,'SegEnds_NonXtal_BW#'!$A:$Z,22,FALSE)+VLOOKUP($A378,A:AL,31,FALSE)-50)),"-",(VLOOKUP($A378,'SegEnds_NonXtal_BW#'!$A:$Z,22,FALSE)+VLOOKUP($A378,A:AL,31,FALSE)-50))</f>
        <v>515</v>
      </c>
      <c r="AG378" s="3">
        <f>IF(ISERROR(VLOOKUP($A378,'SegEnds_NonXtal_BW#'!$A:$Z,23,FALSE)+VLOOKUP($A378,A:AL,34,FALSE)-50),"-",(VLOOKUP($A378,'SegEnds_NonXtal_BW#'!$A:$Z,23,FALSE)+VLOOKUP($A378,A:AL,34,FALSE)-50))</f>
        <v>526</v>
      </c>
      <c r="AH378" s="3">
        <v>542</v>
      </c>
      <c r="AI378" s="3">
        <f>IF(ISERROR((VLOOKUP($A378,'SegEnds_NonXtal_BW#'!$A:$Z,24,FALSE)+VLOOKUP($A378,A:AL,34,FALSE)-50)),"-",(VLOOKUP($A378,'SegEnds_NonXtal_BW#'!$A:$Z,24,FALSE)+VLOOKUP($A378,A:AL,34,FALSE)-50))</f>
        <v>549</v>
      </c>
      <c r="AJ378" s="3">
        <f>IF(ISERROR(VLOOKUP($A378,'SegEnds_NonXtal_BW#'!$A:$Z,25,FALSE)+VLOOKUP($A378,A:AL,37,FALSE)-50),"-",(VLOOKUP($A378,'SegEnds_NonXtal_BW#'!$A:$Z,25,FALSE)+VLOOKUP($A378,A:AL,37,FALSE)-50))</f>
        <v>550</v>
      </c>
      <c r="AK378" s="3">
        <v>553</v>
      </c>
      <c r="AL378" s="3">
        <f>IF(ISERROR((VLOOKUP($A378,'SegEnds_NonXtal_BW#'!$A:$Z,26,FALSE)+VLOOKUP($A378,A:AL,37,FALSE)-50)),"-",(VLOOKUP($A378,'SegEnds_NonXtal_BW#'!$A:$Z,26,FALSE)+VLOOKUP($A378,A:AL,37,FALSE)-50))</f>
        <v>565</v>
      </c>
      <c r="AM378" s="28" t="str">
        <f>VLOOKUP(A378,Classification!A:B,2,FALSE)</f>
        <v>F</v>
      </c>
      <c r="AN378" s="28" t="b">
        <f t="shared" si="216"/>
        <v>1</v>
      </c>
      <c r="AO378" s="3" t="str">
        <f>IF(ISERROR(MATCH(A378,'SegEnds_Xtal_Prot#'!B:B, 0)), "NoXtal", "Xtal")</f>
        <v>NoXtal</v>
      </c>
      <c r="AP378" s="3">
        <f t="shared" si="201"/>
        <v>1</v>
      </c>
      <c r="AQ378" s="3">
        <f t="shared" si="202"/>
        <v>1</v>
      </c>
      <c r="AR378" s="3" t="str">
        <f t="shared" si="203"/>
        <v>-</v>
      </c>
      <c r="AS378" s="3" t="str">
        <f t="shared" si="204"/>
        <v>-</v>
      </c>
      <c r="AT378" s="3" t="str">
        <f t="shared" si="205"/>
        <v>-</v>
      </c>
      <c r="AU378" s="3" t="str">
        <f t="shared" si="206"/>
        <v>-</v>
      </c>
      <c r="AV378" s="3">
        <f t="shared" si="207"/>
        <v>11</v>
      </c>
      <c r="AW378" s="3">
        <f t="shared" si="208"/>
        <v>4</v>
      </c>
      <c r="AX378" s="3">
        <f t="shared" si="209"/>
        <v>11</v>
      </c>
      <c r="AY378" s="3">
        <f t="shared" si="210"/>
        <v>11</v>
      </c>
      <c r="AZ378" s="3">
        <f t="shared" si="211"/>
        <v>1</v>
      </c>
      <c r="BA378" s="3">
        <f>IF(ISERROR(LEN(VLOOKUP(A378,Seqs!A:E,2,FALSE))-AL378),"-",LEN(VLOOKUP(A378,Seqs!A:E,2,FALSE))-AL378)</f>
        <v>9</v>
      </c>
      <c r="BB378" s="16">
        <f t="shared" si="212"/>
        <v>26</v>
      </c>
      <c r="BC378" s="9" t="str">
        <f t="shared" si="213"/>
        <v>-</v>
      </c>
      <c r="BD378" s="3">
        <f t="shared" si="214"/>
        <v>26</v>
      </c>
      <c r="BE378" s="3">
        <f t="shared" si="215"/>
        <v>55</v>
      </c>
      <c r="BF378" s="3">
        <f>AH378-AE378</f>
        <v>55</v>
      </c>
    </row>
    <row r="379" spans="1:58" s="3" customFormat="1" x14ac:dyDescent="0.2">
      <c r="A379" s="3" t="s">
        <v>454</v>
      </c>
      <c r="B379" s="3" t="str">
        <f>LOWER(VLOOKUP(A379,Xtal_Templ!A:B,2,FALSE))</f>
        <v>fzd4_human</v>
      </c>
      <c r="C379" s="3">
        <f>VLOOKUP($A379,'SegEnds_NonXtal_BW#'!$A:$Z,3,FALSE)+D379-50</f>
        <v>270</v>
      </c>
      <c r="D379" s="3">
        <v>292</v>
      </c>
      <c r="E379" s="3">
        <f>IF(ISERROR(VLOOKUP($A379,'SegEnds_NonXtal_BW#'!$A:$Z,4,FALSE)+VLOOKUP($A379,A:AL,4,FALSE)-50),"-",(VLOOKUP($A379,'SegEnds_NonXtal_BW#'!$A:$Z,4,FALSE)+VLOOKUP($A379,A:AL,4,FALSE)-50))</f>
        <v>302</v>
      </c>
      <c r="F379" s="3">
        <f t="shared" si="218"/>
        <v>303</v>
      </c>
      <c r="G379" s="3">
        <v>306</v>
      </c>
      <c r="H379" s="3">
        <f t="shared" si="223"/>
        <v>307</v>
      </c>
      <c r="I379" s="3">
        <f t="shared" si="220"/>
        <v>308</v>
      </c>
      <c r="J379" s="3">
        <v>318</v>
      </c>
      <c r="K379" s="3">
        <f>VLOOKUP($A379,'SegEnds_NonXtal_BW#'!$A:$Z,8,FALSE)+VLOOKUP($A379,A:AL,10,FALSE)-50</f>
        <v>334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393</v>
      </c>
      <c r="P379" s="3">
        <v>421</v>
      </c>
      <c r="Q379" s="3">
        <f>VLOOKUP($A379,'SegEnds_NonXtal_BW#'!$A:$Z,12,FALSE)+VLOOKUP($A379,A:AL,16,FALSE)-50</f>
        <v>426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437</v>
      </c>
      <c r="V379" s="3">
        <v>446</v>
      </c>
      <c r="W379" s="3">
        <f>IF(ISERROR(VLOOKUP($A379,'SegEnds_NonXtal_BW#'!$A:$Z,16,FALSE)+VLOOKUP($A379,A:AL,22,FALSE)-50),"-",(VLOOKUP($A379,'SegEnds_NonXtal_BW#'!$A:$Z,16,FALSE)+VLOOKUP($A379,A:AL,22,FALSE)-50))</f>
        <v>460</v>
      </c>
      <c r="X379" s="3">
        <f>IF(ISERROR(VLOOKUP($A379,'SegEnds_NonXtal_BW#'!$A:$Z,17,FALSE)+VLOOKUP($A379,A:AL,25,FALSE)-50),"-",(VLOOKUP($A379,'SegEnds_NonXtal_BW#'!$A:$Z,17,FALSE)+VLOOKUP($A379,A:AL,25,FALSE)-50))</f>
        <v>471</v>
      </c>
      <c r="Y379" s="3">
        <v>471</v>
      </c>
      <c r="Z379" s="3">
        <f t="shared" si="222"/>
        <v>473</v>
      </c>
      <c r="AA379" s="3">
        <f>IF(ISERROR(VLOOKUP($A379,'SegEnds_NonXtal_BW#'!$A:$Z,19,FALSE)+VLOOKUP($A379,A:AL,28,FALSE)-50),"-",(VLOOKUP($A379,'SegEnds_NonXtal_BW#'!$A:$Z,19,FALSE)+VLOOKUP($A379,A:AL,28,FALSE)-50))</f>
        <v>477</v>
      </c>
      <c r="AB379" s="3">
        <v>492</v>
      </c>
      <c r="AC379" s="3">
        <f>IF(ISERROR((VLOOKUP($A379,'SegEnds_NonXtal_BW#'!$A:$Z,20,FALSE)+VLOOKUP($A379,A:AL,28,FALSE)-50)),"-",(VLOOKUP($A379,'SegEnds_NonXtal_BW#'!$A:$Z,20,FALSE)+VLOOKUP($A379,A:AL,28,FALSE)-50))</f>
        <v>514</v>
      </c>
      <c r="AD379" s="3">
        <f>IF(ISERROR(VLOOKUP($A379,'SegEnds_NonXtal_BW#'!$A:$Z,21,FALSE)+VLOOKUP($A379,A:AL,31,FALSE)-50),"-",(VLOOKUP($A379,'SegEnds_NonXtal_BW#'!$A:$Z,21,FALSE)+VLOOKUP($A379,A:AL,31,FALSE)-50))</f>
        <v>527</v>
      </c>
      <c r="AE379" s="3">
        <v>549</v>
      </c>
      <c r="AF379" s="3">
        <f>IF(ISERROR((VLOOKUP($A379,'SegEnds_NonXtal_BW#'!$A:$Z,22,FALSE)+VLOOKUP($A379,A:AL,31,FALSE)-50)),"-",(VLOOKUP($A379,'SegEnds_NonXtal_BW#'!$A:$Z,22,FALSE)+VLOOKUP($A379,A:AL,31,FALSE)-50))</f>
        <v>577</v>
      </c>
      <c r="AG379" s="3">
        <f>IF(ISERROR(VLOOKUP($A379,'SegEnds_NonXtal_BW#'!$A:$Z,23,FALSE)+VLOOKUP($A379,A:AL,34,FALSE)-50),"-",(VLOOKUP($A379,'SegEnds_NonXtal_BW#'!$A:$Z,23,FALSE)+VLOOKUP($A379,A:AL,34,FALSE)-50))</f>
        <v>582</v>
      </c>
      <c r="AH379" s="3">
        <v>598</v>
      </c>
      <c r="AI379" s="3">
        <f>IF(ISERROR((VLOOKUP($A379,'SegEnds_NonXtal_BW#'!$A:$Z,24,FALSE)+VLOOKUP($A379,A:AL,34,FALSE)-50)),"-",(VLOOKUP($A379,'SegEnds_NonXtal_BW#'!$A:$Z,24,FALSE)+VLOOKUP($A379,A:AL,34,FALSE)-50))</f>
        <v>605</v>
      </c>
      <c r="AJ379" s="3">
        <f>IF(ISERROR(VLOOKUP($A379,'SegEnds_NonXtal_BW#'!$A:$Z,25,FALSE)+VLOOKUP($A379,A:AL,37,FALSE)-50),"-",(VLOOKUP($A379,'SegEnds_NonXtal_BW#'!$A:$Z,25,FALSE)+VLOOKUP($A379,A:AL,37,FALSE)-50))</f>
        <v>606</v>
      </c>
      <c r="AK379" s="3">
        <v>609</v>
      </c>
      <c r="AL379" s="3">
        <f>IF(ISERROR((VLOOKUP($A379,'SegEnds_NonXtal_BW#'!$A:$Z,26,FALSE)+VLOOKUP($A379,A:AL,37,FALSE)-50)),"-",(VLOOKUP($A379,'SegEnds_NonXtal_BW#'!$A:$Z,26,FALSE)+VLOOKUP($A379,A:AL,37,FALSE)-50))</f>
        <v>621</v>
      </c>
      <c r="AM379" s="28" t="str">
        <f>VLOOKUP(A379,Classification!A:B,2,FALSE)</f>
        <v>F</v>
      </c>
      <c r="AN379" s="28" t="b">
        <f t="shared" si="216"/>
        <v>1</v>
      </c>
      <c r="AO379" s="3" t="str">
        <f>IF(ISERROR(MATCH(A379,'SegEnds_Xtal_Prot#'!B:B, 0)), "NoXtal", "Xtal")</f>
        <v>NoXtal</v>
      </c>
      <c r="AP379" s="3">
        <f t="shared" si="201"/>
        <v>1</v>
      </c>
      <c r="AQ379" s="3">
        <f t="shared" si="202"/>
        <v>1</v>
      </c>
      <c r="AR379" s="3" t="str">
        <f t="shared" si="203"/>
        <v>-</v>
      </c>
      <c r="AS379" s="3" t="str">
        <f t="shared" si="204"/>
        <v>-</v>
      </c>
      <c r="AT379" s="3" t="str">
        <f t="shared" si="205"/>
        <v>-</v>
      </c>
      <c r="AU379" s="3" t="str">
        <f t="shared" si="206"/>
        <v>-</v>
      </c>
      <c r="AV379" s="3">
        <f t="shared" si="207"/>
        <v>11</v>
      </c>
      <c r="AW379" s="3">
        <f t="shared" si="208"/>
        <v>4</v>
      </c>
      <c r="AX379" s="3">
        <f t="shared" si="209"/>
        <v>13</v>
      </c>
      <c r="AY379" s="3">
        <f t="shared" si="210"/>
        <v>5</v>
      </c>
      <c r="AZ379" s="3">
        <f t="shared" si="211"/>
        <v>1</v>
      </c>
      <c r="BA379" s="3">
        <f>IF(ISERROR(LEN(VLOOKUP(A379,Seqs!A:E,2,FALSE))-AL379),"-",LEN(VLOOKUP(A379,Seqs!A:E,2,FALSE))-AL379)</f>
        <v>73</v>
      </c>
      <c r="BB379" s="16">
        <f t="shared" si="212"/>
        <v>26</v>
      </c>
      <c r="BC379" s="9" t="str">
        <f t="shared" si="213"/>
        <v>-</v>
      </c>
      <c r="BD379" s="3">
        <f t="shared" si="214"/>
        <v>26</v>
      </c>
      <c r="BE379" s="3">
        <f t="shared" si="215"/>
        <v>57</v>
      </c>
    </row>
    <row r="380" spans="1:58" s="3" customFormat="1" x14ac:dyDescent="0.2">
      <c r="A380" s="3" t="s">
        <v>455</v>
      </c>
      <c r="B380" s="3" t="str">
        <f>LOWER(VLOOKUP(A380,Xtal_Templ!A:B,2,FALSE))</f>
        <v>fzd4_human</v>
      </c>
      <c r="C380" s="3">
        <f>VLOOKUP($A380,'SegEnds_NonXtal_BW#'!$A:$Z,3,FALSE)+D380-50</f>
        <v>224</v>
      </c>
      <c r="D380" s="3">
        <v>246</v>
      </c>
      <c r="E380" s="3">
        <f>IF(ISERROR(VLOOKUP($A380,'SegEnds_NonXtal_BW#'!$A:$Z,4,FALSE)+VLOOKUP($A380,A:AL,4,FALSE)-50),"-",(VLOOKUP($A380,'SegEnds_NonXtal_BW#'!$A:$Z,4,FALSE)+VLOOKUP($A380,A:AL,4,FALSE)-50))</f>
        <v>256</v>
      </c>
      <c r="F380" s="3">
        <f t="shared" si="218"/>
        <v>257</v>
      </c>
      <c r="G380" s="3">
        <v>260</v>
      </c>
      <c r="H380" s="3">
        <f t="shared" si="223"/>
        <v>261</v>
      </c>
      <c r="I380" s="3">
        <f t="shared" si="220"/>
        <v>262</v>
      </c>
      <c r="J380" s="3">
        <v>272</v>
      </c>
      <c r="K380" s="3">
        <f>VLOOKUP($A380,'SegEnds_NonXtal_BW#'!$A:$Z,8,FALSE)+VLOOKUP($A380,A:AL,10,FALSE)-50</f>
        <v>288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310</v>
      </c>
      <c r="P380" s="3">
        <v>338</v>
      </c>
      <c r="Q380" s="3">
        <f>VLOOKUP($A380,'SegEnds_NonXtal_BW#'!$A:$Z,12,FALSE)+VLOOKUP($A380,A:AL,16,FALSE)-50</f>
        <v>343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354</v>
      </c>
      <c r="V380" s="3">
        <v>363</v>
      </c>
      <c r="W380" s="3">
        <f>IF(ISERROR(VLOOKUP($A380,'SegEnds_NonXtal_BW#'!$A:$Z,16,FALSE)+VLOOKUP($A380,A:AL,22,FALSE)-50),"-",(VLOOKUP($A380,'SegEnds_NonXtal_BW#'!$A:$Z,16,FALSE)+VLOOKUP($A380,A:AL,22,FALSE)-50))</f>
        <v>377</v>
      </c>
      <c r="X380" s="3">
        <f>IF(ISERROR(VLOOKUP($A380,'SegEnds_NonXtal_BW#'!$A:$Z,17,FALSE)+VLOOKUP($A380,A:AL,25,FALSE)-50),"-",(VLOOKUP($A380,'SegEnds_NonXtal_BW#'!$A:$Z,17,FALSE)+VLOOKUP($A380,A:AL,25,FALSE)-50))</f>
        <v>388</v>
      </c>
      <c r="Y380" s="3">
        <v>388</v>
      </c>
      <c r="Z380" s="3">
        <f t="shared" si="222"/>
        <v>390</v>
      </c>
      <c r="AA380" s="3">
        <f>IF(ISERROR(VLOOKUP($A380,'SegEnds_NonXtal_BW#'!$A:$Z,19,FALSE)+VLOOKUP($A380,A:AL,28,FALSE)-50),"-",(VLOOKUP($A380,'SegEnds_NonXtal_BW#'!$A:$Z,19,FALSE)+VLOOKUP($A380,A:AL,28,FALSE)-50))</f>
        <v>394</v>
      </c>
      <c r="AB380" s="3">
        <v>409</v>
      </c>
      <c r="AC380" s="3">
        <f>IF(ISERROR((VLOOKUP($A380,'SegEnds_NonXtal_BW#'!$A:$Z,20,FALSE)+VLOOKUP($A380,A:AL,28,FALSE)-50)),"-",(VLOOKUP($A380,'SegEnds_NonXtal_BW#'!$A:$Z,20,FALSE)+VLOOKUP($A380,A:AL,28,FALSE)-50))</f>
        <v>431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464</v>
      </c>
      <c r="AF380" s="3">
        <f>IF(ISERROR((VLOOKUP($A380,'SegEnds_NonXtal_BW#'!$A:$Z,22,FALSE)+VLOOKUP($A380,A:AL,31,FALSE)-50)),"-",(VLOOKUP($A380,'SegEnds_NonXtal_BW#'!$A:$Z,22,FALSE)+VLOOKUP($A380,A:AL,31,FALSE)-50))</f>
        <v>492</v>
      </c>
      <c r="AG380" s="3">
        <f>IF(ISERROR(VLOOKUP($A380,'SegEnds_NonXtal_BW#'!$A:$Z,23,FALSE)+VLOOKUP($A380,A:AL,34,FALSE)-50),"-",(VLOOKUP($A380,'SegEnds_NonXtal_BW#'!$A:$Z,23,FALSE)+VLOOKUP($A380,A:AL,34,FALSE)-50))</f>
        <v>506</v>
      </c>
      <c r="AH380" s="3">
        <v>522</v>
      </c>
      <c r="AI380" s="3">
        <f>IF(ISERROR((VLOOKUP($A380,'SegEnds_NonXtal_BW#'!$A:$Z,24,FALSE)+VLOOKUP($A380,A:AL,34,FALSE)-50)),"-",(VLOOKUP($A380,'SegEnds_NonXtal_BW#'!$A:$Z,24,FALSE)+VLOOKUP($A380,A:AL,34,FALSE)-50))</f>
        <v>529</v>
      </c>
      <c r="AJ380" s="3">
        <f>IF(ISERROR(VLOOKUP($A380,'SegEnds_NonXtal_BW#'!$A:$Z,25,FALSE)+VLOOKUP($A380,A:AL,37,FALSE)-50),"-",(VLOOKUP($A380,'SegEnds_NonXtal_BW#'!$A:$Z,25,FALSE)+VLOOKUP($A380,A:AL,37,FALSE)-50))</f>
        <v>530</v>
      </c>
      <c r="AK380" s="3">
        <v>533</v>
      </c>
      <c r="AL380" s="3">
        <f>IF(ISERROR((VLOOKUP($A380,'SegEnds_NonXtal_BW#'!$A:$Z,26,FALSE)+VLOOKUP($A380,A:AL,37,FALSE)-50)),"-",(VLOOKUP($A380,'SegEnds_NonXtal_BW#'!$A:$Z,26,FALSE)+VLOOKUP($A380,A:AL,37,FALSE)-50))</f>
        <v>545</v>
      </c>
      <c r="AM380" s="28" t="str">
        <f>VLOOKUP(A380,Classification!A:B,2,FALSE)</f>
        <v>F</v>
      </c>
      <c r="AN380" s="28" t="b">
        <f t="shared" si="216"/>
        <v>1</v>
      </c>
      <c r="AO380" s="3" t="str">
        <f>IF(ISERROR(MATCH(A380,'SegEnds_Xtal_Prot#'!B:B, 0)), "NoXtal", "Xtal")</f>
        <v>NoXtal</v>
      </c>
      <c r="AP380" s="3">
        <f t="shared" si="201"/>
        <v>1</v>
      </c>
      <c r="AQ380" s="3">
        <f t="shared" si="202"/>
        <v>1</v>
      </c>
      <c r="AR380" s="3" t="str">
        <f t="shared" si="203"/>
        <v>-</v>
      </c>
      <c r="AS380" s="3" t="str">
        <f t="shared" si="204"/>
        <v>-</v>
      </c>
      <c r="AT380" s="3" t="str">
        <f t="shared" si="205"/>
        <v>-</v>
      </c>
      <c r="AU380" s="3" t="str">
        <f t="shared" si="206"/>
        <v>-</v>
      </c>
      <c r="AV380" s="3">
        <f t="shared" si="207"/>
        <v>11</v>
      </c>
      <c r="AW380" s="3">
        <f t="shared" si="208"/>
        <v>4</v>
      </c>
      <c r="AX380" s="3">
        <f t="shared" si="209"/>
        <v>11</v>
      </c>
      <c r="AY380" s="3">
        <f t="shared" si="210"/>
        <v>14</v>
      </c>
      <c r="AZ380" s="3">
        <f t="shared" si="211"/>
        <v>1</v>
      </c>
      <c r="BA380" s="3">
        <f>IF(ISERROR(LEN(VLOOKUP(A380,Seqs!A:E,2,FALSE))-AL380),"-",LEN(VLOOKUP(A380,Seqs!A:E,2,FALSE))-AL380)</f>
        <v>46</v>
      </c>
      <c r="BB380" s="16">
        <f t="shared" si="212"/>
        <v>26</v>
      </c>
      <c r="BC380" s="9" t="str">
        <f t="shared" si="213"/>
        <v>-</v>
      </c>
      <c r="BD380" s="3">
        <f t="shared" si="214"/>
        <v>26</v>
      </c>
      <c r="BE380" s="3">
        <f t="shared" si="215"/>
        <v>55</v>
      </c>
    </row>
    <row r="381" spans="1:58" s="3" customFormat="1" x14ac:dyDescent="0.2">
      <c r="A381" s="3" t="s">
        <v>33</v>
      </c>
      <c r="B381" s="3" t="str">
        <f>LOWER(VLOOKUP(A381,Xtal_Templ!A:B,2,FALSE))</f>
        <v>smo_human</v>
      </c>
      <c r="C381" s="3">
        <f>VLOOKUP($A381,'SegEnds_NonXtal_BW#'!$A:$Z,3,FALSE)+D381-50</f>
        <v>223</v>
      </c>
      <c r="D381" s="3">
        <v>245</v>
      </c>
      <c r="E381" s="3">
        <f>IF(ISERROR(VLOOKUP($A381,'SegEnds_NonXtal_BW#'!$A:$Z,4,FALSE)+VLOOKUP($A381,A:AL,4,FALSE)-50),"-",(VLOOKUP($A381,'SegEnds_NonXtal_BW#'!$A:$Z,4,FALSE)+VLOOKUP($A381,A:AL,4,FALSE)-50))</f>
        <v>255</v>
      </c>
      <c r="F381" s="3">
        <f t="shared" si="218"/>
        <v>256</v>
      </c>
      <c r="G381" s="3">
        <v>259</v>
      </c>
      <c r="H381" s="3">
        <f t="shared" si="223"/>
        <v>260</v>
      </c>
      <c r="I381" s="3">
        <f t="shared" si="220"/>
        <v>261</v>
      </c>
      <c r="J381" s="3">
        <v>272</v>
      </c>
      <c r="K381" s="3">
        <f>VLOOKUP($A381,'SegEnds_NonXtal_BW#'!$A:$Z,8,FALSE)+VLOOKUP($A381,A:AL,10,FALSE)-50</f>
        <v>285</v>
      </c>
      <c r="L381" s="3" t="str">
        <f>IF(ISERROR(VLOOKUP($A381,'SegEnds_NonXtal_BW#'!$A:$Z,9,FALSE)+VLOOKUP($A381,A:AL,13,FALSE)-50),"-",(VLOOKUP($A381,'SegEnds_NonXtal_BW#'!$A:$Z,9,FALSE)+VLOOKUP($A381,A:AL,13,FALSE)-50))</f>
        <v>-</v>
      </c>
      <c r="M381" s="3" t="s">
        <v>23</v>
      </c>
      <c r="N381" s="3" t="str">
        <f>IF(ISERROR(VLOOKUP($A381,'SegEnds_NonXtal_BW#'!$A:$Z,10,FALSE)+VLOOKUP($A381,A:AL,13,FALSE)-50),"-",(VLOOKUP($A381,'SegEnds_NonXtal_BW#'!$A:$Z,10,FALSE)+VLOOKUP($A381,A:AL,13,FALSE)-50))</f>
        <v>-</v>
      </c>
      <c r="O381" s="3">
        <f>VLOOKUP($A381,'SegEnds_NonXtal_BW#'!$A:$Z,11,FALSE)+VLOOKUP($A381,A:AL,16,FALSE)-50</f>
        <v>312</v>
      </c>
      <c r="P381" s="3">
        <v>339</v>
      </c>
      <c r="Q381" s="3">
        <f>VLOOKUP($A381,'SegEnds_NonXtal_BW#'!$A:$Z,12,FALSE)+VLOOKUP($A381,A:AL,16,FALSE)-50</f>
        <v>345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0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356</v>
      </c>
      <c r="V381" s="3">
        <v>365</v>
      </c>
      <c r="W381" s="3">
        <f>IF(ISERROR(VLOOKUP($A381,'SegEnds_NonXtal_BW#'!$A:$Z,16,FALSE)+VLOOKUP($A381,A:AL,22,FALSE)-50),"-",(VLOOKUP($A381,'SegEnds_NonXtal_BW#'!$A:$Z,16,FALSE)+VLOOKUP($A381,A:AL,22,FALSE)-50))</f>
        <v>379</v>
      </c>
      <c r="X381" s="3">
        <f>IF(ISERROR(VLOOKUP($A381,'SegEnds_NonXtal_BW#'!$A:$Z,17,FALSE)+VLOOKUP($A381,A:AL,25,FALSE)-50),"-",(VLOOKUP($A381,'SegEnds_NonXtal_BW#'!$A:$Z,17,FALSE)+VLOOKUP($A381,A:AL,25,FALSE)-50))</f>
        <v>390</v>
      </c>
      <c r="Y381" s="3">
        <v>390</v>
      </c>
      <c r="Z381" s="3">
        <f t="shared" si="222"/>
        <v>392</v>
      </c>
      <c r="AA381" s="3">
        <f>IF(ISERROR(VLOOKUP($A381,'SegEnds_NonXtal_BW#'!$A:$Z,19,FALSE)+VLOOKUP($A381,A:AL,28,FALSE)-50),"-",(VLOOKUP($A381,'SegEnds_NonXtal_BW#'!$A:$Z,19,FALSE)+VLOOKUP($A381,A:AL,28,FALSE)-50))</f>
        <v>396</v>
      </c>
      <c r="AB381" s="3">
        <v>411</v>
      </c>
      <c r="AC381" s="3">
        <f>IF(ISERROR((VLOOKUP($A381,'SegEnds_NonXtal_BW#'!$A:$Z,20,FALSE)+VLOOKUP($A381,A:AL,28,FALSE)-50)),"-",(VLOOKUP($A381,'SegEnds_NonXtal_BW#'!$A:$Z,20,FALSE)+VLOOKUP($A381,A:AL,28,FALSE)-50))</f>
        <v>433</v>
      </c>
      <c r="AD381" s="3">
        <f>IF(ISERROR(VLOOKUP($A381,'SegEnds_NonXtal_BW#'!$A:$Z,21,FALSE)+VLOOKUP($A381,A:AL,31,FALSE)-50),"-",(VLOOKUP($A381,'SegEnds_NonXtal_BW#'!$A:$Z,21,FALSE)+VLOOKUP($A381,A:AL,31,FALSE)-50))</f>
        <v>438</v>
      </c>
      <c r="AE381" s="3">
        <v>468</v>
      </c>
      <c r="AF381" s="3">
        <f>IF(ISERROR((VLOOKUP($A381,'SegEnds_NonXtal_BW#'!$A:$Z,22,FALSE)+VLOOKUP($A381,A:AL,31,FALSE)-50)),"-",(VLOOKUP($A381,'SegEnds_NonXtal_BW#'!$A:$Z,22,FALSE)+VLOOKUP($A381,A:AL,31,FALSE)-50))</f>
        <v>496</v>
      </c>
      <c r="AG381" s="3">
        <f>IF(ISERROR(VLOOKUP($A381,'SegEnds_NonXtal_BW#'!$A:$Z,23,FALSE)+VLOOKUP($A381,A:AL,34,FALSE)-50),"-",(VLOOKUP($A381,'SegEnds_NonXtal_BW#'!$A:$Z,23,FALSE)+VLOOKUP($A381,A:AL,34,FALSE)-50))</f>
        <v>514</v>
      </c>
      <c r="AH381" s="3">
        <v>530</v>
      </c>
      <c r="AI381" s="3">
        <f>IF(ISERROR((VLOOKUP($A381,'SegEnds_NonXtal_BW#'!$A:$Z,24,FALSE)+VLOOKUP($A381,A:AL,34,FALSE)-50)),"-",(VLOOKUP($A381,'SegEnds_NonXtal_BW#'!$A:$Z,24,FALSE)+VLOOKUP($A381,A:AL,34,FALSE)-50))</f>
        <v>537</v>
      </c>
      <c r="AJ381" s="3">
        <f>IF(ISERROR(VLOOKUP($A381,'SegEnds_NonXtal_BW#'!$A:$Z,25,FALSE)+VLOOKUP($A381,A:AL,37,FALSE)-50),"-",(VLOOKUP($A381,'SegEnds_NonXtal_BW#'!$A:$Z,25,FALSE)+VLOOKUP($A381,A:AL,37,FALSE)-50))</f>
        <v>538</v>
      </c>
      <c r="AK381" s="3">
        <v>541</v>
      </c>
      <c r="AL381" s="3">
        <f>IF(ISERROR((VLOOKUP($A381,'SegEnds_NonXtal_BW#'!$A:$Z,26,FALSE)+VLOOKUP($A381,A:AL,37,FALSE)-50)),"-",(VLOOKUP($A381,'SegEnds_NonXtal_BW#'!$A:$Z,26,FALSE)+VLOOKUP($A381,A:AL,37,FALSE)-50))</f>
        <v>553</v>
      </c>
      <c r="AM381" s="28" t="str">
        <f>VLOOKUP(A381,Classification!A:B,2,FALSE)</f>
        <v>F</v>
      </c>
      <c r="AN381" s="28" t="b">
        <f t="shared" si="216"/>
        <v>1</v>
      </c>
      <c r="AO381" s="3" t="str">
        <f>IF(ISERROR(MATCH(A381,'SegEnds_Xtal_Prot#'!B:B, 0)), "NoXtal", "Xtal")</f>
        <v>Xtal</v>
      </c>
      <c r="AP381" s="3">
        <f t="shared" si="201"/>
        <v>1</v>
      </c>
      <c r="AQ381" s="3">
        <f t="shared" si="202"/>
        <v>1</v>
      </c>
      <c r="AR381" s="3" t="str">
        <f t="shared" si="203"/>
        <v>-</v>
      </c>
      <c r="AS381" s="3" t="str">
        <f t="shared" si="204"/>
        <v>-</v>
      </c>
      <c r="AT381" s="3" t="str">
        <f t="shared" si="205"/>
        <v>-</v>
      </c>
      <c r="AU381" s="3" t="str">
        <f t="shared" si="206"/>
        <v>-</v>
      </c>
      <c r="AV381" s="3">
        <f t="shared" si="207"/>
        <v>11</v>
      </c>
      <c r="AW381" s="3">
        <f t="shared" si="208"/>
        <v>4</v>
      </c>
      <c r="AX381" s="3">
        <f t="shared" si="209"/>
        <v>5</v>
      </c>
      <c r="AY381" s="3">
        <f t="shared" si="210"/>
        <v>18</v>
      </c>
      <c r="AZ381" s="3">
        <f t="shared" si="211"/>
        <v>1</v>
      </c>
      <c r="BA381" s="3">
        <f>IF(ISERROR(LEN(VLOOKUP(A381,Seqs!A:E,2,FALSE))-AL381),"-",LEN(VLOOKUP(A381,Seqs!A:E,2,FALSE))-AL381)</f>
        <v>234</v>
      </c>
      <c r="BB381" s="16">
        <f t="shared" si="212"/>
        <v>27</v>
      </c>
      <c r="BC381" s="9" t="str">
        <f t="shared" si="213"/>
        <v>-</v>
      </c>
      <c r="BD381" s="3">
        <f t="shared" si="214"/>
        <v>27</v>
      </c>
      <c r="BE381" s="3">
        <f t="shared" si="215"/>
        <v>57</v>
      </c>
    </row>
    <row r="382" spans="1:58" s="3" customFormat="1" x14ac:dyDescent="0.2">
      <c r="A382" s="3" t="s">
        <v>1594</v>
      </c>
      <c r="B382" s="3" t="str">
        <f>LOWER(VLOOKUP(A382,Xtal_Templ!A:B,2,FALSE))</f>
        <v>smo_mouse</v>
      </c>
      <c r="C382" s="3">
        <f>VLOOKUP($A382,'SegEnds_NonXtal_BW#'!$A:$Z,3,FALSE)+D382-50</f>
        <v>227</v>
      </c>
      <c r="D382" s="3">
        <v>249</v>
      </c>
      <c r="E382" s="3">
        <f>IF(ISERROR(VLOOKUP($A382,'SegEnds_NonXtal_BW#'!$A:$Z,4,FALSE)+VLOOKUP($A382,A:AL,4,FALSE)-50),"-",(VLOOKUP($A382,'SegEnds_NonXtal_BW#'!$A:$Z,4,FALSE)+VLOOKUP($A382,A:AL,4,FALSE)-50))</f>
        <v>259</v>
      </c>
      <c r="F382" s="3">
        <f t="shared" ref="F382" si="224">G382-3</f>
        <v>260</v>
      </c>
      <c r="G382" s="3">
        <v>263</v>
      </c>
      <c r="H382" s="3">
        <f t="shared" ref="H382" si="225">G382+1</f>
        <v>264</v>
      </c>
      <c r="I382" s="3">
        <f t="shared" ref="I382" si="226">H382+1</f>
        <v>265</v>
      </c>
      <c r="J382" s="3">
        <v>276</v>
      </c>
      <c r="K382" s="3">
        <f>VLOOKUP($A382,'SegEnds_NonXtal_BW#'!$A:$Z,8,FALSE)+VLOOKUP($A382,A:AL,10,FALSE)-50</f>
        <v>289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316</v>
      </c>
      <c r="P382" s="3">
        <v>343</v>
      </c>
      <c r="Q382" s="3">
        <f>VLOOKUP($A382,'SegEnds_NonXtal_BW#'!$A:$Z,12,FALSE)+VLOOKUP($A382,A:AL,16,FALSE)-50</f>
        <v>349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360</v>
      </c>
      <c r="V382" s="3">
        <v>369</v>
      </c>
      <c r="W382" s="3">
        <f>IF(ISERROR(VLOOKUP($A382,'SegEnds_NonXtal_BW#'!$A:$Z,16,FALSE)+VLOOKUP($A382,A:AL,22,FALSE)-50),"-",(VLOOKUP($A382,'SegEnds_NonXtal_BW#'!$A:$Z,16,FALSE)+VLOOKUP($A382,A:AL,22,FALSE)-50))</f>
        <v>383</v>
      </c>
      <c r="X382" s="3">
        <f>IF(ISERROR(VLOOKUP($A382,'SegEnds_NonXtal_BW#'!$A:$Z,17,FALSE)+VLOOKUP($A382,A:AL,25,FALSE)-50),"-",(VLOOKUP($A382,'SegEnds_NonXtal_BW#'!$A:$Z,17,FALSE)+VLOOKUP($A382,A:AL,25,FALSE)-50))</f>
        <v>394</v>
      </c>
      <c r="Y382" s="3">
        <v>394</v>
      </c>
      <c r="Z382" s="3">
        <f t="shared" ref="Z382" si="227">Y382+2</f>
        <v>396</v>
      </c>
      <c r="AA382" s="3">
        <f>IF(ISERROR(VLOOKUP($A382,'SegEnds_NonXtal_BW#'!$A:$Z,19,FALSE)+VLOOKUP($A382,A:AL,28,FALSE)-50),"-",(VLOOKUP($A382,'SegEnds_NonXtal_BW#'!$A:$Z,19,FALSE)+VLOOKUP($A382,A:AL,28,FALSE)-50))</f>
        <v>400</v>
      </c>
      <c r="AB382" s="3">
        <v>415</v>
      </c>
      <c r="AC382" s="3">
        <f>IF(ISERROR((VLOOKUP($A382,'SegEnds_NonXtal_BW#'!$A:$Z,20,FALSE)+VLOOKUP($A382,A:AL,28,FALSE)-50)),"-",(VLOOKUP($A382,'SegEnds_NonXtal_BW#'!$A:$Z,20,FALSE)+VLOOKUP($A382,A:AL,28,FALSE)-50))</f>
        <v>437</v>
      </c>
      <c r="AD382" s="3">
        <f>IF(ISERROR(VLOOKUP($A382,'SegEnds_NonXtal_BW#'!$A:$Z,21,FALSE)+VLOOKUP($A382,A:AL,31,FALSE)-50),"-",(VLOOKUP($A382,'SegEnds_NonXtal_BW#'!$A:$Z,21,FALSE)+VLOOKUP($A382,A:AL,31,FALSE)-50))</f>
        <v>442</v>
      </c>
      <c r="AE382" s="3">
        <v>472</v>
      </c>
      <c r="AF382" s="3">
        <f>IF(ISERROR((VLOOKUP($A382,'SegEnds_NonXtal_BW#'!$A:$Z,22,FALSE)+VLOOKUP($A382,A:AL,31,FALSE)-50)),"-",(VLOOKUP($A382,'SegEnds_NonXtal_BW#'!$A:$Z,22,FALSE)+VLOOKUP($A382,A:AL,31,FALSE)-50))</f>
        <v>500</v>
      </c>
      <c r="AG382" s="3">
        <f>IF(ISERROR(VLOOKUP($A382,'SegEnds_NonXtal_BW#'!$A:$Z,23,FALSE)+VLOOKUP($A382,A:AL,34,FALSE)-50),"-",(VLOOKUP($A382,'SegEnds_NonXtal_BW#'!$A:$Z,23,FALSE)+VLOOKUP($A382,A:AL,34,FALSE)-50))</f>
        <v>518</v>
      </c>
      <c r="AH382" s="3">
        <v>534</v>
      </c>
      <c r="AI382" s="3">
        <f>IF(ISERROR((VLOOKUP($A382,'SegEnds_NonXtal_BW#'!$A:$Z,24,FALSE)+VLOOKUP($A382,A:AL,34,FALSE)-50)),"-",(VLOOKUP($A382,'SegEnds_NonXtal_BW#'!$A:$Z,24,FALSE)+VLOOKUP($A382,A:AL,34,FALSE)-50))</f>
        <v>541</v>
      </c>
      <c r="AJ382" s="3">
        <f>IF(ISERROR(VLOOKUP($A382,'SegEnds_NonXtal_BW#'!$A:$Z,25,FALSE)+VLOOKUP($A382,A:AL,37,FALSE)-50),"-",(VLOOKUP($A382,'SegEnds_NonXtal_BW#'!$A:$Z,25,FALSE)+VLOOKUP($A382,A:AL,37,FALSE)-50))</f>
        <v>542</v>
      </c>
      <c r="AK382" s="3">
        <v>545</v>
      </c>
      <c r="AL382" s="3">
        <f>IF(ISERROR((VLOOKUP($A382,'SegEnds_NonXtal_BW#'!$A:$Z,26,FALSE)+VLOOKUP($A382,A:AL,37,FALSE)-50)),"-",(VLOOKUP($A382,'SegEnds_NonXtal_BW#'!$A:$Z,26,FALSE)+VLOOKUP($A382,A:AL,37,FALSE)-50))</f>
        <v>557</v>
      </c>
      <c r="AM382" s="28" t="str">
        <f>VLOOKUP(A382,Classification!A:B,2,FALSE)</f>
        <v>F</v>
      </c>
      <c r="AN382" s="28" t="b">
        <f t="shared" ref="AN382" si="228">AND(IF(Y382="-",IF(AA382-W382&gt;3,TRUE,FALSE),TRUE),IF(M382="-",IF(O382-K382&gt;3,TRUE,FALSE),TRUE),IF(AG382-AF382&gt;1,TRUE,FALSE),C382&lt;E382,OR(E382&lt;F382,F382="-"),OR(F382&lt;H382,F382="-"),OR(H382&lt;I382,H382="-"),I382&lt;K382,OR(K382&lt;L382,L382="-"),OR(L382&lt;N382,L382="-"),OR(N382&lt;O382,N382="-"),O382&lt;Q382,OR(Q382&lt;R382,R382="-"),OR(R382&lt;T382,R382="-"),OR(T382&lt;U382,T382="-"),U382&lt;W382,OR(W382&lt;X382,X382="-"),OR(X382&lt;Z382,X382="-"),OR(Z382&lt;AA382,Z382="-"),AA382&lt;AC382,AC382&lt;AD382,AD382&lt;AF382,AF382&lt;AG382,AG382&lt;AI382,OR(AI382&lt;AJ382,AJ382="-"),OR(AJ382&lt;AL382,AJ382="-"))</f>
        <v>1</v>
      </c>
      <c r="AO382" s="3" t="str">
        <f>IF(ISERROR(MATCH(A382,'SegEnds_Xtal_Prot#'!B:B, 0)), "NoXtal", "Xtal")</f>
        <v>Xtal</v>
      </c>
      <c r="AP382" s="3">
        <f t="shared" ref="AP382" si="229">IF(ISERROR(F382-E382),"-",F382-E382)</f>
        <v>1</v>
      </c>
      <c r="AQ382" s="3">
        <f t="shared" ref="AQ382" si="230">IF(ISERROR(I382-H382),"-",I382-H382)</f>
        <v>1</v>
      </c>
      <c r="AR382" s="3" t="str">
        <f t="shared" ref="AR382" si="231">IF(ISERROR(L382-K382),"-",L382-K382)</f>
        <v>-</v>
      </c>
      <c r="AS382" s="3" t="str">
        <f t="shared" ref="AS382" si="232">IF(ISERROR(O382-N382),"-",O382-N382)</f>
        <v>-</v>
      </c>
      <c r="AT382" s="3" t="str">
        <f t="shared" ref="AT382" si="233">IF(ISERROR(R382-Q382),"-",R382-Q382)</f>
        <v>-</v>
      </c>
      <c r="AU382" s="3" t="str">
        <f t="shared" ref="AU382" si="234">IF(ISERROR(U382-T382),"-",U382-T382)</f>
        <v>-</v>
      </c>
      <c r="AV382" s="3">
        <f t="shared" ref="AV382" si="235">IF(ISERROR(X382-W382),"-",X382-W382)</f>
        <v>11</v>
      </c>
      <c r="AW382" s="3">
        <f t="shared" ref="AW382" si="236">IF(ISERROR(AA382-Z382),"-",AA382-Z382)</f>
        <v>4</v>
      </c>
      <c r="AX382" s="3">
        <f t="shared" ref="AX382" si="237">IF(ISERROR(AD382-AC382),"-",AD382-AC382)</f>
        <v>5</v>
      </c>
      <c r="AY382" s="3">
        <f t="shared" ref="AY382" si="238">IF(ISERROR(AG382-AF382),"-",AG382-AF382)</f>
        <v>18</v>
      </c>
      <c r="AZ382" s="3">
        <f t="shared" ref="AZ382" si="239">IF(ISERROR(AJ382-AI382),"-",AJ382-AI382)</f>
        <v>1</v>
      </c>
      <c r="BA382" s="3">
        <f>IF(ISERROR(LEN(VLOOKUP(A382,Seqs!A:E,2,FALSE))-AL382),"-",LEN(VLOOKUP(A382,Seqs!A:E,2,FALSE))-AL382)</f>
        <v>236</v>
      </c>
      <c r="BB382" s="16">
        <f t="shared" ref="BB382" si="240">J382-D382</f>
        <v>27</v>
      </c>
      <c r="BC382" s="9" t="str">
        <f t="shared" ref="BC382" si="241">IF(ISERROR(V382-S382),"-",V382-S382)</f>
        <v>-</v>
      </c>
      <c r="BD382" s="3">
        <f t="shared" ref="BD382" si="242">J382-D382</f>
        <v>27</v>
      </c>
      <c r="BE382" s="3">
        <f t="shared" ref="BE382" si="243">AE382-AB382</f>
        <v>57</v>
      </c>
    </row>
    <row r="383" spans="1:58" s="9" customFormat="1" x14ac:dyDescent="0.2">
      <c r="A383" s="127" t="s">
        <v>1495</v>
      </c>
      <c r="B383" s="9" t="str">
        <f>LOWER(VLOOKUP(A383,Xtal_Templ!A:B,2,FALSE))</f>
        <v>q98sw5_xenla</v>
      </c>
      <c r="C383" s="9">
        <f>VLOOKUP($A383,'SegEnds_NonXtal_BW#'!$A:$Z,3,FALSE)+D383-50</f>
        <v>196</v>
      </c>
      <c r="D383" s="9">
        <v>218</v>
      </c>
      <c r="E383" s="9">
        <f>IF(ISERROR(VLOOKUP($A383,'SegEnds_NonXtal_BW#'!$A:$Z,4,FALSE)+VLOOKUP($A383,A:AL,4,FALSE)-50),"-",(VLOOKUP($A383,'SegEnds_NonXtal_BW#'!$A:$Z,4,FALSE)+VLOOKUP($A383,A:AL,4,FALSE)-50))</f>
        <v>228</v>
      </c>
      <c r="F383" s="9">
        <f>G383-3</f>
        <v>229</v>
      </c>
      <c r="G383" s="9">
        <v>232</v>
      </c>
      <c r="H383" s="9">
        <f>G383+1</f>
        <v>233</v>
      </c>
      <c r="I383" s="9">
        <f>H383+1</f>
        <v>234</v>
      </c>
      <c r="J383" s="9">
        <v>245</v>
      </c>
      <c r="K383" s="9">
        <f>VLOOKUP($A383,'SegEnds_NonXtal_BW#'!$A:$Z,8,FALSE)+VLOOKUP($A383,A:AL,10,FALSE)-50</f>
        <v>256</v>
      </c>
      <c r="L383" s="9" t="str">
        <f>IF(ISERROR(VLOOKUP($A383,'SegEnds_NonXtal_BW#'!$A:$Z,9,FALSE)+VLOOKUP($A383,A:AL,13,FALSE)-50),"-",(VLOOKUP($A383,'SegEnds_NonXtal_BW#'!$A:$Z,9,FALSE)+VLOOKUP($A383,A:AL,13,FALSE)-50))</f>
        <v>-</v>
      </c>
      <c r="M383" s="9" t="s">
        <v>23</v>
      </c>
      <c r="N383" s="9" t="str">
        <f>IF(ISERROR(VLOOKUP($A383,'SegEnds_NonXtal_BW#'!$A:$Z,10,FALSE)+VLOOKUP($A383,A:AL,13,FALSE)-50),"-",(VLOOKUP($A383,'SegEnds_NonXtal_BW#'!$A:$Z,10,FALSE)+VLOOKUP($A383,A:AL,13,FALSE)-50))</f>
        <v>-</v>
      </c>
      <c r="O383" s="9">
        <f>VLOOKUP($A383,'SegEnds_NonXtal_BW#'!$A:$Z,11,FALSE)+VLOOKUP($A383,A:AL,16,FALSE)-50</f>
        <v>285</v>
      </c>
      <c r="P383" s="9">
        <v>312</v>
      </c>
      <c r="Q383" s="9">
        <f>VLOOKUP($A383,'SegEnds_NonXtal_BW#'!$A:$Z,12,FALSE)+VLOOKUP($A383,A:AL,16,FALSE)-50</f>
        <v>321</v>
      </c>
      <c r="R383" s="9" t="str">
        <f>IF(ISERROR(VLOOKUP($A383,'SegEnds_NonXtal_BW#'!$A:$Z,13,FALSE)+VLOOKUP($A383,A:AL,19,FALSE)-50),"-",VLOOKUP($A383,'SegEnds_NonXtal_BW#'!$A:$Z,13,FALSE)+VLOOKUP($A383,A:AL,19,FALSE)-50)</f>
        <v>-</v>
      </c>
      <c r="S383" s="9" t="s">
        <v>23</v>
      </c>
      <c r="T383" s="9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326</v>
      </c>
      <c r="V383" s="9">
        <v>338</v>
      </c>
      <c r="W383" s="9">
        <f>IF(ISERROR(VLOOKUP($A383,'SegEnds_NonXtal_BW#'!$A:$Z,16,FALSE)+VLOOKUP($A383,A:AL,22,FALSE)-50),"-",(VLOOKUP($A383,'SegEnds_NonXtal_BW#'!$A:$Z,16,FALSE)+VLOOKUP($A383,A:AL,22,FALSE)-50))</f>
        <v>351</v>
      </c>
      <c r="X383" s="9">
        <f>IF(ISERROR(VLOOKUP($A383,'SegEnds_NonXtal_BW#'!$A:$Z,17,FALSE)+VLOOKUP($A383,A:AL,25,FALSE)-50),"-",(VLOOKUP($A383,'SegEnds_NonXtal_BW#'!$A:$Z,17,FALSE)+VLOOKUP($A383,A:AL,25,FALSE)-50))</f>
        <v>363</v>
      </c>
      <c r="Y383" s="9">
        <v>363</v>
      </c>
      <c r="Z383" s="9">
        <f>Y383+2</f>
        <v>365</v>
      </c>
      <c r="AA383" s="9">
        <f>IF(ISERROR(VLOOKUP($A383,'SegEnds_NonXtal_BW#'!$A:$Z,19,FALSE)+VLOOKUP($A383,A:AL,28,FALSE)-50),"-",(VLOOKUP($A383,'SegEnds_NonXtal_BW#'!$A:$Z,19,FALSE)+VLOOKUP($A383,A:AL,28,FALSE)-50))</f>
        <v>369</v>
      </c>
      <c r="AB383" s="9">
        <v>384</v>
      </c>
      <c r="AC383" s="9">
        <f>IF(ISERROR((VLOOKUP($A383,'SegEnds_NonXtal_BW#'!$A:$Z,20,FALSE)+VLOOKUP($A383,A:AL,28,FALSE)-50)),"-",(VLOOKUP($A383,'SegEnds_NonXtal_BW#'!$A:$Z,20,FALSE)+VLOOKUP($A383,A:AL,28,FALSE)-50))</f>
        <v>406</v>
      </c>
      <c r="AD383" s="9">
        <f>IF(ISERROR(VLOOKUP($A383,'SegEnds_NonXtal_BW#'!$A:$Z,21,FALSE)+VLOOKUP($A383,A:AL,31,FALSE)-50),"-",(VLOOKUP($A383,'SegEnds_NonXtal_BW#'!$A:$Z,21,FALSE)+VLOOKUP($A383,A:AL,31,FALSE)-50))</f>
        <v>415</v>
      </c>
      <c r="AE383" s="9">
        <v>441</v>
      </c>
      <c r="AF383" s="9">
        <f>IF(ISERROR((VLOOKUP($A383,'SegEnds_NonXtal_BW#'!$A:$Z,22,FALSE)+VLOOKUP($A383,A:AL,31,FALSE)-50)),"-",(VLOOKUP($A383,'SegEnds_NonXtal_BW#'!$A:$Z,22,FALSE)+VLOOKUP($A383,A:AL,31,FALSE)-50))</f>
        <v>472</v>
      </c>
      <c r="AG383" s="9">
        <f>IF(ISERROR(VLOOKUP($A383,'SegEnds_NonXtal_BW#'!$A:$Z,23,FALSE)+VLOOKUP($A383,A:AL,34,FALSE)-50),"-",(VLOOKUP($A383,'SegEnds_NonXtal_BW#'!$A:$Z,23,FALSE)+VLOOKUP($A383,A:AL,34,FALSE)-50))</f>
        <v>487</v>
      </c>
      <c r="AH383" s="9">
        <v>503</v>
      </c>
      <c r="AI383" s="9">
        <f>IF(ISERROR((VLOOKUP($A383,'SegEnds_NonXtal_BW#'!$A:$Z,24,FALSE)+VLOOKUP($A383,A:AL,34,FALSE)-50)),"-",(VLOOKUP($A383,'SegEnds_NonXtal_BW#'!$A:$Z,24,FALSE)+VLOOKUP($A383,A:AL,34,FALSE)-50))</f>
        <v>510</v>
      </c>
      <c r="AJ383" s="9">
        <f>IF(ISERROR(VLOOKUP($A383,'SegEnds_NonXtal_BW#'!$A:$Z,25,FALSE)+VLOOKUP($A383,A:AL,37,FALSE)-50),"-",(VLOOKUP($A383,'SegEnds_NonXtal_BW#'!$A:$Z,25,FALSE)+VLOOKUP($A383,A:AL,37,FALSE)-50))</f>
        <v>511</v>
      </c>
      <c r="AK383" s="9">
        <v>514</v>
      </c>
      <c r="AL383" s="9">
        <f>IF(ISERROR((VLOOKUP($A383,'SegEnds_NonXtal_BW#'!$A:$Z,26,FALSE)+VLOOKUP($A383,A:AL,37,FALSE)-50)),"-",(VLOOKUP($A383,'SegEnds_NonXtal_BW#'!$A:$Z,26,FALSE)+VLOOKUP($A383,A:AL,37,FALSE)-50))</f>
        <v>526</v>
      </c>
      <c r="AM383" s="58" t="str">
        <f>VLOOKUP(A383,Classification!A:B,2,FALSE)</f>
        <v>F</v>
      </c>
      <c r="AN383" s="58" t="b">
        <f>AND(IF(Y383="-",IF(AA383-W383&gt;3,TRUE,FALSE),TRUE),IF(M383="-",IF(O383-K383&gt;3,TRUE,FALSE),TRUE),IF(AG383-AF383&gt;1,TRUE,FALSE),C383&lt;E383,OR(E383&lt;F383,F383="-"),OR(F383&lt;H383,F383="-"),OR(H383&lt;I383,H383="-"),I383&lt;K383,OR(K383&lt;L383,L383="-"),OR(L383&lt;N383,L383="-"),OR(N383&lt;O383,N383="-"),O383&lt;Q383,OR(Q383&lt;R383,R383="-"),OR(R383&lt;T383,R383="-"),OR(T383&lt;U383,T383="-"),U383&lt;W383,OR(W383&lt;X383,X383="-"),OR(X383&lt;Z383,X383="-"),OR(Z383&lt;AA383,Z383="-"),AA383&lt;AC383,AC383&lt;AD383,AD383&lt;AF383,AF383&lt;AG383,AG383&lt;AI383,OR(AI383&lt;AJ383,AJ383="-"),OR(AJ383&lt;AL383,AJ383="-"))</f>
        <v>1</v>
      </c>
      <c r="AO383" s="9" t="str">
        <f>IF(ISERROR(MATCH(A383,'SegEnds_Xtal_Prot#'!B:B, 0)), "NoXtal", "Xtal")</f>
        <v>Xtal</v>
      </c>
      <c r="AP383" s="9">
        <f>IF(ISERROR(F383-E383),"-",F383-E383)</f>
        <v>1</v>
      </c>
      <c r="AQ383" s="9">
        <f>IF(ISERROR(I383-H383),"-",I383-H383)</f>
        <v>1</v>
      </c>
      <c r="AR383" s="9" t="str">
        <f>IF(ISERROR(L383-K383),"-",L383-K383)</f>
        <v>-</v>
      </c>
      <c r="AS383" s="9" t="str">
        <f>IF(ISERROR(O383-N383),"-",O383-N383)</f>
        <v>-</v>
      </c>
      <c r="AT383" s="9" t="str">
        <f>IF(ISERROR(R383-Q383),"-",R383-Q383)</f>
        <v>-</v>
      </c>
      <c r="AU383" s="9" t="str">
        <f>IF(ISERROR(U383-T383),"-",U383-T383)</f>
        <v>-</v>
      </c>
      <c r="AV383" s="9">
        <f>IF(ISERROR(X383-W383),"-",X383-W383)</f>
        <v>12</v>
      </c>
      <c r="AW383" s="9">
        <f>IF(ISERROR(AA383-Z383),"-",AA383-Z383)</f>
        <v>4</v>
      </c>
      <c r="AX383" s="9">
        <f>IF(ISERROR(AD383-AC383),"-",AD383-AC383)</f>
        <v>9</v>
      </c>
      <c r="AY383" s="9">
        <f>IF(ISERROR(AG383-AF383),"-",AG383-AF383)</f>
        <v>15</v>
      </c>
      <c r="AZ383" s="9">
        <f>IF(ISERROR(AJ383-AI383),"-",AJ383-AI383)</f>
        <v>1</v>
      </c>
      <c r="BA383" s="9">
        <f>IF(ISERROR(LEN(VLOOKUP(A383,Seqs!A:E,2,FALSE))-AL383),"-",LEN(VLOOKUP(A383,Seqs!A:E,2,FALSE))-AL383)</f>
        <v>288</v>
      </c>
      <c r="BB383" s="126">
        <f>J383-D383</f>
        <v>27</v>
      </c>
      <c r="BC383" s="9" t="str">
        <f>IF(ISERROR(V383-S383),"-",V383-S383)</f>
        <v>-</v>
      </c>
      <c r="BD383" s="9">
        <f>J383-D383</f>
        <v>27</v>
      </c>
      <c r="BE383" s="9">
        <f>AE383-AB383</f>
        <v>57</v>
      </c>
    </row>
    <row r="384" spans="1:58" s="3" customFormat="1" x14ac:dyDescent="0.2">
      <c r="A384" s="3" t="s">
        <v>481</v>
      </c>
      <c r="B384" s="3" t="str">
        <f>LOWER(VLOOKUP(A384,Xtal_Templ!A:B,2,FALSE))</f>
        <v>agtr1_human</v>
      </c>
      <c r="C384" s="3">
        <v>20</v>
      </c>
      <c r="D384" s="3">
        <v>53</v>
      </c>
      <c r="E384" s="3">
        <f>IF(ISERROR(VLOOKUP($A384,'SegEnds_NonXtal_BW#'!$A:$Z,4,FALSE)+VLOOKUP($A384,A:AL,4,FALSE)-50),"-",(VLOOKUP($A384,'SegEnds_NonXtal_BW#'!$A:$Z,4,FALSE)+VLOOKUP($A384,A:AL,4,FALSE)-50))</f>
        <v>63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60</v>
      </c>
      <c r="J384" s="3">
        <v>71</v>
      </c>
      <c r="K384" s="3">
        <f>VLOOKUP($A384,'SegEnds_NonXtal_BW#'!$A:$Z,8,FALSE)+VLOOKUP($A384,A:AL,10,FALSE)-50</f>
        <v>84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125</v>
      </c>
      <c r="P384" s="3">
        <v>152</v>
      </c>
      <c r="Q384" s="3">
        <f>VLOOKUP($A384,'SegEnds_NonXtal_BW#'!$A:$Z,12,FALSE)+VLOOKUP($A384,A:AL,16,FALSE)-50</f>
        <v>158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175</v>
      </c>
      <c r="V384" s="3">
        <v>185</v>
      </c>
      <c r="W384" s="3">
        <f>IF(ISERROR(VLOOKUP($A384,'SegEnds_NonXtal_BW#'!$A:$Z,16,FALSE)+VLOOKUP($A384,A:AL,22,FALSE)-50),"-",(VLOOKUP($A384,'SegEnds_NonXtal_BW#'!$A:$Z,16,FALSE)+VLOOKUP($A384,A:AL,22,FALSE)-50))</f>
        <v>199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257</v>
      </c>
      <c r="AB384" s="3">
        <v>268</v>
      </c>
      <c r="AC384" s="3">
        <f>IF(ISERROR((VLOOKUP($A384,'SegEnds_NonXtal_BW#'!$A:$Z,20,FALSE)+VLOOKUP($A384,A:AL,28,FALSE)-50)),"-",(VLOOKUP($A384,'SegEnds_NonXtal_BW#'!$A:$Z,20,FALSE)+VLOOKUP($A384,A:AL,28,FALSE)-50))</f>
        <v>279</v>
      </c>
      <c r="AD384" s="3">
        <f>IF(ISERROR(VLOOKUP($A384,'SegEnds_NonXtal_BW#'!$A:$Z,21,FALSE)+VLOOKUP($A384,A:AL,31,FALSE)-50),"-",(VLOOKUP($A384,'SegEnds_NonXtal_BW#'!$A:$Z,21,FALSE)+VLOOKUP($A384,A:AL,31,FALSE)-50))</f>
        <v>326</v>
      </c>
      <c r="AE384" s="3">
        <v>347</v>
      </c>
      <c r="AF384" s="3">
        <f>IF(ISERROR((VLOOKUP($A384,'SegEnds_NonXtal_BW#'!$A:$Z,22,FALSE)+VLOOKUP($A384,A:AL,31,FALSE)-50)),"-",(VLOOKUP($A384,'SegEnds_NonXtal_BW#'!$A:$Z,22,FALSE)+VLOOKUP($A384,A:AL,31,FALSE)-50))</f>
        <v>350</v>
      </c>
      <c r="AG384" s="3">
        <f>IF(ISERROR(VLOOKUP($A384,'SegEnds_NonXtal_BW#'!$A:$Z,23,FALSE)+VLOOKUP($A384,A:AL,34,FALSE)-50),"-",(VLOOKUP($A384,'SegEnds_NonXtal_BW#'!$A:$Z,23,FALSE)+VLOOKUP($A384,A:AL,34,FALSE)-50))</f>
        <v>365</v>
      </c>
      <c r="AH384" s="3">
        <v>380</v>
      </c>
      <c r="AI384" s="3">
        <f>IF(ISERROR((VLOOKUP($A384,'SegEnds_NonXtal_BW#'!$A:$Z,24,FALSE)+VLOOKUP($A384,A:AL,34,FALSE)-50)),"-",(VLOOKUP($A384,'SegEnds_NonXtal_BW#'!$A:$Z,24,FALSE)+VLOOKUP($A384,A:AL,34,FALSE)-50))</f>
        <v>386</v>
      </c>
      <c r="AJ384" s="3">
        <f>IF(ISERROR(VLOOKUP($A384,'SegEnds_NonXtal_BW#'!$A:$Z,25,FALSE)+VLOOKUP($A384,A:AL,37,FALSE)-50),"-",(VLOOKUP($A384,'SegEnds_NonXtal_BW#'!$A:$Z,25,FALSE)+VLOOKUP($A384,A:AL,37,FALSE)-50))</f>
        <v>387</v>
      </c>
      <c r="AK384" s="3">
        <v>390</v>
      </c>
      <c r="AL384" s="3">
        <f>IF(ISERROR((VLOOKUP($A384,'SegEnds_NonXtal_BW#'!$A:$Z,26,FALSE)+VLOOKUP($A384,A:AL,37,FALSE)-50)),"-",(VLOOKUP($A384,'SegEnds_NonXtal_BW#'!$A:$Z,26,FALSE)+VLOOKUP($A384,A:AL,37,FALSE)-50))</f>
        <v>397</v>
      </c>
      <c r="AM384" s="28" t="str">
        <f>VLOOKUP(A384,Classification!A:B,2,FALSE)</f>
        <v>O</v>
      </c>
      <c r="AN384" s="28" t="b">
        <f t="shared" si="216"/>
        <v>1</v>
      </c>
      <c r="AO384" s="3" t="str">
        <f>IF(ISERROR(MATCH(A384,'SegEnds_Xtal_Prot#'!B:B, 0)), "NoXtal", "Xtal")</f>
        <v>NoXtal</v>
      </c>
      <c r="AP384" s="3" t="str">
        <f t="shared" si="201"/>
        <v>-</v>
      </c>
      <c r="AQ384" s="3" t="str">
        <f t="shared" si="202"/>
        <v>-</v>
      </c>
      <c r="AR384" s="3" t="str">
        <f t="shared" si="203"/>
        <v>-</v>
      </c>
      <c r="AS384" s="3" t="str">
        <f t="shared" si="204"/>
        <v>-</v>
      </c>
      <c r="AT384" s="3" t="str">
        <f t="shared" si="205"/>
        <v>-</v>
      </c>
      <c r="AU384" s="3" t="str">
        <f t="shared" si="206"/>
        <v>-</v>
      </c>
      <c r="AV384" s="3" t="str">
        <f t="shared" si="207"/>
        <v>-</v>
      </c>
      <c r="AW384" s="3" t="str">
        <f t="shared" si="208"/>
        <v>-</v>
      </c>
      <c r="AX384" s="3">
        <f t="shared" si="209"/>
        <v>47</v>
      </c>
      <c r="AY384" s="3">
        <f t="shared" si="210"/>
        <v>15</v>
      </c>
      <c r="AZ384" s="3">
        <f t="shared" si="211"/>
        <v>1</v>
      </c>
      <c r="BA384" s="3">
        <f>IF(ISERROR(LEN(VLOOKUP(A384,Seqs!A:E,2,FALSE))-AL384),"-",LEN(VLOOKUP(A384,Seqs!A:E,2,FALSE))-AL384)</f>
        <v>20</v>
      </c>
      <c r="BB384" s="16">
        <f t="shared" si="212"/>
        <v>18</v>
      </c>
      <c r="BC384" s="9" t="str">
        <f t="shared" si="213"/>
        <v>-</v>
      </c>
      <c r="BD384" s="3">
        <f t="shared" si="214"/>
        <v>18</v>
      </c>
      <c r="BE384" s="3">
        <f t="shared" si="215"/>
        <v>79</v>
      </c>
      <c r="BF384" s="3">
        <f>AH384-AE384</f>
        <v>33</v>
      </c>
    </row>
    <row r="385" spans="1:58" s="3" customFormat="1" x14ac:dyDescent="0.2">
      <c r="A385" s="3" t="s">
        <v>482</v>
      </c>
      <c r="B385" s="3" t="str">
        <f>LOWER(VLOOKUP(A385,Xtal_Templ!A:B,2,FALSE))</f>
        <v>ccr9_human</v>
      </c>
      <c r="C385" s="3">
        <v>202</v>
      </c>
      <c r="D385" s="3">
        <v>231</v>
      </c>
      <c r="E385" s="3">
        <f>IF(ISERROR(VLOOKUP($A385,'SegEnds_NonXtal_BW#'!$A:$Z,4,FALSE)+VLOOKUP($A385,A:AL,4,FALSE)-50),"-",(VLOOKUP($A385,'SegEnds_NonXtal_BW#'!$A:$Z,4,FALSE)+VLOOKUP($A385,A:AL,4,FALSE)-50))</f>
        <v>241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269</v>
      </c>
      <c r="J385" s="3">
        <v>280</v>
      </c>
      <c r="K385" s="3">
        <f>VLOOKUP($A385,'SegEnds_NonXtal_BW#'!$A:$Z,8,FALSE)+VLOOKUP($A385,A:AL,10,FALSE)-50</f>
        <v>293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327</v>
      </c>
      <c r="P385" s="3">
        <v>354</v>
      </c>
      <c r="Q385" s="3">
        <f>VLOOKUP($A385,'SegEnds_NonXtal_BW#'!$A:$Z,12,FALSE)+VLOOKUP($A385,A:AL,16,FALSE)-50</f>
        <v>360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381</v>
      </c>
      <c r="V385" s="3">
        <v>391</v>
      </c>
      <c r="W385" s="3">
        <f>IF(ISERROR(VLOOKUP($A385,'SegEnds_NonXtal_BW#'!$A:$Z,16,FALSE)+VLOOKUP($A385,A:AL,22,FALSE)-50),"-",(VLOOKUP($A385,'SegEnds_NonXtal_BW#'!$A:$Z,16,FALSE)+VLOOKUP($A385,A:AL,22,FALSE)-50))</f>
        <v>405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461</v>
      </c>
      <c r="AB385" s="3">
        <v>472</v>
      </c>
      <c r="AC385" s="3">
        <f>IF(ISERROR((VLOOKUP($A385,'SegEnds_NonXtal_BW#'!$A:$Z,20,FALSE)+VLOOKUP($A385,A:AL,28,FALSE)-50)),"-",(VLOOKUP($A385,'SegEnds_NonXtal_BW#'!$A:$Z,20,FALSE)+VLOOKUP($A385,A:AL,28,FALSE)-50))</f>
        <v>483</v>
      </c>
      <c r="AD385" s="3">
        <f>IF(ISERROR(VLOOKUP($A385,'SegEnds_NonXtal_BW#'!$A:$Z,21,FALSE)+VLOOKUP($A385,A:AL,31,FALSE)-50),"-",(VLOOKUP($A385,'SegEnds_NonXtal_BW#'!$A:$Z,21,FALSE)+VLOOKUP($A385,A:AL,31,FALSE)-50))</f>
        <v>488</v>
      </c>
      <c r="AE385" s="3">
        <v>509</v>
      </c>
      <c r="AF385" s="3">
        <f>IF(ISERROR((VLOOKUP($A385,'SegEnds_NonXtal_BW#'!$A:$Z,22,FALSE)+VLOOKUP($A385,A:AL,31,FALSE)-50)),"-",(VLOOKUP($A385,'SegEnds_NonXtal_BW#'!$A:$Z,22,FALSE)+VLOOKUP($A385,A:AL,31,FALSE)-50))</f>
        <v>512</v>
      </c>
      <c r="AG385" s="3">
        <f>IF(ISERROR(VLOOKUP($A385,'SegEnds_NonXtal_BW#'!$A:$Z,23,FALSE)+VLOOKUP($A385,A:AL,34,FALSE)-50),"-",(VLOOKUP($A385,'SegEnds_NonXtal_BW#'!$A:$Z,23,FALSE)+VLOOKUP($A385,A:AL,34,FALSE)-50))</f>
        <v>538</v>
      </c>
      <c r="AH385" s="3">
        <v>553</v>
      </c>
      <c r="AI385" s="3">
        <f>IF(ISERROR((VLOOKUP($A385,'SegEnds_NonXtal_BW#'!$A:$Z,24,FALSE)+VLOOKUP($A385,A:AL,34,FALSE)-50)),"-",(VLOOKUP($A385,'SegEnds_NonXtal_BW#'!$A:$Z,24,FALSE)+VLOOKUP($A385,A:AL,34,FALSE)-50))</f>
        <v>559</v>
      </c>
      <c r="AJ385" s="3">
        <f>IF(ISERROR(VLOOKUP($A385,'SegEnds_NonXtal_BW#'!$A:$Z,25,FALSE)+VLOOKUP($A385,A:AL,37,FALSE)-50),"-",(VLOOKUP($A385,'SegEnds_NonXtal_BW#'!$A:$Z,25,FALSE)+VLOOKUP($A385,A:AL,37,FALSE)-50))</f>
        <v>561</v>
      </c>
      <c r="AK385" s="3">
        <v>564</v>
      </c>
      <c r="AL385" s="3">
        <f>IF(ISERROR((VLOOKUP($A385,'SegEnds_NonXtal_BW#'!$A:$Z,26,FALSE)+VLOOKUP($A385,A:AL,37,FALSE)-50)),"-",(VLOOKUP($A385,'SegEnds_NonXtal_BW#'!$A:$Z,26,FALSE)+VLOOKUP($A385,A:AL,37,FALSE)-50))</f>
        <v>571</v>
      </c>
      <c r="AM385" s="28" t="str">
        <f>VLOOKUP(A385,Classification!A:B,2,FALSE)</f>
        <v>O</v>
      </c>
      <c r="AN385" s="28" t="b">
        <f t="shared" si="216"/>
        <v>1</v>
      </c>
      <c r="AO385" s="3" t="str">
        <f>IF(ISERROR(MATCH(A385,'SegEnds_Xtal_Prot#'!B:B, 0)), "NoXtal", "Xtal")</f>
        <v>NoXtal</v>
      </c>
      <c r="AP385" s="3" t="str">
        <f t="shared" si="201"/>
        <v>-</v>
      </c>
      <c r="AQ385" s="3" t="str">
        <f t="shared" si="202"/>
        <v>-</v>
      </c>
      <c r="AR385" s="3" t="str">
        <f t="shared" si="203"/>
        <v>-</v>
      </c>
      <c r="AS385" s="3" t="str">
        <f t="shared" si="204"/>
        <v>-</v>
      </c>
      <c r="AT385" s="3" t="str">
        <f t="shared" si="205"/>
        <v>-</v>
      </c>
      <c r="AU385" s="3" t="str">
        <f t="shared" si="206"/>
        <v>-</v>
      </c>
      <c r="AV385" s="3" t="str">
        <f t="shared" si="207"/>
        <v>-</v>
      </c>
      <c r="AW385" s="3" t="str">
        <f t="shared" si="208"/>
        <v>-</v>
      </c>
      <c r="AX385" s="3">
        <f t="shared" si="209"/>
        <v>5</v>
      </c>
      <c r="AY385" s="3">
        <f t="shared" si="210"/>
        <v>26</v>
      </c>
      <c r="AZ385" s="3">
        <f t="shared" si="211"/>
        <v>2</v>
      </c>
      <c r="BA385" s="3">
        <f>IF(ISERROR(LEN(VLOOKUP(A385,Seqs!A:E,2,FALSE))-AL385),"-",LEN(VLOOKUP(A385,Seqs!A:E,2,FALSE))-AL385)</f>
        <v>29</v>
      </c>
      <c r="BB385" s="16">
        <f t="shared" si="212"/>
        <v>49</v>
      </c>
      <c r="BC385" s="9" t="str">
        <f t="shared" si="213"/>
        <v>-</v>
      </c>
      <c r="BD385" s="3">
        <f t="shared" si="214"/>
        <v>49</v>
      </c>
      <c r="BE385" s="3">
        <f t="shared" si="215"/>
        <v>37</v>
      </c>
      <c r="BF385" s="3">
        <f>AH385-AE385</f>
        <v>44</v>
      </c>
    </row>
    <row r="386" spans="1:58" s="3" customFormat="1" x14ac:dyDescent="0.2">
      <c r="A386" s="3" t="s">
        <v>485</v>
      </c>
      <c r="B386" s="3" t="str">
        <f>LOWER(VLOOKUP(A386,Xtal_Templ!A:B,2,FALSE))</f>
        <v>aa2ar_human</v>
      </c>
      <c r="C386" s="3">
        <v>12</v>
      </c>
      <c r="D386" s="3">
        <v>42</v>
      </c>
      <c r="E386" s="3">
        <f>IF(ISERROR(VLOOKUP($A386,'SegEnds_NonXtal_BW#'!$A:$Z,4,FALSE)+VLOOKUP($A386,A:AL,4,FALSE)-50),"-",(VLOOKUP($A386,'SegEnds_NonXtal_BW#'!$A:$Z,4,FALSE)+VLOOKUP($A386,A:AL,4,FALSE)-50))</f>
        <v>52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67</v>
      </c>
      <c r="J386" s="3">
        <v>78</v>
      </c>
      <c r="K386" s="3">
        <f>VLOOKUP($A386,'SegEnds_NonXtal_BW#'!$A:$Z,8,FALSE)+VLOOKUP($A386,A:AL,10,FALSE)-50</f>
        <v>91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152</v>
      </c>
      <c r="V386" s="3">
        <v>162</v>
      </c>
      <c r="W386" s="3">
        <f>IF(ISERROR(VLOOKUP($A386,'SegEnds_NonXtal_BW#'!$A:$Z,16,FALSE)+VLOOKUP($A386,A:AL,22,FALSE)-50),"-",(VLOOKUP($A386,'SegEnds_NonXtal_BW#'!$A:$Z,16,FALSE)+VLOOKUP($A386,A:AL,22,FALSE)-50))</f>
        <v>176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190</v>
      </c>
      <c r="AB386" s="3">
        <v>201</v>
      </c>
      <c r="AC386" s="3">
        <f>IF(ISERROR((VLOOKUP($A386,'SegEnds_NonXtal_BW#'!$A:$Z,20,FALSE)+VLOOKUP($A386,A:AL,28,FALSE)-50)),"-",(VLOOKUP($A386,'SegEnds_NonXtal_BW#'!$A:$Z,20,FALSE)+VLOOKUP($A386,A:AL,28,FALSE)-50))</f>
        <v>212</v>
      </c>
      <c r="AD386" s="3">
        <f>IF(ISERROR(VLOOKUP($A386,'SegEnds_NonXtal_BW#'!$A:$Z,21,FALSE)+VLOOKUP($A386,A:AL,31,FALSE)-50),"-",(VLOOKUP($A386,'SegEnds_NonXtal_BW#'!$A:$Z,21,FALSE)+VLOOKUP($A386,A:AL,31,FALSE)-50))</f>
        <v>238</v>
      </c>
      <c r="AE386" s="3">
        <v>259</v>
      </c>
      <c r="AF386" s="3">
        <f>IF(ISERROR((VLOOKUP($A386,'SegEnds_NonXtal_BW#'!$A:$Z,22,FALSE)+VLOOKUP($A386,A:AL,31,FALSE)-50)),"-",(VLOOKUP($A386,'SegEnds_NonXtal_BW#'!$A:$Z,22,FALSE)+VLOOKUP($A386,A:AL,31,FALSE)-50))</f>
        <v>262</v>
      </c>
      <c r="AG386" s="3">
        <f>IF(ISERROR(VLOOKUP($A386,'SegEnds_NonXtal_BW#'!$A:$Z,23,FALSE)+VLOOKUP($A386,A:AL,34,FALSE)-50),"-",(VLOOKUP($A386,'SegEnds_NonXtal_BW#'!$A:$Z,23,FALSE)+VLOOKUP($A386,A:AL,34,FALSE)-50))</f>
        <v>293</v>
      </c>
      <c r="AH386" s="3">
        <v>308</v>
      </c>
      <c r="AI386" s="3">
        <f>IF(ISERROR((VLOOKUP($A386,'SegEnds_NonXtal_BW#'!$A:$Z,24,FALSE)+VLOOKUP($A386,A:AL,34,FALSE)-50)),"-",(VLOOKUP($A386,'SegEnds_NonXtal_BW#'!$A:$Z,24,FALSE)+VLOOKUP($A386,A:AL,34,FALSE)-50))</f>
        <v>314</v>
      </c>
      <c r="AJ386" s="3">
        <f>IF(ISERROR(VLOOKUP($A386,'SegEnds_NonXtal_BW#'!$A:$Z,25,FALSE)+VLOOKUP($A386,A:AL,37,FALSE)-50),"-",(VLOOKUP($A386,'SegEnds_NonXtal_BW#'!$A:$Z,25,FALSE)+VLOOKUP($A386,A:AL,37,FALSE)-50))</f>
        <v>315</v>
      </c>
      <c r="AK386" s="3">
        <v>318</v>
      </c>
      <c r="AL386" s="3">
        <f>IF(ISERROR((VLOOKUP($A386,'SegEnds_NonXtal_BW#'!$A:$Z,26,FALSE)+VLOOKUP($A386,A:AL,37,FALSE)-50)),"-",(VLOOKUP($A386,'SegEnds_NonXtal_BW#'!$A:$Z,26,FALSE)+VLOOKUP($A386,A:AL,37,FALSE)-50))</f>
        <v>325</v>
      </c>
      <c r="AM386" s="28" t="str">
        <f>VLOOKUP(A386,Classification!A:B,2,FALSE)</f>
        <v>O</v>
      </c>
      <c r="AN386" s="28" t="b">
        <f t="shared" si="216"/>
        <v>1</v>
      </c>
      <c r="AO386" s="3" t="str">
        <f>IF(ISERROR(MATCH(A386,'SegEnds_Xtal_Prot#'!B:B, 0)), "NoXtal", "Xtal")</f>
        <v>NoXtal</v>
      </c>
      <c r="AP386" s="3" t="str">
        <f t="shared" si="201"/>
        <v>-</v>
      </c>
      <c r="AQ386" s="3" t="str">
        <f t="shared" si="202"/>
        <v>-</v>
      </c>
      <c r="AR386" s="3" t="str">
        <f t="shared" si="203"/>
        <v>-</v>
      </c>
      <c r="AS386" s="3" t="str">
        <f t="shared" si="204"/>
        <v>-</v>
      </c>
      <c r="AT386" s="3" t="str">
        <f t="shared" si="205"/>
        <v>-</v>
      </c>
      <c r="AU386" s="3" t="str">
        <f t="shared" si="206"/>
        <v>-</v>
      </c>
      <c r="AV386" s="3" t="str">
        <f t="shared" si="207"/>
        <v>-</v>
      </c>
      <c r="AW386" s="3" t="str">
        <f t="shared" si="208"/>
        <v>-</v>
      </c>
      <c r="AX386" s="3">
        <f t="shared" si="209"/>
        <v>26</v>
      </c>
      <c r="AY386" s="3">
        <f t="shared" si="210"/>
        <v>31</v>
      </c>
      <c r="AZ386" s="3">
        <f t="shared" si="211"/>
        <v>1</v>
      </c>
      <c r="BA386" s="3">
        <f>IF(ISERROR(LEN(VLOOKUP(A386,Seqs!A:E,2,FALSE))-AL386),"-",LEN(VLOOKUP(A386,Seqs!A:E,2,FALSE))-AL386)</f>
        <v>79</v>
      </c>
      <c r="BB386" s="16">
        <f t="shared" si="212"/>
        <v>36</v>
      </c>
      <c r="BC386" s="9" t="str">
        <f t="shared" si="213"/>
        <v>-</v>
      </c>
      <c r="BD386" s="3">
        <f t="shared" si="214"/>
        <v>36</v>
      </c>
      <c r="BE386" s="3">
        <f t="shared" si="215"/>
        <v>58</v>
      </c>
    </row>
    <row r="387" spans="1:58" s="3" customFormat="1" x14ac:dyDescent="0.2">
      <c r="A387" s="3" t="s">
        <v>486</v>
      </c>
      <c r="B387" s="3" t="str">
        <f>LOWER(VLOOKUP(A387,Xtal_Templ!A:B,2,FALSE))</f>
        <v>5ht2c_human</v>
      </c>
      <c r="C387" s="3">
        <f>VLOOKUP($A387,'SegEnds_NonXtal_BW#'!$A:$Z,3,FALSE)+D387-50</f>
        <v>12</v>
      </c>
      <c r="D387" s="3">
        <v>29</v>
      </c>
      <c r="E387" s="3">
        <f>IF(ISERROR(VLOOKUP($A387,'SegEnds_NonXtal_BW#'!$A:$Z,4,FALSE)+VLOOKUP($A387,A:AL,4,FALSE)-50),"-",(VLOOKUP($A387,'SegEnds_NonXtal_BW#'!$A:$Z,4,FALSE)+VLOOKUP($A387,A:AL,4,FALSE)-50))</f>
        <v>39</v>
      </c>
      <c r="F387" s="3" t="str">
        <f>IF(ISERROR(VLOOKUP($A387,'SegEnds_NonXtal_BW#'!$A:$Z,5,FALSE)+VLOOKUP($A387,A:AL,7,FALSE)-50),"-",(VLOOKUP($A387,'SegEnds_NonXtal_BW#'!$A:$Z,5,FALSE)+VLOOKUP($A387,A:AL,7,FALSE)-50))</f>
        <v>-</v>
      </c>
      <c r="G387" s="3" t="s">
        <v>23</v>
      </c>
      <c r="H387" s="3" t="str">
        <f>IF(ISERROR(VLOOKUP($A387,'SegEnds_NonXtal_BW#'!$A:$Z,6,FALSE)+VLOOKUP($A387,A:AL,7,FALSE)-50),"-",(VLOOKUP($A387,'SegEnds_NonXtal_BW#'!$A:$Z,6,FALSE)+VLOOKUP($A387,A:AL,7,FALSE)-50))</f>
        <v>-</v>
      </c>
      <c r="I387" s="3">
        <f>VLOOKUP($A387,'SegEnds_NonXtal_BW#'!$A:$Z,7,FALSE)+J387-50</f>
        <v>46</v>
      </c>
      <c r="J387" s="3">
        <v>57</v>
      </c>
      <c r="K387" s="3">
        <f>VLOOKUP($A387,'SegEnds_NonXtal_BW#'!$A:$Z,8,FALSE)+VLOOKUP($A387,A:AL,10,FALSE)-50</f>
        <v>70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104</v>
      </c>
      <c r="Q387" s="3">
        <f>VLOOKUP($A387,'SegEnds_NonXtal_BW#'!$A:$Z,12,FALSE)+VLOOKUP($A387,A:AL,16,FALSE)-50</f>
        <v>110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0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125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149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153</v>
      </c>
      <c r="AB387" s="3">
        <v>164</v>
      </c>
      <c r="AC387" s="3">
        <f>IF(ISERROR((VLOOKUP($A387,'SegEnds_NonXtal_BW#'!$A:$Z,20,FALSE)+VLOOKUP($A387,A:AL,28,FALSE)-50)),"-",(VLOOKUP($A387,'SegEnds_NonXtal_BW#'!$A:$Z,20,FALSE)+VLOOKUP($A387,A:AL,28,FALSE)-50))</f>
        <v>175</v>
      </c>
      <c r="AD387" s="3">
        <f>IF(ISERROR(VLOOKUP($A387,'SegEnds_NonXtal_BW#'!$A:$Z,21,FALSE)+VLOOKUP($A387,A:AL,31,FALSE)-50),"-",(VLOOKUP($A387,'SegEnds_NonXtal_BW#'!$A:$Z,21,FALSE)+VLOOKUP($A387,A:AL,31,FALSE)-50))</f>
        <v>210</v>
      </c>
      <c r="AE387" s="3">
        <v>231</v>
      </c>
      <c r="AF387" s="3">
        <f>IF(ISERROR((VLOOKUP($A387,'SegEnds_NonXtal_BW#'!$A:$Z,22,FALSE)+VLOOKUP($A387,A:AL,31,FALSE)-50)),"-",(VLOOKUP($A387,'SegEnds_NonXtal_BW#'!$A:$Z,22,FALSE)+VLOOKUP($A387,A:AL,31,FALSE)-50))</f>
        <v>234</v>
      </c>
      <c r="AG387" s="3">
        <f>IF(ISERROR(VLOOKUP($A387,'SegEnds_NonXtal_BW#'!$A:$Z,23,FALSE)+VLOOKUP($A387,A:AL,34,FALSE)-50),"-",(VLOOKUP($A387,'SegEnds_NonXtal_BW#'!$A:$Z,23,FALSE)+VLOOKUP($A387,A:AL,34,FALSE)-50))</f>
        <v>261</v>
      </c>
      <c r="AH387" s="3">
        <v>276</v>
      </c>
      <c r="AI387" s="3">
        <f>IF(ISERROR((VLOOKUP($A387,'SegEnds_NonXtal_BW#'!$A:$Z,24,FALSE)+VLOOKUP($A387,A:AL,34,FALSE)-50)),"-",(VLOOKUP($A387,'SegEnds_NonXtal_BW#'!$A:$Z,24,FALSE)+VLOOKUP($A387,A:AL,34,FALSE)-50))</f>
        <v>282</v>
      </c>
      <c r="AJ387" s="3">
        <v>286</v>
      </c>
      <c r="AK387" s="3">
        <v>294</v>
      </c>
      <c r="AL387" s="3">
        <f>IF(ISERROR((VLOOKUP($A387,'SegEnds_NonXtal_BW#'!$A:$Z,26,FALSE)+VLOOKUP($A387,A:AL,37,FALSE)-50)),"-",(VLOOKUP($A387,'SegEnds_NonXtal_BW#'!$A:$Z,26,FALSE)+VLOOKUP($A387,A:AL,37,FALSE)-50))</f>
        <v>301</v>
      </c>
      <c r="AM387" s="28" t="str">
        <f>VLOOKUP(A387,Classification!A:B,2,FALSE)</f>
        <v>O</v>
      </c>
      <c r="AN387" s="28" t="b">
        <f t="shared" si="216"/>
        <v>1</v>
      </c>
      <c r="AO387" s="3" t="str">
        <f>IF(ISERROR(MATCH(A387,'SegEnds_Xtal_Prot#'!B:B, 0)), "NoXtal", "Xtal")</f>
        <v>NoXtal</v>
      </c>
      <c r="AP387" s="3" t="str">
        <f t="shared" si="201"/>
        <v>-</v>
      </c>
      <c r="AQ387" s="3" t="str">
        <f t="shared" si="202"/>
        <v>-</v>
      </c>
      <c r="AR387" s="3" t="str">
        <f t="shared" si="203"/>
        <v>-</v>
      </c>
      <c r="AS387" s="3" t="str">
        <f t="shared" si="204"/>
        <v>-</v>
      </c>
      <c r="AT387" s="3" t="str">
        <f t="shared" si="205"/>
        <v>-</v>
      </c>
      <c r="AU387" s="3" t="str">
        <f t="shared" si="206"/>
        <v>-</v>
      </c>
      <c r="AV387" s="3" t="str">
        <f t="shared" si="207"/>
        <v>-</v>
      </c>
      <c r="AW387" s="3" t="str">
        <f t="shared" si="208"/>
        <v>-</v>
      </c>
      <c r="AX387" s="3">
        <f t="shared" si="209"/>
        <v>35</v>
      </c>
      <c r="AY387" s="3">
        <f t="shared" si="210"/>
        <v>27</v>
      </c>
      <c r="AZ387" s="3">
        <f t="shared" si="211"/>
        <v>4</v>
      </c>
      <c r="BA387" s="3">
        <f>IF(ISERROR(LEN(VLOOKUP(A387,Seqs!A:E,2,FALSE))-AL387),"-",LEN(VLOOKUP(A387,Seqs!A:E,2,FALSE))-AL387)</f>
        <v>34</v>
      </c>
      <c r="BB387" s="16">
        <f t="shared" si="212"/>
        <v>28</v>
      </c>
      <c r="BC387" s="9" t="str">
        <f t="shared" si="213"/>
        <v>-</v>
      </c>
      <c r="BD387" s="3">
        <f t="shared" si="214"/>
        <v>28</v>
      </c>
      <c r="BE387" s="3">
        <f t="shared" si="215"/>
        <v>67</v>
      </c>
    </row>
    <row r="388" spans="1:58" s="3" customFormat="1" x14ac:dyDescent="0.2">
      <c r="A388" s="3" t="s">
        <v>484</v>
      </c>
      <c r="B388" s="3" t="str">
        <f>LOWER(VLOOKUP(A388,Xtal_Templ!A:B,2,FALSE))</f>
        <v>pe2r4_human</v>
      </c>
      <c r="C388" s="3">
        <v>27</v>
      </c>
      <c r="D388" s="3">
        <v>64</v>
      </c>
      <c r="E388" s="3">
        <f>IF(ISERROR(VLOOKUP($A388,'SegEnds_NonXtal_BW#'!$A:$Z,4,FALSE)+VLOOKUP($A388,A:AL,4,FALSE)-50),"-",(VLOOKUP($A388,'SegEnds_NonXtal_BW#'!$A:$Z,4,FALSE)+VLOOKUP($A388,A:AL,4,FALSE)-50))</f>
        <v>74</v>
      </c>
      <c r="F388" s="3" t="str">
        <f>IF(ISERROR(VLOOKUP($A388,'SegEnds_NonXtal_BW#'!$A:$Z,5,FALSE)+VLOOKUP($A388,A:AL,7,FALSE)-50),"-",(VLOOKUP($A388,'SegEnds_NonXtal_BW#'!$A:$Z,5,FALSE)+VLOOKUP($A388,A:AL,7,FALSE)-50))</f>
        <v>-</v>
      </c>
      <c r="G388" s="3" t="s">
        <v>23</v>
      </c>
      <c r="H388" s="3" t="str">
        <f>IF(ISERROR(VLOOKUP($A388,'SegEnds_NonXtal_BW#'!$A:$Z,6,FALSE)+VLOOKUP($A388,A:AL,7,FALSE)-50),"-",(VLOOKUP($A388,'SegEnds_NonXtal_BW#'!$A:$Z,6,FALSE)+VLOOKUP($A388,A:AL,7,FALSE)-50))</f>
        <v>-</v>
      </c>
      <c r="I388" s="3">
        <f>VLOOKUP($A388,'SegEnds_NonXtal_BW#'!$A:$Z,7,FALSE)+J388-50</f>
        <v>85</v>
      </c>
      <c r="J388" s="3">
        <v>96</v>
      </c>
      <c r="K388" s="3">
        <f>VLOOKUP($A388,'SegEnds_NonXtal_BW#'!$A:$Z,8,FALSE)+VLOOKUP($A388,A:AL,10,FALSE)-50</f>
        <v>109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114</v>
      </c>
      <c r="P388" s="3">
        <v>141</v>
      </c>
      <c r="Q388" s="3">
        <f>VLOOKUP($A388,'SegEnds_NonXtal_BW#'!$A:$Z,12,FALSE)+VLOOKUP($A388,A:AL,16,FALSE)-50</f>
        <v>147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0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162</v>
      </c>
      <c r="V388" s="3">
        <v>172</v>
      </c>
      <c r="W388" s="3">
        <f>IF(ISERROR(VLOOKUP($A388,'SegEnds_NonXtal_BW#'!$A:$Z,16,FALSE)+VLOOKUP($A388,A:AL,22,FALSE)-50),"-",(VLOOKUP($A388,'SegEnds_NonXtal_BW#'!$A:$Z,16,FALSE)+VLOOKUP($A388,A:AL,22,FALSE)-50))</f>
        <v>183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187</v>
      </c>
      <c r="AB388" s="3">
        <v>197</v>
      </c>
      <c r="AC388" s="3">
        <f>IF(ISERROR((VLOOKUP($A388,'SegEnds_NonXtal_BW#'!$A:$Z,20,FALSE)+VLOOKUP($A388,A:AL,28,FALSE)-50)),"-",(VLOOKUP($A388,'SegEnds_NonXtal_BW#'!$A:$Z,20,FALSE)+VLOOKUP($A388,A:AL,28,FALSE)-50))</f>
        <v>208</v>
      </c>
      <c r="AD388" s="3">
        <f>IF(ISERROR(VLOOKUP($A388,'SegEnds_NonXtal_BW#'!$A:$Z,21,FALSE)+VLOOKUP($A388,A:AL,31,FALSE)-50),"-",(VLOOKUP($A388,'SegEnds_NonXtal_BW#'!$A:$Z,21,FALSE)+VLOOKUP($A388,A:AL,31,FALSE)-50))</f>
        <v>252</v>
      </c>
      <c r="AE388" s="3">
        <v>273</v>
      </c>
      <c r="AF388" s="3">
        <f>IF(ISERROR((VLOOKUP($A388,'SegEnds_NonXtal_BW#'!$A:$Z,22,FALSE)+VLOOKUP($A388,A:AL,31,FALSE)-50)),"-",(VLOOKUP($A388,'SegEnds_NonXtal_BW#'!$A:$Z,22,FALSE)+VLOOKUP($A388,A:AL,31,FALSE)-50))</f>
        <v>276</v>
      </c>
      <c r="AG388" s="3">
        <f>IF(ISERROR(VLOOKUP($A388,'SegEnds_NonXtal_BW#'!$A:$Z,23,FALSE)+VLOOKUP($A388,A:AL,34,FALSE)-50),"-",(VLOOKUP($A388,'SegEnds_NonXtal_BW#'!$A:$Z,23,FALSE)+VLOOKUP($A388,A:AL,34,FALSE)-50))</f>
        <v>294</v>
      </c>
      <c r="AH388" s="3">
        <v>309</v>
      </c>
      <c r="AI388" s="3">
        <f>IF(ISERROR((VLOOKUP($A388,'SegEnds_NonXtal_BW#'!$A:$Z,24,FALSE)+VLOOKUP($A388,A:AL,34,FALSE)-50)),"-",(VLOOKUP($A388,'SegEnds_NonXtal_BW#'!$A:$Z,24,FALSE)+VLOOKUP($A388,A:AL,34,FALSE)-50))</f>
        <v>315</v>
      </c>
      <c r="AJ388" s="105">
        <v>320</v>
      </c>
      <c r="AK388" s="3">
        <v>333</v>
      </c>
      <c r="AL388" s="3">
        <f>IF(ISERROR((VLOOKUP($A388,'SegEnds_NonXtal_BW#'!$A:$Z,26,FALSE)+VLOOKUP($A388,A:AL,37,FALSE)-50)),"-",(VLOOKUP($A388,'SegEnds_NonXtal_BW#'!$A:$Z,26,FALSE)+VLOOKUP($A388,A:AL,37,FALSE)-50))</f>
        <v>340</v>
      </c>
      <c r="AM388" s="28" t="str">
        <f>VLOOKUP(A388,Classification!A:B,2,FALSE)</f>
        <v>O</v>
      </c>
      <c r="AN388" s="28" t="b">
        <f t="shared" si="216"/>
        <v>1</v>
      </c>
      <c r="AO388" s="3" t="str">
        <f>IF(ISERROR(MATCH(A388,'SegEnds_Xtal_Prot#'!B:B, 0)), "NoXtal", "Xtal")</f>
        <v>NoXtal</v>
      </c>
      <c r="AP388" s="3" t="str">
        <f t="shared" si="201"/>
        <v>-</v>
      </c>
      <c r="AQ388" s="3" t="str">
        <f t="shared" si="202"/>
        <v>-</v>
      </c>
      <c r="AR388" s="3" t="str">
        <f t="shared" si="203"/>
        <v>-</v>
      </c>
      <c r="AS388" s="3" t="str">
        <f t="shared" si="204"/>
        <v>-</v>
      </c>
      <c r="AT388" s="3" t="str">
        <f t="shared" si="205"/>
        <v>-</v>
      </c>
      <c r="AU388" s="3" t="str">
        <f t="shared" si="206"/>
        <v>-</v>
      </c>
      <c r="AV388" s="3" t="str">
        <f t="shared" si="207"/>
        <v>-</v>
      </c>
      <c r="AW388" s="3" t="str">
        <f t="shared" si="208"/>
        <v>-</v>
      </c>
      <c r="AX388" s="3">
        <f t="shared" si="209"/>
        <v>44</v>
      </c>
      <c r="AY388" s="3">
        <f t="shared" si="210"/>
        <v>18</v>
      </c>
      <c r="AZ388" s="3">
        <f t="shared" si="211"/>
        <v>5</v>
      </c>
      <c r="BA388" s="3">
        <f>IF(ISERROR(LEN(VLOOKUP(A388,Seqs!A:E,2,FALSE))-AL388),"-",LEN(VLOOKUP(A388,Seqs!A:E,2,FALSE))-AL388)</f>
        <v>33</v>
      </c>
      <c r="BB388" s="16">
        <f t="shared" si="212"/>
        <v>32</v>
      </c>
      <c r="BC388" s="9" t="str">
        <f t="shared" si="213"/>
        <v>-</v>
      </c>
      <c r="BD388" s="3">
        <f t="shared" si="214"/>
        <v>32</v>
      </c>
      <c r="BE388" s="3">
        <f t="shared" si="215"/>
        <v>76</v>
      </c>
    </row>
    <row r="389" spans="1:58" s="3" customFormat="1" x14ac:dyDescent="0.2">
      <c r="A389" s="3" t="s">
        <v>456</v>
      </c>
      <c r="B389" s="3" t="str">
        <f>LOWER(VLOOKUP(A389,Xtal_Templ!A:B,2,FALSE))</f>
        <v>drd2_human</v>
      </c>
      <c r="C389" s="3">
        <f>VLOOKUP($A389,'SegEnds_NonXtal_BW#'!$A:$Z,3,FALSE)+D389-50</f>
        <v>6</v>
      </c>
      <c r="D389" s="3">
        <v>24</v>
      </c>
      <c r="E389" s="3">
        <f t="shared" ref="E389:E413" si="244">F389-1</f>
        <v>36</v>
      </c>
      <c r="F389" s="3">
        <f t="shared" ref="F389:F413" si="245">G389-2</f>
        <v>37</v>
      </c>
      <c r="G389" s="3">
        <v>39</v>
      </c>
      <c r="H389" s="3">
        <f t="shared" ref="H389:I413" si="246">G389+1</f>
        <v>40</v>
      </c>
      <c r="I389" s="3">
        <f t="shared" si="246"/>
        <v>41</v>
      </c>
      <c r="J389" s="3">
        <v>54</v>
      </c>
      <c r="K389" s="3">
        <f>VLOOKUP($A389,'SegEnds_NonXtal_BW#'!$A:$Z,8,FALSE)+VLOOKUP($A389,A:AL,10,FALSE)-50</f>
        <v>71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77</v>
      </c>
      <c r="P389" s="3">
        <v>106</v>
      </c>
      <c r="Q389" s="3">
        <f>VLOOKUP($A389,'SegEnds_NonXtal_BW#'!$A:$Z,12,FALSE)+VLOOKUP($A389,A:AL,16,FALSE)-50</f>
        <v>112</v>
      </c>
      <c r="R389" s="3">
        <f t="shared" ref="R389:R413" si="247">S389</f>
        <v>115</v>
      </c>
      <c r="S389" s="3">
        <v>115</v>
      </c>
      <c r="T389" s="100">
        <f t="shared" ref="T389:T413" si="248">S389+7</f>
        <v>122</v>
      </c>
      <c r="U389" s="9">
        <f>IF(ISERROR(VLOOKUP($A389,'SegEnds_NonXtal_BW#'!$A:$Z,15,FALSE)+VLOOKUP($A389,A:AL,22,FALSE)-50),"-",VLOOKUP($A389,'SegEnds_NonXtal_BW#'!$A:$Z,15,FALSE)+VLOOKUP($A389,A:AL,22,FALSE)-50)</f>
        <v>123</v>
      </c>
      <c r="V389" s="3">
        <v>135</v>
      </c>
      <c r="W389" s="3">
        <f>IF(ISERROR(VLOOKUP($A389,'SegEnds_NonXtal_BW#'!$A:$Z,16,FALSE)+VLOOKUP($A389,A:AL,22,FALSE)-50),"-",(VLOOKUP($A389,'SegEnds_NonXtal_BW#'!$A:$Z,16,FALSE)+VLOOKUP($A389,A:AL,22,FALSE)-50))</f>
        <v>147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167</v>
      </c>
      <c r="AB389" s="3">
        <v>185</v>
      </c>
      <c r="AC389" s="3">
        <f>IF(ISERROR((VLOOKUP($A389,'SegEnds_NonXtal_BW#'!$A:$Z,20,FALSE)+VLOOKUP($A389,A:AL,28,FALSE)-50)),"-",(VLOOKUP($A389,'SegEnds_NonXtal_BW#'!$A:$Z,20,FALSE)+VLOOKUP($A389,A:AL,28,FALSE)-50))</f>
        <v>207</v>
      </c>
      <c r="AD389" s="3">
        <f>IF(ISERROR(VLOOKUP($A389,'SegEnds_NonXtal_BW#'!$A:$Z,21,FALSE)+VLOOKUP($A389,A:AL,31,FALSE)-50),"-",(VLOOKUP($A389,'SegEnds_NonXtal_BW#'!$A:$Z,21,FALSE)+VLOOKUP($A389,A:AL,31,FALSE)-50))</f>
        <v>217</v>
      </c>
      <c r="AE389" s="3">
        <v>238</v>
      </c>
      <c r="AF389" s="3">
        <f>IF(ISERROR((VLOOKUP($A389,'SegEnds_NonXtal_BW#'!$A:$Z,22,FALSE)+VLOOKUP($A389,A:AL,31,FALSE)-50)),"-",(VLOOKUP($A389,'SegEnds_NonXtal_BW#'!$A:$Z,22,FALSE)+VLOOKUP($A389,A:AL,31,FALSE)-50))</f>
        <v>249</v>
      </c>
      <c r="AG389" s="3">
        <f>IF(ISERROR(VLOOKUP($A389,'SegEnds_NonXtal_BW#'!$A:$Z,23,FALSE)+VLOOKUP($A389,A:AL,34,FALSE)-50),"-",(VLOOKUP($A389,'SegEnds_NonXtal_BW#'!$A:$Z,23,FALSE)+VLOOKUP($A389,A:AL,34,FALSE)-50))</f>
        <v>255</v>
      </c>
      <c r="AH389" s="3">
        <v>274</v>
      </c>
      <c r="AI389" s="3">
        <f>IF(ISERROR((VLOOKUP($A389,'SegEnds_NonXtal_BW#'!$A:$Z,24,FALSE)+VLOOKUP($A389,A:AL,34,FALSE)-50)),"-",(VLOOKUP($A389,'SegEnds_NonXtal_BW#'!$A:$Z,24,FALSE)+VLOOKUP($A389,A:AL,34,FALSE)-50))</f>
        <v>280</v>
      </c>
      <c r="AJ389" s="3">
        <f>IF(ISERROR(VLOOKUP($A389,'SegEnds_NonXtal_BW#'!$A:$Z,25,FALSE)+VLOOKUP($A389,A:AL,37,FALSE)-50),"-",(VLOOKUP($A389,'SegEnds_NonXtal_BW#'!$A:$Z,25,FALSE)+VLOOKUP($A389,A:AL,37,FALSE)-50))</f>
        <v>281</v>
      </c>
      <c r="AK389" s="3">
        <v>284</v>
      </c>
      <c r="AL389" s="3">
        <f>IF(ISERROR((VLOOKUP($A389,'SegEnds_NonXtal_BW#'!$A:$Z,26,FALSE)+VLOOKUP($A389,A:AL,37,FALSE)-50)),"-",(VLOOKUP($A389,'SegEnds_NonXtal_BW#'!$A:$Z,26,FALSE)+VLOOKUP($A389,A:AL,37,FALSE)-50))</f>
        <v>294</v>
      </c>
      <c r="AM389" s="28" t="str">
        <f>VLOOKUP(A389,Classification!A:B,2,FALSE)</f>
        <v>T</v>
      </c>
      <c r="AN389" s="28" t="b">
        <f t="shared" si="216"/>
        <v>1</v>
      </c>
      <c r="AO389" s="3" t="str">
        <f>IF(ISERROR(MATCH(A389,'SegEnds_Xtal_Prot#'!B:B, 0)), "NoXtal", "Xtal")</f>
        <v>NoXtal</v>
      </c>
      <c r="AP389" s="3">
        <f t="shared" si="201"/>
        <v>1</v>
      </c>
      <c r="AQ389" s="3">
        <f t="shared" si="202"/>
        <v>1</v>
      </c>
      <c r="AR389" s="3" t="str">
        <f t="shared" si="203"/>
        <v>-</v>
      </c>
      <c r="AS389" s="3" t="str">
        <f t="shared" si="204"/>
        <v>-</v>
      </c>
      <c r="AT389" s="3">
        <f t="shared" si="205"/>
        <v>3</v>
      </c>
      <c r="AU389" s="3">
        <f t="shared" si="206"/>
        <v>1</v>
      </c>
      <c r="AV389" s="3" t="str">
        <f t="shared" si="207"/>
        <v>-</v>
      </c>
      <c r="AW389" s="3" t="str">
        <f t="shared" si="208"/>
        <v>-</v>
      </c>
      <c r="AX389" s="3">
        <f t="shared" si="209"/>
        <v>10</v>
      </c>
      <c r="AY389" s="3">
        <f t="shared" si="210"/>
        <v>6</v>
      </c>
      <c r="AZ389" s="3">
        <f t="shared" si="211"/>
        <v>1</v>
      </c>
      <c r="BA389" s="3">
        <f>IF(ISERROR(LEN(VLOOKUP(A389,Seqs!A:E,2,FALSE))-AL389),"-",LEN(VLOOKUP(A389,Seqs!A:E,2,FALSE))-AL389)</f>
        <v>13</v>
      </c>
      <c r="BB389" s="16">
        <f t="shared" si="212"/>
        <v>30</v>
      </c>
      <c r="BC389" s="9">
        <f t="shared" si="213"/>
        <v>20</v>
      </c>
      <c r="BD389" s="3">
        <f t="shared" si="214"/>
        <v>30</v>
      </c>
      <c r="BE389" s="3">
        <f t="shared" si="215"/>
        <v>53</v>
      </c>
      <c r="BF389" s="3">
        <f t="shared" ref="BF389:BF413" si="249">AH389-AE389</f>
        <v>36</v>
      </c>
    </row>
    <row r="390" spans="1:58" s="3" customFormat="1" x14ac:dyDescent="0.2">
      <c r="A390" s="3" t="s">
        <v>457</v>
      </c>
      <c r="B390" s="3" t="str">
        <f>LOWER(VLOOKUP(A390,Xtal_Templ!A:B,2,FALSE))</f>
        <v>5ht2a_human</v>
      </c>
      <c r="C390" s="3">
        <f>VLOOKUP($A390,'SegEnds_NonXtal_BW#'!$A:$Z,3,FALSE)+D390-50</f>
        <v>6</v>
      </c>
      <c r="D390" s="3">
        <v>24</v>
      </c>
      <c r="E390" s="3">
        <f t="shared" si="244"/>
        <v>36</v>
      </c>
      <c r="F390" s="3">
        <f t="shared" si="245"/>
        <v>37</v>
      </c>
      <c r="G390" s="3">
        <v>39</v>
      </c>
      <c r="H390" s="3">
        <f t="shared" si="246"/>
        <v>40</v>
      </c>
      <c r="I390" s="3">
        <f t="shared" si="246"/>
        <v>41</v>
      </c>
      <c r="J390" s="3">
        <v>55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78</v>
      </c>
      <c r="P390" s="3">
        <v>107</v>
      </c>
      <c r="Q390" s="3">
        <f>VLOOKUP($A390,'SegEnds_NonXtal_BW#'!$A:$Z,12,FALSE)+VLOOKUP($A390,A:AL,16,FALSE)-50</f>
        <v>113</v>
      </c>
      <c r="R390" s="3">
        <f t="shared" si="247"/>
        <v>116</v>
      </c>
      <c r="S390" s="3">
        <v>116</v>
      </c>
      <c r="T390" s="100">
        <f t="shared" si="248"/>
        <v>123</v>
      </c>
      <c r="U390" s="9">
        <f>IF(ISERROR(VLOOKUP($A390,'SegEnds_NonXtal_BW#'!$A:$Z,15,FALSE)+VLOOKUP($A390,A:AL,22,FALSE)-50),"-",VLOOKUP($A390,'SegEnds_NonXtal_BW#'!$A:$Z,15,FALSE)+VLOOKUP($A390,A:AL,22,FALSE)-50)</f>
        <v>124</v>
      </c>
      <c r="V390" s="3">
        <v>136</v>
      </c>
      <c r="W390" s="3">
        <f>IF(ISERROR(VLOOKUP($A390,'SegEnds_NonXtal_BW#'!$A:$Z,16,FALSE)+VLOOKUP($A390,A:AL,22,FALSE)-50),"-",(VLOOKUP($A390,'SegEnds_NonXtal_BW#'!$A:$Z,16,FALSE)+VLOOKUP($A390,A:AL,22,FALSE)-50))</f>
        <v>153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172</v>
      </c>
      <c r="AB390" s="3">
        <v>190</v>
      </c>
      <c r="AC390" s="3">
        <f>IF(ISERROR((VLOOKUP($A390,'SegEnds_NonXtal_BW#'!$A:$Z,20,FALSE)+VLOOKUP($A390,A:AL,28,FALSE)-50)),"-",(VLOOKUP($A390,'SegEnds_NonXtal_BW#'!$A:$Z,20,FALSE)+VLOOKUP($A390,A:AL,28,FALSE)-50))</f>
        <v>212</v>
      </c>
      <c r="AD390" s="3">
        <f>IF(ISERROR(VLOOKUP($A390,'SegEnds_NonXtal_BW#'!$A:$Z,21,FALSE)+VLOOKUP($A390,A:AL,31,FALSE)-50),"-",(VLOOKUP($A390,'SegEnds_NonXtal_BW#'!$A:$Z,21,FALSE)+VLOOKUP($A390,A:AL,31,FALSE)-50))</f>
        <v>222</v>
      </c>
      <c r="AE390" s="3">
        <v>243</v>
      </c>
      <c r="AF390" s="3">
        <f>IF(ISERROR((VLOOKUP($A390,'SegEnds_NonXtal_BW#'!$A:$Z,22,FALSE)+VLOOKUP($A390,A:AL,31,FALSE)-50)),"-",(VLOOKUP($A390,'SegEnds_NonXtal_BW#'!$A:$Z,22,FALSE)+VLOOKUP($A390,A:AL,31,FALSE)-50))</f>
        <v>254</v>
      </c>
      <c r="AG390" s="3">
        <f>IF(ISERROR(VLOOKUP($A390,'SegEnds_NonXtal_BW#'!$A:$Z,23,FALSE)+VLOOKUP($A390,A:AL,34,FALSE)-50),"-",(VLOOKUP($A390,'SegEnds_NonXtal_BW#'!$A:$Z,23,FALSE)+VLOOKUP($A390,A:AL,34,FALSE)-50))</f>
        <v>259</v>
      </c>
      <c r="AH390" s="3">
        <v>278</v>
      </c>
      <c r="AI390" s="3">
        <f>IF(ISERROR((VLOOKUP($A390,'SegEnds_NonXtal_BW#'!$A:$Z,24,FALSE)+VLOOKUP($A390,A:AL,34,FALSE)-50)),"-",(VLOOKUP($A390,'SegEnds_NonXtal_BW#'!$A:$Z,24,FALSE)+VLOOKUP($A390,A:AL,34,FALSE)-50))</f>
        <v>284</v>
      </c>
      <c r="AJ390" s="3">
        <f>IF(ISERROR(VLOOKUP($A390,'SegEnds_NonXtal_BW#'!$A:$Z,25,FALSE)+VLOOKUP($A390,A:AL,37,FALSE)-50),"-",(VLOOKUP($A390,'SegEnds_NonXtal_BW#'!$A:$Z,25,FALSE)+VLOOKUP($A390,A:AL,37,FALSE)-50))</f>
        <v>285</v>
      </c>
      <c r="AK390" s="3">
        <v>288</v>
      </c>
      <c r="AL390" s="3">
        <f>IF(ISERROR((VLOOKUP($A390,'SegEnds_NonXtal_BW#'!$A:$Z,26,FALSE)+VLOOKUP($A390,A:AL,37,FALSE)-50)),"-",(VLOOKUP($A390,'SegEnds_NonXtal_BW#'!$A:$Z,26,FALSE)+VLOOKUP($A390,A:AL,37,FALSE)-50))</f>
        <v>298</v>
      </c>
      <c r="AM390" s="28" t="str">
        <f>VLOOKUP(A390,Classification!A:B,2,FALSE)</f>
        <v>T</v>
      </c>
      <c r="AN390" s="28" t="b">
        <f t="shared" si="216"/>
        <v>1</v>
      </c>
      <c r="AO390" s="3" t="str">
        <f>IF(ISERROR(MATCH(A390,'SegEnds_Xtal_Prot#'!B:B, 0)), "NoXtal", "Xtal")</f>
        <v>NoXtal</v>
      </c>
      <c r="AP390" s="3">
        <f t="shared" si="201"/>
        <v>1</v>
      </c>
      <c r="AQ390" s="3">
        <f t="shared" si="202"/>
        <v>1</v>
      </c>
      <c r="AR390" s="3" t="str">
        <f t="shared" si="203"/>
        <v>-</v>
      </c>
      <c r="AS390" s="3" t="str">
        <f t="shared" si="204"/>
        <v>-</v>
      </c>
      <c r="AT390" s="3">
        <f t="shared" si="205"/>
        <v>3</v>
      </c>
      <c r="AU390" s="3">
        <f t="shared" si="206"/>
        <v>1</v>
      </c>
      <c r="AV390" s="3" t="str">
        <f t="shared" si="207"/>
        <v>-</v>
      </c>
      <c r="AW390" s="3" t="str">
        <f t="shared" si="208"/>
        <v>-</v>
      </c>
      <c r="AX390" s="3">
        <f t="shared" si="209"/>
        <v>10</v>
      </c>
      <c r="AY390" s="3">
        <f t="shared" si="210"/>
        <v>5</v>
      </c>
      <c r="AZ390" s="3">
        <f t="shared" si="211"/>
        <v>1</v>
      </c>
      <c r="BA390" s="3">
        <f>IF(ISERROR(LEN(VLOOKUP(A390,Seqs!A:E,2,FALSE))-AL390),"-",LEN(VLOOKUP(A390,Seqs!A:E,2,FALSE))-AL390)</f>
        <v>5</v>
      </c>
      <c r="BB390" s="16">
        <f t="shared" si="212"/>
        <v>31</v>
      </c>
      <c r="BC390" s="9">
        <f t="shared" si="213"/>
        <v>20</v>
      </c>
      <c r="BD390" s="3">
        <f t="shared" si="214"/>
        <v>31</v>
      </c>
      <c r="BE390" s="3">
        <f t="shared" si="215"/>
        <v>53</v>
      </c>
      <c r="BF390" s="3">
        <f t="shared" si="249"/>
        <v>35</v>
      </c>
    </row>
    <row r="391" spans="1:58" s="3" customFormat="1" x14ac:dyDescent="0.2">
      <c r="A391" s="3" t="s">
        <v>458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44"/>
        <v>36</v>
      </c>
      <c r="F391" s="3">
        <f t="shared" si="245"/>
        <v>37</v>
      </c>
      <c r="G391" s="3">
        <v>39</v>
      </c>
      <c r="H391" s="3">
        <f t="shared" si="246"/>
        <v>40</v>
      </c>
      <c r="I391" s="3">
        <f t="shared" si="246"/>
        <v>41</v>
      </c>
      <c r="J391" s="3">
        <v>55</v>
      </c>
      <c r="K391" s="3">
        <f>VLOOKUP($A391,'SegEnds_NonXtal_BW#'!$A:$Z,8,FALSE)+VLOOKUP($A391,A:AL,10,FALSE)-50</f>
        <v>72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78</v>
      </c>
      <c r="P391" s="3">
        <v>107</v>
      </c>
      <c r="Q391" s="3">
        <f>VLOOKUP($A391,'SegEnds_NonXtal_BW#'!$A:$Z,12,FALSE)+VLOOKUP($A391,A:AL,16,FALSE)-50</f>
        <v>113</v>
      </c>
      <c r="R391" s="3">
        <f t="shared" si="247"/>
        <v>116</v>
      </c>
      <c r="S391" s="3">
        <v>116</v>
      </c>
      <c r="T391" s="100">
        <f t="shared" si="248"/>
        <v>123</v>
      </c>
      <c r="U391" s="9">
        <f>IF(ISERROR(VLOOKUP($A391,'SegEnds_NonXtal_BW#'!$A:$Z,15,FALSE)+VLOOKUP($A391,A:AL,22,FALSE)-50),"-",VLOOKUP($A391,'SegEnds_NonXtal_BW#'!$A:$Z,15,FALSE)+VLOOKUP($A391,A:AL,22,FALSE)-50)</f>
        <v>124</v>
      </c>
      <c r="V391" s="3">
        <v>136</v>
      </c>
      <c r="W391" s="3">
        <f>IF(ISERROR(VLOOKUP($A391,'SegEnds_NonXtal_BW#'!$A:$Z,16,FALSE)+VLOOKUP($A391,A:AL,22,FALSE)-50),"-",(VLOOKUP($A391,'SegEnds_NonXtal_BW#'!$A:$Z,16,FALSE)+VLOOKUP($A391,A:AL,22,FALSE)-50))</f>
        <v>153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172</v>
      </c>
      <c r="AB391" s="3">
        <v>190</v>
      </c>
      <c r="AC391" s="3">
        <f>IF(ISERROR((VLOOKUP($A391,'SegEnds_NonXtal_BW#'!$A:$Z,20,FALSE)+VLOOKUP($A391,A:AL,28,FALSE)-50)),"-",(VLOOKUP($A391,'SegEnds_NonXtal_BW#'!$A:$Z,20,FALSE)+VLOOKUP($A391,A:AL,28,FALSE)-50))</f>
        <v>212</v>
      </c>
      <c r="AD391" s="3">
        <f>IF(ISERROR(VLOOKUP($A391,'SegEnds_NonXtal_BW#'!$A:$Z,21,FALSE)+VLOOKUP($A391,A:AL,31,FALSE)-50),"-",(VLOOKUP($A391,'SegEnds_NonXtal_BW#'!$A:$Z,21,FALSE)+VLOOKUP($A391,A:AL,31,FALSE)-50))</f>
        <v>221</v>
      </c>
      <c r="AE391" s="3">
        <v>242</v>
      </c>
      <c r="AF391" s="3">
        <f>IF(ISERROR((VLOOKUP($A391,'SegEnds_NonXtal_BW#'!$A:$Z,22,FALSE)+VLOOKUP($A391,A:AL,31,FALSE)-50)),"-",(VLOOKUP($A391,'SegEnds_NonXtal_BW#'!$A:$Z,22,FALSE)+VLOOKUP($A391,A:AL,31,FALSE)-50))</f>
        <v>253</v>
      </c>
      <c r="AG391" s="3">
        <f>IF(ISERROR(VLOOKUP($A391,'SegEnds_NonXtal_BW#'!$A:$Z,23,FALSE)+VLOOKUP($A391,A:AL,34,FALSE)-50),"-",(VLOOKUP($A391,'SegEnds_NonXtal_BW#'!$A:$Z,23,FALSE)+VLOOKUP($A391,A:AL,34,FALSE)-50))</f>
        <v>258</v>
      </c>
      <c r="AH391" s="3">
        <v>277</v>
      </c>
      <c r="AI391" s="3">
        <f>IF(ISERROR((VLOOKUP($A391,'SegEnds_NonXtal_BW#'!$A:$Z,24,FALSE)+VLOOKUP($A391,A:AL,34,FALSE)-50)),"-",(VLOOKUP($A391,'SegEnds_NonXtal_BW#'!$A:$Z,24,FALSE)+VLOOKUP($A391,A:AL,34,FALSE)-50))</f>
        <v>283</v>
      </c>
      <c r="AJ391" s="3">
        <f>IF(ISERROR(VLOOKUP($A391,'SegEnds_NonXtal_BW#'!$A:$Z,25,FALSE)+VLOOKUP($A391,A:AL,37,FALSE)-50),"-",(VLOOKUP($A391,'SegEnds_NonXtal_BW#'!$A:$Z,25,FALSE)+VLOOKUP($A391,A:AL,37,FALSE)-50))</f>
        <v>284</v>
      </c>
      <c r="AK391" s="3">
        <v>287</v>
      </c>
      <c r="AL391" s="3">
        <f>IF(ISERROR((VLOOKUP($A391,'SegEnds_NonXtal_BW#'!$A:$Z,26,FALSE)+VLOOKUP($A391,A:AL,37,FALSE)-50)),"-",(VLOOKUP($A391,'SegEnds_NonXtal_BW#'!$A:$Z,26,FALSE)+VLOOKUP($A391,A:AL,37,FALSE)-50))</f>
        <v>297</v>
      </c>
      <c r="AM391" s="28" t="str">
        <f>VLOOKUP(A391,Classification!A:B,2,FALSE)</f>
        <v>T</v>
      </c>
      <c r="AN391" s="28" t="b">
        <f t="shared" si="216"/>
        <v>1</v>
      </c>
      <c r="AO391" s="3" t="str">
        <f>IF(ISERROR(MATCH(A391,'SegEnds_Xtal_Prot#'!B:B, 0)), "NoXtal", "Xtal")</f>
        <v>NoXtal</v>
      </c>
      <c r="AP391" s="3">
        <f t="shared" si="201"/>
        <v>1</v>
      </c>
      <c r="AQ391" s="3">
        <f t="shared" si="202"/>
        <v>1</v>
      </c>
      <c r="AR391" s="3" t="str">
        <f t="shared" si="203"/>
        <v>-</v>
      </c>
      <c r="AS391" s="3" t="str">
        <f t="shared" si="204"/>
        <v>-</v>
      </c>
      <c r="AT391" s="3">
        <f t="shared" si="205"/>
        <v>3</v>
      </c>
      <c r="AU391" s="3">
        <f t="shared" si="206"/>
        <v>1</v>
      </c>
      <c r="AV391" s="3" t="str">
        <f t="shared" si="207"/>
        <v>-</v>
      </c>
      <c r="AW391" s="3" t="str">
        <f t="shared" si="208"/>
        <v>-</v>
      </c>
      <c r="AX391" s="3">
        <f t="shared" si="209"/>
        <v>9</v>
      </c>
      <c r="AY391" s="3">
        <f t="shared" si="210"/>
        <v>5</v>
      </c>
      <c r="AZ391" s="3">
        <f t="shared" si="211"/>
        <v>1</v>
      </c>
      <c r="BA391" s="3">
        <f>IF(ISERROR(LEN(VLOOKUP(A391,Seqs!A:E,2,FALSE))-AL391),"-",LEN(VLOOKUP(A391,Seqs!A:E,2,FALSE))-AL391)</f>
        <v>20</v>
      </c>
      <c r="BB391" s="16">
        <f t="shared" si="212"/>
        <v>31</v>
      </c>
      <c r="BC391" s="9">
        <f t="shared" si="213"/>
        <v>20</v>
      </c>
      <c r="BD391" s="3">
        <f t="shared" si="214"/>
        <v>31</v>
      </c>
      <c r="BE391" s="3">
        <f t="shared" si="215"/>
        <v>52</v>
      </c>
      <c r="BF391" s="3">
        <f t="shared" si="249"/>
        <v>35</v>
      </c>
    </row>
    <row r="392" spans="1:58" s="3" customFormat="1" x14ac:dyDescent="0.2">
      <c r="A392" s="3" t="s">
        <v>459</v>
      </c>
      <c r="B392" s="3" t="str">
        <f>LOWER(VLOOKUP(A392,Xtal_Templ!A:B,2,FALSE))</f>
        <v>pd2r2_human</v>
      </c>
      <c r="C392" s="3">
        <f>VLOOKUP($A392,'SegEnds_NonXtal_BW#'!$A:$Z,3,FALSE)+D392-50</f>
        <v>7</v>
      </c>
      <c r="D392" s="3">
        <v>25</v>
      </c>
      <c r="E392" s="3">
        <f t="shared" si="244"/>
        <v>37</v>
      </c>
      <c r="F392" s="3">
        <f t="shared" si="245"/>
        <v>38</v>
      </c>
      <c r="G392" s="3">
        <v>40</v>
      </c>
      <c r="H392" s="3">
        <f t="shared" si="246"/>
        <v>41</v>
      </c>
      <c r="I392" s="3">
        <f t="shared" si="246"/>
        <v>42</v>
      </c>
      <c r="J392" s="3">
        <v>56</v>
      </c>
      <c r="K392" s="3">
        <f>VLOOKUP($A392,'SegEnds_NonXtal_BW#'!$A:$Z,8,FALSE)+VLOOKUP($A392,A:AL,10,FALSE)-50</f>
        <v>72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103</v>
      </c>
      <c r="Q392" s="3">
        <f>VLOOKUP($A392,'SegEnds_NonXtal_BW#'!$A:$Z,12,FALSE)+VLOOKUP($A392,A:AL,16,FALSE)-50</f>
        <v>109</v>
      </c>
      <c r="R392" s="3">
        <f t="shared" si="247"/>
        <v>112</v>
      </c>
      <c r="S392" s="3">
        <v>112</v>
      </c>
      <c r="T392" s="100">
        <f t="shared" si="248"/>
        <v>119</v>
      </c>
      <c r="U392" s="9">
        <f>IF(ISERROR(VLOOKUP($A392,'SegEnds_NonXtal_BW#'!$A:$Z,15,FALSE)+VLOOKUP($A392,A:AL,22,FALSE)-50),"-",VLOOKUP($A392,'SegEnds_NonXtal_BW#'!$A:$Z,15,FALSE)+VLOOKUP($A392,A:AL,22,FALSE)-50)</f>
        <v>120</v>
      </c>
      <c r="V392" s="3">
        <v>132</v>
      </c>
      <c r="W392" s="3">
        <f>IF(ISERROR(VLOOKUP($A392,'SegEnds_NonXtal_BW#'!$A:$Z,16,FALSE)+VLOOKUP($A392,A:AL,22,FALSE)-50),"-",(VLOOKUP($A392,'SegEnds_NonXtal_BW#'!$A:$Z,16,FALSE)+VLOOKUP($A392,A:AL,22,FALSE)-50))</f>
        <v>146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170</v>
      </c>
      <c r="AB392" s="3">
        <v>188</v>
      </c>
      <c r="AC392" s="3">
        <f>IF(ISERROR((VLOOKUP($A392,'SegEnds_NonXtal_BW#'!$A:$Z,20,FALSE)+VLOOKUP($A392,A:AL,28,FALSE)-50)),"-",(VLOOKUP($A392,'SegEnds_NonXtal_BW#'!$A:$Z,20,FALSE)+VLOOKUP($A392,A:AL,28,FALSE)-50))</f>
        <v>210</v>
      </c>
      <c r="AD392" s="3">
        <f>IF(ISERROR(VLOOKUP($A392,'SegEnds_NonXtal_BW#'!$A:$Z,21,FALSE)+VLOOKUP($A392,A:AL,31,FALSE)-50),"-",(VLOOKUP($A392,'SegEnds_NonXtal_BW#'!$A:$Z,21,FALSE)+VLOOKUP($A392,A:AL,31,FALSE)-50))</f>
        <v>217</v>
      </c>
      <c r="AE392" s="3">
        <v>238</v>
      </c>
      <c r="AF392" s="3">
        <f>IF(ISERROR((VLOOKUP($A392,'SegEnds_NonXtal_BW#'!$A:$Z,22,FALSE)+VLOOKUP($A392,A:AL,31,FALSE)-50)),"-",(VLOOKUP($A392,'SegEnds_NonXtal_BW#'!$A:$Z,22,FALSE)+VLOOKUP($A392,A:AL,31,FALSE)-50))</f>
        <v>249</v>
      </c>
      <c r="AG392" s="3">
        <f>IF(ISERROR(VLOOKUP($A392,'SegEnds_NonXtal_BW#'!$A:$Z,23,FALSE)+VLOOKUP($A392,A:AL,34,FALSE)-50),"-",(VLOOKUP($A392,'SegEnds_NonXtal_BW#'!$A:$Z,23,FALSE)+VLOOKUP($A392,A:AL,34,FALSE)-50))</f>
        <v>254</v>
      </c>
      <c r="AH392" s="3">
        <v>273</v>
      </c>
      <c r="AI392" s="3">
        <f>IF(ISERROR((VLOOKUP($A392,'SegEnds_NonXtal_BW#'!$A:$Z,24,FALSE)+VLOOKUP($A392,A:AL,34,FALSE)-50)),"-",(VLOOKUP($A392,'SegEnds_NonXtal_BW#'!$A:$Z,24,FALSE)+VLOOKUP($A392,A:AL,34,FALSE)-50))</f>
        <v>279</v>
      </c>
      <c r="AJ392" s="3">
        <f>IF(ISERROR(VLOOKUP($A392,'SegEnds_NonXtal_BW#'!$A:$Z,25,FALSE)+VLOOKUP($A392,A:AL,37,FALSE)-50),"-",(VLOOKUP($A392,'SegEnds_NonXtal_BW#'!$A:$Z,25,FALSE)+VLOOKUP($A392,A:AL,37,FALSE)-50))</f>
        <v>280</v>
      </c>
      <c r="AK392" s="3">
        <v>283</v>
      </c>
      <c r="AL392" s="3">
        <v>291</v>
      </c>
      <c r="AM392" s="28" t="str">
        <f>VLOOKUP(A392,Classification!A:B,2,FALSE)</f>
        <v>T</v>
      </c>
      <c r="AN392" s="28" t="b">
        <f t="shared" si="216"/>
        <v>1</v>
      </c>
      <c r="AO392" s="3" t="str">
        <f>IF(ISERROR(MATCH(A392,'SegEnds_Xtal_Prot#'!B:B, 0)), "NoXtal", "Xtal")</f>
        <v>NoXtal</v>
      </c>
      <c r="AP392" s="3">
        <f t="shared" ref="AP392:AP413" si="250">IF(ISERROR(F392-E392),"-",F392-E392)</f>
        <v>1</v>
      </c>
      <c r="AQ392" s="3">
        <f t="shared" ref="AQ392:AQ413" si="251">IF(ISERROR(I392-H392),"-",I392-H392)</f>
        <v>1</v>
      </c>
      <c r="AR392" s="3" t="str">
        <f t="shared" ref="AR392:AR413" si="252">IF(ISERROR(L392-K392),"-",L392-K392)</f>
        <v>-</v>
      </c>
      <c r="AS392" s="3" t="str">
        <f t="shared" ref="AS392:AS413" si="253">IF(ISERROR(O392-N392),"-",O392-N392)</f>
        <v>-</v>
      </c>
      <c r="AT392" s="3">
        <f t="shared" ref="AT392:AT413" si="254">IF(ISERROR(R392-Q392),"-",R392-Q392)</f>
        <v>3</v>
      </c>
      <c r="AU392" s="3">
        <f t="shared" ref="AU392:AU413" si="255">IF(ISERROR(U392-T392),"-",U392-T392)</f>
        <v>1</v>
      </c>
      <c r="AV392" s="3" t="str">
        <f t="shared" ref="AV392:AV413" si="256">IF(ISERROR(X392-W392),"-",X392-W392)</f>
        <v>-</v>
      </c>
      <c r="AW392" s="3" t="str">
        <f t="shared" ref="AW392:AW413" si="257">IF(ISERROR(AA392-Z392),"-",AA392-Z392)</f>
        <v>-</v>
      </c>
      <c r="AX392" s="3">
        <f t="shared" ref="AX392:AX413" si="258">IF(ISERROR(AD392-AC392),"-",AD392-AC392)</f>
        <v>7</v>
      </c>
      <c r="AY392" s="3">
        <f t="shared" ref="AY392:AY413" si="259">IF(ISERROR(AG392-AF392),"-",AG392-AF392)</f>
        <v>5</v>
      </c>
      <c r="AZ392" s="3">
        <f t="shared" ref="AZ392:AZ413" si="260">IF(ISERROR(AJ392-AI392),"-",AJ392-AI392)</f>
        <v>1</v>
      </c>
      <c r="BA392" s="3">
        <f>IF(ISERROR(LEN(VLOOKUP(A392,Seqs!A:E,2,FALSE))-AL392),"-",LEN(VLOOKUP(A392,Seqs!A:E,2,FALSE))-AL392)</f>
        <v>0</v>
      </c>
      <c r="BB392" s="16">
        <f t="shared" ref="BB392:BB413" si="261">J392-D392</f>
        <v>31</v>
      </c>
      <c r="BC392" s="9">
        <f t="shared" ref="BC392:BC413" si="262">IF(ISERROR(V392-S392),"-",V392-S392)</f>
        <v>20</v>
      </c>
      <c r="BD392" s="3">
        <f t="shared" ref="BD392:BD413" si="263">J392-D392</f>
        <v>31</v>
      </c>
      <c r="BE392" s="3">
        <f t="shared" ref="BE392:BE413" si="264">AE392-AB392</f>
        <v>50</v>
      </c>
      <c r="BF392" s="3">
        <f t="shared" si="249"/>
        <v>35</v>
      </c>
    </row>
    <row r="393" spans="1:58" s="3" customFormat="1" x14ac:dyDescent="0.2">
      <c r="A393" s="3" t="s">
        <v>460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44"/>
        <v>36</v>
      </c>
      <c r="F393" s="3">
        <f t="shared" si="245"/>
        <v>37</v>
      </c>
      <c r="G393" s="3">
        <v>39</v>
      </c>
      <c r="H393" s="3">
        <f t="shared" si="246"/>
        <v>40</v>
      </c>
      <c r="I393" s="3">
        <f t="shared" si="246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47"/>
        <v>115</v>
      </c>
      <c r="S393" s="3">
        <v>115</v>
      </c>
      <c r="T393" s="100">
        <f t="shared" si="248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ref="AN393:AN413" si="265">AND(IF(Y393="-",IF(AA393-W393&gt;3,TRUE,FALSE),TRUE),IF(M393="-",IF(O393-K393&gt;3,TRUE,FALSE),TRUE),IF(AG393-AF393&gt;1,TRUE,FALSE),C393&lt;E393,OR(E393&lt;F393,F393="-"),OR(F393&lt;H393,F393="-"),OR(H393&lt;I393,H393="-"),I393&lt;K393,OR(K393&lt;L393,L393="-"),OR(L393&lt;N393,L393="-"),OR(N393&lt;O393,N393="-"),O393&lt;Q393,OR(Q393&lt;R393,R393="-"),OR(R393&lt;T393,R393="-"),OR(T393&lt;U393,T393="-"),U393&lt;W393,OR(W393&lt;X393,X393="-"),OR(X393&lt;Z393,X393="-"),OR(Z393&lt;AA393,Z393="-"),AA393&lt;AC393,AC393&lt;AD393,AD393&lt;AF393,AF393&lt;AG393,AG393&lt;AI393,OR(AI393&lt;AJ393,AJ393="-"),OR(AJ393&lt;AL393,AJ393="-"))</f>
        <v>1</v>
      </c>
      <c r="AO393" s="3" t="str">
        <f>IF(ISERROR(MATCH(A393,'SegEnds_Xtal_Prot#'!B:B, 0)), "NoXtal", "Xtal")</f>
        <v>NoXtal</v>
      </c>
      <c r="AP393" s="3">
        <f t="shared" si="250"/>
        <v>1</v>
      </c>
      <c r="AQ393" s="3">
        <f t="shared" si="251"/>
        <v>1</v>
      </c>
      <c r="AR393" s="3" t="str">
        <f t="shared" si="252"/>
        <v>-</v>
      </c>
      <c r="AS393" s="3" t="str">
        <f t="shared" si="253"/>
        <v>-</v>
      </c>
      <c r="AT393" s="3">
        <f t="shared" si="254"/>
        <v>3</v>
      </c>
      <c r="AU393" s="3">
        <f t="shared" si="255"/>
        <v>1</v>
      </c>
      <c r="AV393" s="3" t="str">
        <f t="shared" si="256"/>
        <v>-</v>
      </c>
      <c r="AW393" s="3" t="str">
        <f t="shared" si="257"/>
        <v>-</v>
      </c>
      <c r="AX393" s="3">
        <f t="shared" si="258"/>
        <v>10</v>
      </c>
      <c r="AY393" s="3">
        <f t="shared" si="259"/>
        <v>6</v>
      </c>
      <c r="AZ393" s="3">
        <f t="shared" si="260"/>
        <v>1</v>
      </c>
      <c r="BA393" s="3">
        <f>IF(ISERROR(LEN(VLOOKUP(A393,Seqs!A:E,2,FALSE))-AL393),"-",LEN(VLOOKUP(A393,Seqs!A:E,2,FALSE))-AL393)</f>
        <v>3</v>
      </c>
      <c r="BB393" s="16">
        <f t="shared" si="261"/>
        <v>31</v>
      </c>
      <c r="BC393" s="9">
        <f t="shared" si="262"/>
        <v>20</v>
      </c>
      <c r="BD393" s="3">
        <f t="shared" si="263"/>
        <v>31</v>
      </c>
      <c r="BE393" s="3">
        <f t="shared" si="264"/>
        <v>53</v>
      </c>
      <c r="BF393" s="3">
        <f t="shared" si="249"/>
        <v>36</v>
      </c>
    </row>
    <row r="394" spans="1:58" s="3" customFormat="1" x14ac:dyDescent="0.2">
      <c r="A394" s="3" t="s">
        <v>461</v>
      </c>
      <c r="B394" s="3" t="str">
        <f>LOWER(VLOOKUP(A394,Xtal_Templ!A:B,2,FALSE))</f>
        <v>5ht2c_human</v>
      </c>
      <c r="C394" s="3">
        <f>VLOOKUP($A394,'SegEnds_NonXtal_BW#'!$A:$Z,3,FALSE)+D394-50</f>
        <v>6</v>
      </c>
      <c r="D394" s="3">
        <v>24</v>
      </c>
      <c r="E394" s="3">
        <f t="shared" si="244"/>
        <v>36</v>
      </c>
      <c r="F394" s="3">
        <f t="shared" si="245"/>
        <v>37</v>
      </c>
      <c r="G394" s="3">
        <v>39</v>
      </c>
      <c r="H394" s="3">
        <f t="shared" si="246"/>
        <v>40</v>
      </c>
      <c r="I394" s="3">
        <f t="shared" si="246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47"/>
        <v>115</v>
      </c>
      <c r="S394" s="3">
        <v>115</v>
      </c>
      <c r="T394" s="100">
        <f t="shared" si="248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152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65"/>
        <v>1</v>
      </c>
      <c r="AO394" s="3" t="str">
        <f>IF(ISERROR(MATCH(A394,'SegEnds_Xtal_Prot#'!B:B, 0)), "NoXtal", "Xtal")</f>
        <v>NoXtal</v>
      </c>
      <c r="AP394" s="3">
        <f t="shared" si="250"/>
        <v>1</v>
      </c>
      <c r="AQ394" s="3">
        <f t="shared" si="251"/>
        <v>1</v>
      </c>
      <c r="AR394" s="3" t="str">
        <f t="shared" si="252"/>
        <v>-</v>
      </c>
      <c r="AS394" s="3" t="str">
        <f t="shared" si="253"/>
        <v>-</v>
      </c>
      <c r="AT394" s="3">
        <f t="shared" si="254"/>
        <v>3</v>
      </c>
      <c r="AU394" s="3">
        <f t="shared" si="255"/>
        <v>1</v>
      </c>
      <c r="AV394" s="3" t="str">
        <f t="shared" si="256"/>
        <v>-</v>
      </c>
      <c r="AW394" s="3" t="str">
        <f t="shared" si="257"/>
        <v>-</v>
      </c>
      <c r="AX394" s="3">
        <f t="shared" si="258"/>
        <v>10</v>
      </c>
      <c r="AY394" s="3">
        <f t="shared" si="259"/>
        <v>6</v>
      </c>
      <c r="AZ394" s="3">
        <f t="shared" si="260"/>
        <v>1</v>
      </c>
      <c r="BA394" s="3">
        <f>IF(ISERROR(LEN(VLOOKUP(A394,Seqs!A:E,2,FALSE))-AL394),"-",LEN(VLOOKUP(A394,Seqs!A:E,2,FALSE))-AL394)</f>
        <v>13</v>
      </c>
      <c r="BB394" s="16">
        <f t="shared" si="261"/>
        <v>31</v>
      </c>
      <c r="BC394" s="9">
        <f t="shared" si="262"/>
        <v>20</v>
      </c>
      <c r="BD394" s="3">
        <f t="shared" si="263"/>
        <v>31</v>
      </c>
      <c r="BE394" s="3">
        <f t="shared" si="264"/>
        <v>53</v>
      </c>
      <c r="BF394" s="3">
        <f t="shared" si="249"/>
        <v>36</v>
      </c>
    </row>
    <row r="395" spans="1:58" s="3" customFormat="1" x14ac:dyDescent="0.2">
      <c r="A395" s="3" t="s">
        <v>462</v>
      </c>
      <c r="B395" s="3" t="str">
        <f>LOWER(VLOOKUP(A395,Xtal_Templ!A:B,2,FALSE))</f>
        <v>5ht2c_human</v>
      </c>
      <c r="C395" s="3">
        <f>VLOOKUP($A395,'SegEnds_NonXtal_BW#'!$A:$Z,3,FALSE)+D395-50</f>
        <v>6</v>
      </c>
      <c r="D395" s="3">
        <v>24</v>
      </c>
      <c r="E395" s="3">
        <f t="shared" si="244"/>
        <v>36</v>
      </c>
      <c r="F395" s="3">
        <f t="shared" si="245"/>
        <v>37</v>
      </c>
      <c r="G395" s="3">
        <v>39</v>
      </c>
      <c r="H395" s="3">
        <f t="shared" si="246"/>
        <v>40</v>
      </c>
      <c r="I395" s="3">
        <f t="shared" si="246"/>
        <v>41</v>
      </c>
      <c r="J395" s="3">
        <v>55</v>
      </c>
      <c r="K395" s="3">
        <f>VLOOKUP($A395,'SegEnds_NonXtal_BW#'!$A:$Z,8,FALSE)+VLOOKUP($A395,A:AL,10,FALSE)-50</f>
        <v>71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77</v>
      </c>
      <c r="P395" s="3">
        <v>106</v>
      </c>
      <c r="Q395" s="3">
        <f>VLOOKUP($A395,'SegEnds_NonXtal_BW#'!$A:$Z,12,FALSE)+VLOOKUP($A395,A:AL,16,FALSE)-50</f>
        <v>112</v>
      </c>
      <c r="R395" s="3">
        <f t="shared" si="247"/>
        <v>115</v>
      </c>
      <c r="S395" s="3">
        <v>115</v>
      </c>
      <c r="T395" s="100">
        <f t="shared" si="248"/>
        <v>122</v>
      </c>
      <c r="U395" s="9">
        <f>IF(ISERROR(VLOOKUP($A395,'SegEnds_NonXtal_BW#'!$A:$Z,15,FALSE)+VLOOKUP($A395,A:AL,22,FALSE)-50),"-",VLOOKUP($A395,'SegEnds_NonXtal_BW#'!$A:$Z,15,FALSE)+VLOOKUP($A395,A:AL,22,FALSE)-50)</f>
        <v>123</v>
      </c>
      <c r="V395" s="3">
        <v>135</v>
      </c>
      <c r="W395" s="3">
        <f>IF(ISERROR(VLOOKUP($A395,'SegEnds_NonXtal_BW#'!$A:$Z,16,FALSE)+VLOOKUP($A395,A:AL,22,FALSE)-50),"-",(VLOOKUP($A395,'SegEnds_NonXtal_BW#'!$A:$Z,16,FALSE)+VLOOKUP($A395,A:AL,22,FALSE)-50))</f>
        <v>152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169</v>
      </c>
      <c r="AB395" s="3">
        <v>187</v>
      </c>
      <c r="AC395" s="3">
        <f>IF(ISERROR((VLOOKUP($A395,'SegEnds_NonXtal_BW#'!$A:$Z,20,FALSE)+VLOOKUP($A395,A:AL,28,FALSE)-50)),"-",(VLOOKUP($A395,'SegEnds_NonXtal_BW#'!$A:$Z,20,FALSE)+VLOOKUP($A395,A:AL,28,FALSE)-50))</f>
        <v>209</v>
      </c>
      <c r="AD395" s="3">
        <f>IF(ISERROR(VLOOKUP($A395,'SegEnds_NonXtal_BW#'!$A:$Z,21,FALSE)+VLOOKUP($A395,A:AL,31,FALSE)-50),"-",(VLOOKUP($A395,'SegEnds_NonXtal_BW#'!$A:$Z,21,FALSE)+VLOOKUP($A395,A:AL,31,FALSE)-50))</f>
        <v>219</v>
      </c>
      <c r="AE395" s="3">
        <v>240</v>
      </c>
      <c r="AF395" s="3">
        <f>IF(ISERROR((VLOOKUP($A395,'SegEnds_NonXtal_BW#'!$A:$Z,22,FALSE)+VLOOKUP($A395,A:AL,31,FALSE)-50)),"-",(VLOOKUP($A395,'SegEnds_NonXtal_BW#'!$A:$Z,22,FALSE)+VLOOKUP($A395,A:AL,31,FALSE)-50))</f>
        <v>251</v>
      </c>
      <c r="AG395" s="3">
        <f>IF(ISERROR(VLOOKUP($A395,'SegEnds_NonXtal_BW#'!$A:$Z,23,FALSE)+VLOOKUP($A395,A:AL,34,FALSE)-50),"-",(VLOOKUP($A395,'SegEnds_NonXtal_BW#'!$A:$Z,23,FALSE)+VLOOKUP($A395,A:AL,34,FALSE)-50))</f>
        <v>257</v>
      </c>
      <c r="AH395" s="3">
        <v>276</v>
      </c>
      <c r="AI395" s="3">
        <f>IF(ISERROR((VLOOKUP($A395,'SegEnds_NonXtal_BW#'!$A:$Z,24,FALSE)+VLOOKUP($A395,A:AL,34,FALSE)-50)),"-",(VLOOKUP($A395,'SegEnds_NonXtal_BW#'!$A:$Z,24,FALSE)+VLOOKUP($A395,A:AL,34,FALSE)-50))</f>
        <v>282</v>
      </c>
      <c r="AJ395" s="3">
        <f>IF(ISERROR(VLOOKUP($A395,'SegEnds_NonXtal_BW#'!$A:$Z,25,FALSE)+VLOOKUP($A395,A:AL,37,FALSE)-50),"-",(VLOOKUP($A395,'SegEnds_NonXtal_BW#'!$A:$Z,25,FALSE)+VLOOKUP($A395,A:AL,37,FALSE)-50))</f>
        <v>283</v>
      </c>
      <c r="AK395" s="3">
        <v>286</v>
      </c>
      <c r="AL395" s="3">
        <f>IF(ISERROR((VLOOKUP($A395,'SegEnds_NonXtal_BW#'!$A:$Z,26,FALSE)+VLOOKUP($A395,A:AL,37,FALSE)-50)),"-",(VLOOKUP($A395,'SegEnds_NonXtal_BW#'!$A:$Z,26,FALSE)+VLOOKUP($A395,A:AL,37,FALSE)-50))</f>
        <v>296</v>
      </c>
      <c r="AM395" s="28" t="str">
        <f>VLOOKUP(A395,Classification!A:B,2,FALSE)</f>
        <v>T</v>
      </c>
      <c r="AN395" s="28" t="b">
        <f t="shared" si="265"/>
        <v>1</v>
      </c>
      <c r="AO395" s="3" t="str">
        <f>IF(ISERROR(MATCH(A395,'SegEnds_Xtal_Prot#'!B:B, 0)), "NoXtal", "Xtal")</f>
        <v>NoXtal</v>
      </c>
      <c r="AP395" s="3">
        <f t="shared" si="250"/>
        <v>1</v>
      </c>
      <c r="AQ395" s="3">
        <f t="shared" si="251"/>
        <v>1</v>
      </c>
      <c r="AR395" s="3" t="str">
        <f t="shared" si="252"/>
        <v>-</v>
      </c>
      <c r="AS395" s="3" t="str">
        <f t="shared" si="253"/>
        <v>-</v>
      </c>
      <c r="AT395" s="3">
        <f t="shared" si="254"/>
        <v>3</v>
      </c>
      <c r="AU395" s="3">
        <f t="shared" si="255"/>
        <v>1</v>
      </c>
      <c r="AV395" s="3" t="str">
        <f t="shared" si="256"/>
        <v>-</v>
      </c>
      <c r="AW395" s="3" t="str">
        <f t="shared" si="257"/>
        <v>-</v>
      </c>
      <c r="AX395" s="3">
        <f t="shared" si="258"/>
        <v>10</v>
      </c>
      <c r="AY395" s="3">
        <f t="shared" si="259"/>
        <v>6</v>
      </c>
      <c r="AZ395" s="3">
        <f t="shared" si="260"/>
        <v>1</v>
      </c>
      <c r="BA395" s="3">
        <f>IF(ISERROR(LEN(VLOOKUP(A395,Seqs!A:E,2,FALSE))-AL395),"-",LEN(VLOOKUP(A395,Seqs!A:E,2,FALSE))-AL395)</f>
        <v>23</v>
      </c>
      <c r="BB395" s="16">
        <f t="shared" si="261"/>
        <v>31</v>
      </c>
      <c r="BC395" s="9">
        <f t="shared" si="262"/>
        <v>20</v>
      </c>
      <c r="BD395" s="3">
        <f t="shared" si="263"/>
        <v>31</v>
      </c>
      <c r="BE395" s="3">
        <f t="shared" si="264"/>
        <v>53</v>
      </c>
      <c r="BF395" s="3">
        <f t="shared" si="249"/>
        <v>36</v>
      </c>
    </row>
    <row r="396" spans="1:58" s="3" customFormat="1" x14ac:dyDescent="0.2">
      <c r="A396" s="3" t="s">
        <v>463</v>
      </c>
      <c r="B396" s="3" t="str">
        <f>LOWER(VLOOKUP(A396,Xtal_Templ!A:B,2,FALSE))</f>
        <v>drd2_human</v>
      </c>
      <c r="C396" s="3">
        <f>VLOOKUP($A396,'SegEnds_NonXtal_BW#'!$A:$Z,3,FALSE)+D396-50</f>
        <v>6</v>
      </c>
      <c r="D396" s="3">
        <v>24</v>
      </c>
      <c r="E396" s="3">
        <f t="shared" si="244"/>
        <v>36</v>
      </c>
      <c r="F396" s="3">
        <f t="shared" si="245"/>
        <v>37</v>
      </c>
      <c r="G396" s="3">
        <v>39</v>
      </c>
      <c r="H396" s="3">
        <f t="shared" si="246"/>
        <v>40</v>
      </c>
      <c r="I396" s="3">
        <f t="shared" si="246"/>
        <v>41</v>
      </c>
      <c r="J396" s="3">
        <v>55</v>
      </c>
      <c r="K396" s="3">
        <f>VLOOKUP($A396,'SegEnds_NonXtal_BW#'!$A:$Z,8,FALSE)+VLOOKUP($A396,A:AL,10,FALSE)-50</f>
        <v>71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77</v>
      </c>
      <c r="P396" s="3">
        <v>106</v>
      </c>
      <c r="Q396" s="3">
        <f>VLOOKUP($A396,'SegEnds_NonXtal_BW#'!$A:$Z,12,FALSE)+VLOOKUP($A396,A:AL,16,FALSE)-50</f>
        <v>112</v>
      </c>
      <c r="R396" s="3">
        <f t="shared" si="247"/>
        <v>115</v>
      </c>
      <c r="S396" s="3">
        <v>115</v>
      </c>
      <c r="T396" s="100">
        <f t="shared" si="248"/>
        <v>122</v>
      </c>
      <c r="U396" s="9">
        <f>IF(ISERROR(VLOOKUP($A396,'SegEnds_NonXtal_BW#'!$A:$Z,15,FALSE)+VLOOKUP($A396,A:AL,22,FALSE)-50),"-",VLOOKUP($A396,'SegEnds_NonXtal_BW#'!$A:$Z,15,FALSE)+VLOOKUP($A396,A:AL,22,FALSE)-50)</f>
        <v>123</v>
      </c>
      <c r="V396" s="3">
        <v>135</v>
      </c>
      <c r="W396" s="3">
        <f>IF(ISERROR(VLOOKUP($A396,'SegEnds_NonXtal_BW#'!$A:$Z,16,FALSE)+VLOOKUP($A396,A:AL,22,FALSE)-50),"-",(VLOOKUP($A396,'SegEnds_NonXtal_BW#'!$A:$Z,16,FALSE)+VLOOKUP($A396,A:AL,22,FALSE)-50))</f>
        <v>147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169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209</v>
      </c>
      <c r="AD396" s="3">
        <f>IF(ISERROR(VLOOKUP($A396,'SegEnds_NonXtal_BW#'!$A:$Z,21,FALSE)+VLOOKUP($A396,A:AL,31,FALSE)-50),"-",(VLOOKUP($A396,'SegEnds_NonXtal_BW#'!$A:$Z,21,FALSE)+VLOOKUP($A396,A:AL,31,FALSE)-50))</f>
        <v>219</v>
      </c>
      <c r="AE396" s="3">
        <v>240</v>
      </c>
      <c r="AF396" s="3">
        <f>IF(ISERROR((VLOOKUP($A396,'SegEnds_NonXtal_BW#'!$A:$Z,22,FALSE)+VLOOKUP($A396,A:AL,31,FALSE)-50)),"-",(VLOOKUP($A396,'SegEnds_NonXtal_BW#'!$A:$Z,22,FALSE)+VLOOKUP($A396,A:AL,31,FALSE)-50))</f>
        <v>251</v>
      </c>
      <c r="AG396" s="3">
        <f>IF(ISERROR(VLOOKUP($A396,'SegEnds_NonXtal_BW#'!$A:$Z,23,FALSE)+VLOOKUP($A396,A:AL,34,FALSE)-50),"-",(VLOOKUP($A396,'SegEnds_NonXtal_BW#'!$A:$Z,23,FALSE)+VLOOKUP($A396,A:AL,34,FALSE)-50))</f>
        <v>257</v>
      </c>
      <c r="AH396" s="3">
        <v>276</v>
      </c>
      <c r="AI396" s="3">
        <f>IF(ISERROR((VLOOKUP($A396,'SegEnds_NonXtal_BW#'!$A:$Z,24,FALSE)+VLOOKUP($A396,A:AL,34,FALSE)-50)),"-",(VLOOKUP($A396,'SegEnds_NonXtal_BW#'!$A:$Z,24,FALSE)+VLOOKUP($A396,A:AL,34,FALSE)-50))</f>
        <v>282</v>
      </c>
      <c r="AJ396" s="3">
        <f>IF(ISERROR(VLOOKUP($A396,'SegEnds_NonXtal_BW#'!$A:$Z,25,FALSE)+VLOOKUP($A396,A:AL,37,FALSE)-50),"-",(VLOOKUP($A396,'SegEnds_NonXtal_BW#'!$A:$Z,25,FALSE)+VLOOKUP($A396,A:AL,37,FALSE)-50))</f>
        <v>283</v>
      </c>
      <c r="AK396" s="3">
        <v>286</v>
      </c>
      <c r="AL396" s="3">
        <f>IF(ISERROR((VLOOKUP($A396,'SegEnds_NonXtal_BW#'!$A:$Z,26,FALSE)+VLOOKUP($A396,A:AL,37,FALSE)-50)),"-",(VLOOKUP($A396,'SegEnds_NonXtal_BW#'!$A:$Z,26,FALSE)+VLOOKUP($A396,A:AL,37,FALSE)-50))</f>
        <v>296</v>
      </c>
      <c r="AM396" s="28" t="str">
        <f>VLOOKUP(A396,Classification!A:B,2,FALSE)</f>
        <v>T</v>
      </c>
      <c r="AN396" s="28" t="b">
        <f t="shared" si="265"/>
        <v>1</v>
      </c>
      <c r="AO396" s="3" t="str">
        <f>IF(ISERROR(MATCH(A396,'SegEnds_Xtal_Prot#'!B:B, 0)), "NoXtal", "Xtal")</f>
        <v>NoXtal</v>
      </c>
      <c r="AP396" s="3">
        <f t="shared" si="250"/>
        <v>1</v>
      </c>
      <c r="AQ396" s="3">
        <f t="shared" si="251"/>
        <v>1</v>
      </c>
      <c r="AR396" s="3" t="str">
        <f t="shared" si="252"/>
        <v>-</v>
      </c>
      <c r="AS396" s="3" t="str">
        <f t="shared" si="253"/>
        <v>-</v>
      </c>
      <c r="AT396" s="3">
        <f t="shared" si="254"/>
        <v>3</v>
      </c>
      <c r="AU396" s="3">
        <f t="shared" si="255"/>
        <v>1</v>
      </c>
      <c r="AV396" s="3" t="str">
        <f t="shared" si="256"/>
        <v>-</v>
      </c>
      <c r="AW396" s="3" t="str">
        <f t="shared" si="257"/>
        <v>-</v>
      </c>
      <c r="AX396" s="3">
        <f t="shared" si="258"/>
        <v>10</v>
      </c>
      <c r="AY396" s="3">
        <f t="shared" si="259"/>
        <v>6</v>
      </c>
      <c r="AZ396" s="3">
        <f t="shared" si="260"/>
        <v>1</v>
      </c>
      <c r="BA396" s="3">
        <f>IF(ISERROR(LEN(VLOOKUP(A396,Seqs!A:E,2,FALSE))-AL396),"-",LEN(VLOOKUP(A396,Seqs!A:E,2,FALSE))-AL396)</f>
        <v>13</v>
      </c>
      <c r="BB396" s="16">
        <f t="shared" si="261"/>
        <v>31</v>
      </c>
      <c r="BC396" s="9">
        <f t="shared" si="262"/>
        <v>20</v>
      </c>
      <c r="BD396" s="3">
        <f t="shared" si="263"/>
        <v>31</v>
      </c>
      <c r="BE396" s="3">
        <f t="shared" si="264"/>
        <v>53</v>
      </c>
      <c r="BF396" s="3">
        <f t="shared" si="249"/>
        <v>36</v>
      </c>
    </row>
    <row r="397" spans="1:58" s="3" customFormat="1" x14ac:dyDescent="0.2">
      <c r="A397" s="3" t="s">
        <v>464</v>
      </c>
      <c r="B397" s="3" t="str">
        <f>LOWER(VLOOKUP(A397,Xtal_Templ!A:B,2,FALSE))</f>
        <v>agtr1_human</v>
      </c>
      <c r="C397" s="3">
        <f>VLOOKUP($A397,'SegEnds_NonXtal_BW#'!$A:$Z,3,FALSE)+D397-50</f>
        <v>15</v>
      </c>
      <c r="D397" s="3">
        <v>33</v>
      </c>
      <c r="E397" s="3">
        <f t="shared" si="244"/>
        <v>45</v>
      </c>
      <c r="F397" s="3">
        <f t="shared" si="245"/>
        <v>46</v>
      </c>
      <c r="G397" s="3">
        <v>48</v>
      </c>
      <c r="H397" s="3">
        <f t="shared" si="246"/>
        <v>49</v>
      </c>
      <c r="I397" s="3">
        <f t="shared" si="246"/>
        <v>50</v>
      </c>
      <c r="J397" s="3">
        <v>64</v>
      </c>
      <c r="K397" s="3">
        <f>VLOOKUP($A397,'SegEnds_NonXtal_BW#'!$A:$Z,8,FALSE)+VLOOKUP($A397,A:AL,10,FALSE)-50</f>
        <v>81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85</v>
      </c>
      <c r="P397" s="3">
        <v>117</v>
      </c>
      <c r="Q397" s="3">
        <f>VLOOKUP($A397,'SegEnds_NonXtal_BW#'!$A:$Z,12,FALSE)+VLOOKUP($A397,A:AL,16,FALSE)-50</f>
        <v>123</v>
      </c>
      <c r="R397" s="3">
        <f t="shared" si="247"/>
        <v>126</v>
      </c>
      <c r="S397" s="3">
        <v>126</v>
      </c>
      <c r="T397" s="100">
        <f t="shared" si="248"/>
        <v>133</v>
      </c>
      <c r="U397" s="9">
        <f>IF(ISERROR(VLOOKUP($A397,'SegEnds_NonXtal_BW#'!$A:$Z,15,FALSE)+VLOOKUP($A397,A:AL,22,FALSE)-50),"-",VLOOKUP($A397,'SegEnds_NonXtal_BW#'!$A:$Z,15,FALSE)+VLOOKUP($A397,A:AL,22,FALSE)-50)</f>
        <v>134</v>
      </c>
      <c r="V397" s="3">
        <v>146</v>
      </c>
      <c r="W397" s="3">
        <f>IF(ISERROR(VLOOKUP($A397,'SegEnds_NonXtal_BW#'!$A:$Z,16,FALSE)+VLOOKUP($A397,A:AL,22,FALSE)-50),"-",(VLOOKUP($A397,'SegEnds_NonXtal_BW#'!$A:$Z,16,FALSE)+VLOOKUP($A397,A:AL,22,FALSE)-50))</f>
        <v>160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275</v>
      </c>
      <c r="AH397" s="3">
        <v>294</v>
      </c>
      <c r="AI397" s="3">
        <f>IF(ISERROR((VLOOKUP($A397,'SegEnds_NonXtal_BW#'!$A:$Z,24,FALSE)+VLOOKUP($A397,A:AL,34,FALSE)-50)),"-",(VLOOKUP($A397,'SegEnds_NonXtal_BW#'!$A:$Z,24,FALSE)+VLOOKUP($A397,A:AL,34,FALSE)-50))</f>
        <v>300</v>
      </c>
      <c r="AJ397" s="3">
        <f>IF(ISERROR(VLOOKUP($A397,'SegEnds_NonXtal_BW#'!$A:$Z,25,FALSE)+VLOOKUP($A397,A:AL,37,FALSE)-50),"-",(VLOOKUP($A397,'SegEnds_NonXtal_BW#'!$A:$Z,25,FALSE)+VLOOKUP($A397,A:AL,37,FALSE)-50))</f>
        <v>301</v>
      </c>
      <c r="AK397" s="3">
        <v>304</v>
      </c>
      <c r="AL397" s="3">
        <f>IF(ISERROR((VLOOKUP($A397,'SegEnds_NonXtal_BW#'!$A:$Z,26,FALSE)+VLOOKUP($A397,A:AL,37,FALSE)-50)),"-",(VLOOKUP($A397,'SegEnds_NonXtal_BW#'!$A:$Z,26,FALSE)+VLOOKUP($A397,A:AL,37,FALSE)-50))</f>
        <v>314</v>
      </c>
      <c r="AM397" s="28" t="str">
        <f>VLOOKUP(A397,Classification!A:B,2,FALSE)</f>
        <v>T</v>
      </c>
      <c r="AN397" s="28" t="b">
        <f t="shared" si="265"/>
        <v>1</v>
      </c>
      <c r="AO397" s="3" t="str">
        <f>IF(ISERROR(MATCH(A397,'SegEnds_Xtal_Prot#'!B:B, 0)), "NoXtal", "Xtal")</f>
        <v>NoXtal</v>
      </c>
      <c r="AP397" s="3">
        <f t="shared" si="250"/>
        <v>1</v>
      </c>
      <c r="AQ397" s="3">
        <f t="shared" si="251"/>
        <v>1</v>
      </c>
      <c r="AR397" s="3" t="str">
        <f t="shared" si="252"/>
        <v>-</v>
      </c>
      <c r="AS397" s="3" t="str">
        <f t="shared" si="253"/>
        <v>-</v>
      </c>
      <c r="AT397" s="3">
        <f t="shared" si="254"/>
        <v>3</v>
      </c>
      <c r="AU397" s="3">
        <f t="shared" si="255"/>
        <v>1</v>
      </c>
      <c r="AV397" s="3" t="str">
        <f t="shared" si="256"/>
        <v>-</v>
      </c>
      <c r="AW397" s="3" t="str">
        <f t="shared" si="257"/>
        <v>-</v>
      </c>
      <c r="AX397" s="3">
        <f t="shared" si="258"/>
        <v>10</v>
      </c>
      <c r="AY397" s="3">
        <f t="shared" si="259"/>
        <v>6</v>
      </c>
      <c r="AZ397" s="3">
        <f t="shared" si="260"/>
        <v>1</v>
      </c>
      <c r="BA397" s="3">
        <f>IF(ISERROR(LEN(VLOOKUP(A397,Seqs!A:E,2,FALSE))-AL397),"-",LEN(VLOOKUP(A397,Seqs!A:E,2,FALSE))-AL397)</f>
        <v>19</v>
      </c>
      <c r="BB397" s="16">
        <f t="shared" si="261"/>
        <v>31</v>
      </c>
      <c r="BC397" s="9">
        <f t="shared" si="262"/>
        <v>20</v>
      </c>
      <c r="BD397" s="3">
        <f t="shared" si="263"/>
        <v>31</v>
      </c>
      <c r="BE397" s="3">
        <f t="shared" si="264"/>
        <v>53</v>
      </c>
      <c r="BF397" s="3">
        <f t="shared" si="249"/>
        <v>36</v>
      </c>
    </row>
    <row r="398" spans="1:58" s="3" customFormat="1" x14ac:dyDescent="0.2">
      <c r="A398" s="3" t="s">
        <v>465</v>
      </c>
      <c r="B398" s="3" t="str">
        <f>LOWER(VLOOKUP(A398,Xtal_Templ!A:B,2,FALSE))</f>
        <v>agtr1_human</v>
      </c>
      <c r="C398" s="3">
        <f>VLOOKUP($A398,'SegEnds_NonXtal_BW#'!$A:$Z,3,FALSE)+D398-50</f>
        <v>34</v>
      </c>
      <c r="D398" s="3">
        <v>52</v>
      </c>
      <c r="E398" s="3">
        <f t="shared" si="244"/>
        <v>64</v>
      </c>
      <c r="F398" s="3">
        <f t="shared" si="245"/>
        <v>65</v>
      </c>
      <c r="G398" s="3">
        <v>67</v>
      </c>
      <c r="H398" s="3">
        <f t="shared" si="246"/>
        <v>68</v>
      </c>
      <c r="I398" s="3">
        <f t="shared" si="246"/>
        <v>69</v>
      </c>
      <c r="J398" s="3">
        <v>83</v>
      </c>
      <c r="K398" s="3">
        <f>VLOOKUP($A398,'SegEnds_NonXtal_BW#'!$A:$Z,8,FALSE)+VLOOKUP($A398,A:AL,10,FALSE)-50</f>
        <v>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103</v>
      </c>
      <c r="P398" s="3">
        <v>135</v>
      </c>
      <c r="Q398" s="3">
        <f>VLOOKUP($A398,'SegEnds_NonXtal_BW#'!$A:$Z,12,FALSE)+VLOOKUP($A398,A:AL,16,FALSE)-50</f>
        <v>141</v>
      </c>
      <c r="R398" s="3">
        <f t="shared" si="247"/>
        <v>144</v>
      </c>
      <c r="S398" s="3">
        <v>144</v>
      </c>
      <c r="T398" s="100">
        <f t="shared" si="248"/>
        <v>151</v>
      </c>
      <c r="U398" s="9">
        <f>IF(ISERROR(VLOOKUP($A398,'SegEnds_NonXtal_BW#'!$A:$Z,15,FALSE)+VLOOKUP($A398,A:AL,22,FALSE)-50),"-",VLOOKUP($A398,'SegEnds_NonXtal_BW#'!$A:$Z,15,FALSE)+VLOOKUP($A398,A:AL,22,FALSE)-50)</f>
        <v>152</v>
      </c>
      <c r="V398" s="3">
        <v>164</v>
      </c>
      <c r="W398" s="3">
        <f>IF(ISERROR(VLOOKUP($A398,'SegEnds_NonXtal_BW#'!$A:$Z,16,FALSE)+VLOOKUP($A398,A:AL,22,FALSE)-50),"-",(VLOOKUP($A398,'SegEnds_NonXtal_BW#'!$A:$Z,16,FALSE)+VLOOKUP($A398,A:AL,22,FALSE)-50))</f>
        <v>178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202</v>
      </c>
      <c r="AB398" s="3">
        <v>220</v>
      </c>
      <c r="AC398" s="3">
        <f>IF(ISERROR((VLOOKUP($A398,'SegEnds_NonXtal_BW#'!$A:$Z,20,FALSE)+VLOOKUP($A398,A:AL,28,FALSE)-50)),"-",(VLOOKUP($A398,'SegEnds_NonXtal_BW#'!$A:$Z,20,FALSE)+VLOOKUP($A398,A:AL,28,FALSE)-50))</f>
        <v>242</v>
      </c>
      <c r="AD398" s="3">
        <f>IF(ISERROR(VLOOKUP($A398,'SegEnds_NonXtal_BW#'!$A:$Z,21,FALSE)+VLOOKUP($A398,A:AL,31,FALSE)-50),"-",(VLOOKUP($A398,'SegEnds_NonXtal_BW#'!$A:$Z,21,FALSE)+VLOOKUP($A398,A:AL,31,FALSE)-50))</f>
        <v>252</v>
      </c>
      <c r="AE398" s="3">
        <v>273</v>
      </c>
      <c r="AF398" s="3">
        <f>IF(ISERROR((VLOOKUP($A398,'SegEnds_NonXtal_BW#'!$A:$Z,22,FALSE)+VLOOKUP($A398,A:AL,31,FALSE)-50)),"-",(VLOOKUP($A398,'SegEnds_NonXtal_BW#'!$A:$Z,22,FALSE)+VLOOKUP($A398,A:AL,31,FALSE)-50))</f>
        <v>284</v>
      </c>
      <c r="AG398" s="3">
        <f>IF(ISERROR(VLOOKUP($A398,'SegEnds_NonXtal_BW#'!$A:$Z,23,FALSE)+VLOOKUP($A398,A:AL,34,FALSE)-50),"-",(VLOOKUP($A398,'SegEnds_NonXtal_BW#'!$A:$Z,23,FALSE)+VLOOKUP($A398,A:AL,34,FALSE)-50))</f>
        <v>289</v>
      </c>
      <c r="AH398" s="3">
        <v>308</v>
      </c>
      <c r="AI398" s="3">
        <f>IF(ISERROR((VLOOKUP($A398,'SegEnds_NonXtal_BW#'!$A:$Z,24,FALSE)+VLOOKUP($A398,A:AL,34,FALSE)-50)),"-",(VLOOKUP($A398,'SegEnds_NonXtal_BW#'!$A:$Z,24,FALSE)+VLOOKUP($A398,A:AL,34,FALSE)-50))</f>
        <v>314</v>
      </c>
      <c r="AJ398" s="3">
        <f>IF(ISERROR(VLOOKUP($A398,'SegEnds_NonXtal_BW#'!$A:$Z,25,FALSE)+VLOOKUP($A398,A:AL,37,FALSE)-50),"-",(VLOOKUP($A398,'SegEnds_NonXtal_BW#'!$A:$Z,25,FALSE)+VLOOKUP($A398,A:AL,37,FALSE)-50))</f>
        <v>315</v>
      </c>
      <c r="AK398" s="3">
        <v>318</v>
      </c>
      <c r="AL398" s="3">
        <f>IF(ISERROR((VLOOKUP($A398,'SegEnds_NonXtal_BW#'!$A:$Z,26,FALSE)+VLOOKUP($A398,A:AL,37,FALSE)-50)),"-",(VLOOKUP($A398,'SegEnds_NonXtal_BW#'!$A:$Z,26,FALSE)+VLOOKUP($A398,A:AL,37,FALSE)-50))</f>
        <v>328</v>
      </c>
      <c r="AM398" s="28" t="str">
        <f>VLOOKUP(A398,Classification!A:B,2,FALSE)</f>
        <v>T</v>
      </c>
      <c r="AN398" s="28" t="b">
        <f t="shared" si="265"/>
        <v>1</v>
      </c>
      <c r="AO398" s="3" t="str">
        <f>IF(ISERROR(MATCH(A398,'SegEnds_Xtal_Prot#'!B:B, 0)), "NoXtal", "Xtal")</f>
        <v>NoXtal</v>
      </c>
      <c r="AP398" s="3">
        <f t="shared" si="250"/>
        <v>1</v>
      </c>
      <c r="AQ398" s="3">
        <f t="shared" si="251"/>
        <v>1</v>
      </c>
      <c r="AR398" s="3" t="str">
        <f t="shared" si="252"/>
        <v>-</v>
      </c>
      <c r="AS398" s="3" t="str">
        <f t="shared" si="253"/>
        <v>-</v>
      </c>
      <c r="AT398" s="3">
        <f t="shared" si="254"/>
        <v>3</v>
      </c>
      <c r="AU398" s="3">
        <f t="shared" si="255"/>
        <v>1</v>
      </c>
      <c r="AV398" s="3" t="str">
        <f t="shared" si="256"/>
        <v>-</v>
      </c>
      <c r="AW398" s="3" t="str">
        <f t="shared" si="257"/>
        <v>-</v>
      </c>
      <c r="AX398" s="3">
        <f t="shared" si="258"/>
        <v>10</v>
      </c>
      <c r="AY398" s="3">
        <f t="shared" si="259"/>
        <v>5</v>
      </c>
      <c r="AZ398" s="3">
        <f t="shared" si="260"/>
        <v>1</v>
      </c>
      <c r="BA398" s="3">
        <f>IF(ISERROR(LEN(VLOOKUP(A398,Seqs!A:E,2,FALSE))-AL398),"-",LEN(VLOOKUP(A398,Seqs!A:E,2,FALSE))-AL398)</f>
        <v>10</v>
      </c>
      <c r="BB398" s="16">
        <f t="shared" si="261"/>
        <v>31</v>
      </c>
      <c r="BC398" s="9">
        <f t="shared" si="262"/>
        <v>20</v>
      </c>
      <c r="BD398" s="3">
        <f t="shared" si="263"/>
        <v>31</v>
      </c>
      <c r="BE398" s="3">
        <f t="shared" si="264"/>
        <v>53</v>
      </c>
      <c r="BF398" s="3">
        <f t="shared" si="249"/>
        <v>35</v>
      </c>
    </row>
    <row r="399" spans="1:58" s="3" customFormat="1" x14ac:dyDescent="0.2">
      <c r="A399" s="3" t="s">
        <v>466</v>
      </c>
      <c r="B399" s="3" t="str">
        <f>LOWER(VLOOKUP(A399,Xtal_Templ!A:B,2,FALSE))</f>
        <v>5ht2a_human</v>
      </c>
      <c r="C399" s="3">
        <f>VLOOKUP($A399,'SegEnds_NonXtal_BW#'!$A:$Z,3,FALSE)+D399-50</f>
        <v>18</v>
      </c>
      <c r="D399" s="3">
        <v>36</v>
      </c>
      <c r="E399" s="3">
        <f t="shared" si="244"/>
        <v>48</v>
      </c>
      <c r="F399" s="3">
        <f t="shared" si="245"/>
        <v>49</v>
      </c>
      <c r="G399" s="3">
        <v>51</v>
      </c>
      <c r="H399" s="3">
        <f t="shared" si="246"/>
        <v>52</v>
      </c>
      <c r="I399" s="3">
        <f t="shared" si="246"/>
        <v>53</v>
      </c>
      <c r="J399" s="3">
        <v>67</v>
      </c>
      <c r="K399" s="3">
        <f>VLOOKUP($A399,'SegEnds_NonXtal_BW#'!$A:$Z,8,FALSE)+VLOOKUP($A399,A:AL,10,FALSE)-50</f>
        <v>83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87</v>
      </c>
      <c r="P399" s="3">
        <v>119</v>
      </c>
      <c r="Q399" s="3">
        <f>VLOOKUP($A399,'SegEnds_NonXtal_BW#'!$A:$Z,12,FALSE)+VLOOKUP($A399,A:AL,16,FALSE)-50</f>
        <v>125</v>
      </c>
      <c r="R399" s="3">
        <f t="shared" si="247"/>
        <v>128</v>
      </c>
      <c r="S399" s="3">
        <v>128</v>
      </c>
      <c r="T399" s="100">
        <f t="shared" si="248"/>
        <v>135</v>
      </c>
      <c r="U399" s="9">
        <f>IF(ISERROR(VLOOKUP($A399,'SegEnds_NonXtal_BW#'!$A:$Z,15,FALSE)+VLOOKUP($A399,A:AL,22,FALSE)-50),"-",VLOOKUP($A399,'SegEnds_NonXtal_BW#'!$A:$Z,15,FALSE)+VLOOKUP($A399,A:AL,22,FALSE)-50)</f>
        <v>136</v>
      </c>
      <c r="V399" s="3">
        <v>148</v>
      </c>
      <c r="W399" s="3">
        <f>IF(ISERROR(VLOOKUP($A399,'SegEnds_NonXtal_BW#'!$A:$Z,16,FALSE)+VLOOKUP($A399,A:AL,22,FALSE)-50),"-",(VLOOKUP($A399,'SegEnds_NonXtal_BW#'!$A:$Z,16,FALSE)+VLOOKUP($A399,A:AL,22,FALSE)-50))</f>
        <v>165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187</v>
      </c>
      <c r="AB399" s="3">
        <v>205</v>
      </c>
      <c r="AC399" s="3">
        <f>IF(ISERROR((VLOOKUP($A399,'SegEnds_NonXtal_BW#'!$A:$Z,20,FALSE)+VLOOKUP($A399,A:AL,28,FALSE)-50)),"-",(VLOOKUP($A399,'SegEnds_NonXtal_BW#'!$A:$Z,20,FALSE)+VLOOKUP($A399,A:AL,28,FALSE)-50))</f>
        <v>227</v>
      </c>
      <c r="AD399" s="3">
        <f>IF(ISERROR(VLOOKUP($A399,'SegEnds_NonXtal_BW#'!$A:$Z,21,FALSE)+VLOOKUP($A399,A:AL,31,FALSE)-50),"-",(VLOOKUP($A399,'SegEnds_NonXtal_BW#'!$A:$Z,21,FALSE)+VLOOKUP($A399,A:AL,31,FALSE)-50))</f>
        <v>237</v>
      </c>
      <c r="AE399" s="3">
        <v>258</v>
      </c>
      <c r="AF399" s="3">
        <f>IF(ISERROR((VLOOKUP($A399,'SegEnds_NonXtal_BW#'!$A:$Z,22,FALSE)+VLOOKUP($A399,A:AL,31,FALSE)-50)),"-",(VLOOKUP($A399,'SegEnds_NonXtal_BW#'!$A:$Z,22,FALSE)+VLOOKUP($A399,A:AL,31,FALSE)-50))</f>
        <v>269</v>
      </c>
      <c r="AG399" s="3">
        <f>IF(ISERROR(VLOOKUP($A399,'SegEnds_NonXtal_BW#'!$A:$Z,23,FALSE)+VLOOKUP($A399,A:AL,34,FALSE)-50),"-",(VLOOKUP($A399,'SegEnds_NonXtal_BW#'!$A:$Z,23,FALSE)+VLOOKUP($A399,A:AL,34,FALSE)-50))</f>
        <v>274</v>
      </c>
      <c r="AH399" s="3">
        <v>293</v>
      </c>
      <c r="AI399" s="3">
        <f>IF(ISERROR((VLOOKUP($A399,'SegEnds_NonXtal_BW#'!$A:$Z,24,FALSE)+VLOOKUP($A399,A:AL,34,FALSE)-50)),"-",(VLOOKUP($A399,'SegEnds_NonXtal_BW#'!$A:$Z,24,FALSE)+VLOOKUP($A399,A:AL,34,FALSE)-50))</f>
        <v>299</v>
      </c>
      <c r="AJ399" s="3">
        <f>IF(ISERROR(VLOOKUP($A399,'SegEnds_NonXtal_BW#'!$A:$Z,25,FALSE)+VLOOKUP($A399,A:AL,37,FALSE)-50),"-",(VLOOKUP($A399,'SegEnds_NonXtal_BW#'!$A:$Z,25,FALSE)+VLOOKUP($A399,A:AL,37,FALSE)-50))</f>
        <v>300</v>
      </c>
      <c r="AK399" s="3">
        <v>303</v>
      </c>
      <c r="AL399" s="3">
        <f>IF(ISERROR((VLOOKUP($A399,'SegEnds_NonXtal_BW#'!$A:$Z,26,FALSE)+VLOOKUP($A399,A:AL,37,FALSE)-50)),"-",(VLOOKUP($A399,'SegEnds_NonXtal_BW#'!$A:$Z,26,FALSE)+VLOOKUP($A399,A:AL,37,FALSE)-50))</f>
        <v>313</v>
      </c>
      <c r="AM399" s="28" t="str">
        <f>VLOOKUP(A399,Classification!A:B,2,FALSE)</f>
        <v>T</v>
      </c>
      <c r="AN399" s="28" t="b">
        <f t="shared" si="265"/>
        <v>1</v>
      </c>
      <c r="AO399" s="3" t="str">
        <f>IF(ISERROR(MATCH(A399,'SegEnds_Xtal_Prot#'!B:B, 0)), "NoXtal", "Xtal")</f>
        <v>NoXtal</v>
      </c>
      <c r="AP399" s="3">
        <f t="shared" si="250"/>
        <v>1</v>
      </c>
      <c r="AQ399" s="3">
        <f t="shared" si="251"/>
        <v>1</v>
      </c>
      <c r="AR399" s="3" t="str">
        <f t="shared" si="252"/>
        <v>-</v>
      </c>
      <c r="AS399" s="3" t="str">
        <f t="shared" si="253"/>
        <v>-</v>
      </c>
      <c r="AT399" s="3">
        <f t="shared" si="254"/>
        <v>3</v>
      </c>
      <c r="AU399" s="3">
        <f t="shared" si="255"/>
        <v>1</v>
      </c>
      <c r="AV399" s="3" t="str">
        <f t="shared" si="256"/>
        <v>-</v>
      </c>
      <c r="AW399" s="3" t="str">
        <f t="shared" si="257"/>
        <v>-</v>
      </c>
      <c r="AX399" s="3">
        <f t="shared" si="258"/>
        <v>10</v>
      </c>
      <c r="AY399" s="3">
        <f t="shared" si="259"/>
        <v>5</v>
      </c>
      <c r="AZ399" s="3">
        <f t="shared" si="260"/>
        <v>1</v>
      </c>
      <c r="BA399" s="3">
        <f>IF(ISERROR(LEN(VLOOKUP(A399,Seqs!A:E,2,FALSE))-AL399),"-",LEN(VLOOKUP(A399,Seqs!A:E,2,FALSE))-AL399)</f>
        <v>10</v>
      </c>
      <c r="BB399" s="16">
        <f t="shared" si="261"/>
        <v>31</v>
      </c>
      <c r="BC399" s="9">
        <f t="shared" si="262"/>
        <v>20</v>
      </c>
      <c r="BD399" s="3">
        <f t="shared" si="263"/>
        <v>31</v>
      </c>
      <c r="BE399" s="3">
        <f t="shared" si="264"/>
        <v>53</v>
      </c>
      <c r="BF399" s="3">
        <f t="shared" si="249"/>
        <v>35</v>
      </c>
    </row>
    <row r="400" spans="1:58" s="3" customFormat="1" x14ac:dyDescent="0.2">
      <c r="A400" s="3" t="s">
        <v>467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44"/>
        <v>36</v>
      </c>
      <c r="F400" s="3">
        <f t="shared" si="245"/>
        <v>37</v>
      </c>
      <c r="G400" s="3">
        <v>39</v>
      </c>
      <c r="H400" s="3">
        <f t="shared" si="246"/>
        <v>40</v>
      </c>
      <c r="I400" s="3">
        <f t="shared" si="246"/>
        <v>41</v>
      </c>
      <c r="J400" s="3">
        <v>55</v>
      </c>
      <c r="K400" s="3">
        <f>VLOOKUP($A400,'SegEnds_NonXtal_BW#'!$A:$Z,8,FALSE)+VLOOKUP($A400,A:AL,10,FALSE)-50</f>
        <v>72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78</v>
      </c>
      <c r="P400" s="3">
        <v>107</v>
      </c>
      <c r="Q400" s="3">
        <f>VLOOKUP($A400,'SegEnds_NonXtal_BW#'!$A:$Z,12,FALSE)+VLOOKUP($A400,A:AL,16,FALSE)-50</f>
        <v>113</v>
      </c>
      <c r="R400" s="3">
        <f t="shared" si="247"/>
        <v>116</v>
      </c>
      <c r="S400" s="3">
        <v>116</v>
      </c>
      <c r="T400" s="100">
        <f t="shared" si="248"/>
        <v>123</v>
      </c>
      <c r="U400" s="9">
        <f>IF(ISERROR(VLOOKUP($A400,'SegEnds_NonXtal_BW#'!$A:$Z,15,FALSE)+VLOOKUP($A400,A:AL,22,FALSE)-50),"-",VLOOKUP($A400,'SegEnds_NonXtal_BW#'!$A:$Z,15,FALSE)+VLOOKUP($A400,A:AL,22,FALSE)-50)</f>
        <v>124</v>
      </c>
      <c r="V400" s="3">
        <v>136</v>
      </c>
      <c r="W400" s="3">
        <f>IF(ISERROR(VLOOKUP($A400,'SegEnds_NonXtal_BW#'!$A:$Z,16,FALSE)+VLOOKUP($A400,A:AL,22,FALSE)-50),"-",(VLOOKUP($A400,'SegEnds_NonXtal_BW#'!$A:$Z,16,FALSE)+VLOOKUP($A400,A:AL,22,FALSE)-50))</f>
        <v>148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174</v>
      </c>
      <c r="AB400" s="3">
        <v>192</v>
      </c>
      <c r="AC400" s="3">
        <f>IF(ISERROR((VLOOKUP($A400,'SegEnds_NonXtal_BW#'!$A:$Z,20,FALSE)+VLOOKUP($A400,A:AL,28,FALSE)-50)),"-",(VLOOKUP($A400,'SegEnds_NonXtal_BW#'!$A:$Z,20,FALSE)+VLOOKUP($A400,A:AL,28,FALSE)-50))</f>
        <v>214</v>
      </c>
      <c r="AD400" s="3">
        <f>IF(ISERROR(VLOOKUP($A400,'SegEnds_NonXtal_BW#'!$A:$Z,21,FALSE)+VLOOKUP($A400,A:AL,31,FALSE)-50),"-",(VLOOKUP($A400,'SegEnds_NonXtal_BW#'!$A:$Z,21,FALSE)+VLOOKUP($A400,A:AL,31,FALSE)-50))</f>
        <v>224</v>
      </c>
      <c r="AE400" s="3">
        <v>245</v>
      </c>
      <c r="AF400" s="3">
        <f>IF(ISERROR((VLOOKUP($A400,'SegEnds_NonXtal_BW#'!$A:$Z,22,FALSE)+VLOOKUP($A400,A:AL,31,FALSE)-50)),"-",(VLOOKUP($A400,'SegEnds_NonXtal_BW#'!$A:$Z,22,FALSE)+VLOOKUP($A400,A:AL,31,FALSE)-50))</f>
        <v>256</v>
      </c>
      <c r="AG400" s="3">
        <f>IF(ISERROR(VLOOKUP($A400,'SegEnds_NonXtal_BW#'!$A:$Z,23,FALSE)+VLOOKUP($A400,A:AL,34,FALSE)-50),"-",(VLOOKUP($A400,'SegEnds_NonXtal_BW#'!$A:$Z,23,FALSE)+VLOOKUP($A400,A:AL,34,FALSE)-50))</f>
        <v>261</v>
      </c>
      <c r="AH400" s="3">
        <v>280</v>
      </c>
      <c r="AI400" s="3">
        <f>IF(ISERROR((VLOOKUP($A400,'SegEnds_NonXtal_BW#'!$A:$Z,24,FALSE)+VLOOKUP($A400,A:AL,34,FALSE)-50)),"-",(VLOOKUP($A400,'SegEnds_NonXtal_BW#'!$A:$Z,24,FALSE)+VLOOKUP($A400,A:AL,34,FALSE)-50))</f>
        <v>286</v>
      </c>
      <c r="AJ400" s="3">
        <f>IF(ISERROR(VLOOKUP($A400,'SegEnds_NonXtal_BW#'!$A:$Z,25,FALSE)+VLOOKUP($A400,A:AL,37,FALSE)-50),"-",(VLOOKUP($A400,'SegEnds_NonXtal_BW#'!$A:$Z,25,FALSE)+VLOOKUP($A400,A:AL,37,FALSE)-50))</f>
        <v>287</v>
      </c>
      <c r="AK400" s="3">
        <v>290</v>
      </c>
      <c r="AL400" s="3">
        <f>IF(ISERROR((VLOOKUP($A400,'SegEnds_NonXtal_BW#'!$A:$Z,26,FALSE)+VLOOKUP($A400,A:AL,37,FALSE)-50)),"-",(VLOOKUP($A400,'SegEnds_NonXtal_BW#'!$A:$Z,26,FALSE)+VLOOKUP($A400,A:AL,37,FALSE)-50))</f>
        <v>300</v>
      </c>
      <c r="AM400" s="28" t="str">
        <f>VLOOKUP(A400,Classification!A:B,2,FALSE)</f>
        <v>T</v>
      </c>
      <c r="AN400" s="28" t="b">
        <f t="shared" si="265"/>
        <v>1</v>
      </c>
      <c r="AO400" s="3" t="str">
        <f>IF(ISERROR(MATCH(A400,'SegEnds_Xtal_Prot#'!B:B, 0)), "NoXtal", "Xtal")</f>
        <v>NoXtal</v>
      </c>
      <c r="AP400" s="3">
        <f t="shared" si="250"/>
        <v>1</v>
      </c>
      <c r="AQ400" s="3">
        <f t="shared" si="251"/>
        <v>1</v>
      </c>
      <c r="AR400" s="3" t="str">
        <f t="shared" si="252"/>
        <v>-</v>
      </c>
      <c r="AS400" s="3" t="str">
        <f t="shared" si="253"/>
        <v>-</v>
      </c>
      <c r="AT400" s="3">
        <f t="shared" si="254"/>
        <v>3</v>
      </c>
      <c r="AU400" s="3">
        <f t="shared" si="255"/>
        <v>1</v>
      </c>
      <c r="AV400" s="3" t="str">
        <f t="shared" si="256"/>
        <v>-</v>
      </c>
      <c r="AW400" s="3" t="str">
        <f t="shared" si="257"/>
        <v>-</v>
      </c>
      <c r="AX400" s="3">
        <f t="shared" si="258"/>
        <v>10</v>
      </c>
      <c r="AY400" s="3">
        <f t="shared" si="259"/>
        <v>5</v>
      </c>
      <c r="AZ400" s="3">
        <f t="shared" si="260"/>
        <v>1</v>
      </c>
      <c r="BA400" s="3">
        <f>IF(ISERROR(LEN(VLOOKUP(A400,Seqs!A:E,2,FALSE))-AL400),"-",LEN(VLOOKUP(A400,Seqs!A:E,2,FALSE))-AL400)</f>
        <v>7</v>
      </c>
      <c r="BB400" s="16">
        <f t="shared" si="261"/>
        <v>31</v>
      </c>
      <c r="BC400" s="9">
        <f t="shared" si="262"/>
        <v>20</v>
      </c>
      <c r="BD400" s="3">
        <f t="shared" si="263"/>
        <v>31</v>
      </c>
      <c r="BE400" s="3">
        <f t="shared" si="264"/>
        <v>53</v>
      </c>
      <c r="BF400" s="3">
        <f t="shared" si="249"/>
        <v>35</v>
      </c>
    </row>
    <row r="401" spans="1:58" s="3" customFormat="1" x14ac:dyDescent="0.2">
      <c r="A401" s="3" t="s">
        <v>468</v>
      </c>
      <c r="B401" s="3" t="str">
        <f>LOWER(VLOOKUP(A401,Xtal_Templ!A:B,2,FALSE))</f>
        <v>hrh1_human</v>
      </c>
      <c r="C401" s="3">
        <f>VLOOKUP($A401,'SegEnds_NonXtal_BW#'!$A:$Z,3,FALSE)+D401-50</f>
        <v>6</v>
      </c>
      <c r="D401" s="3">
        <v>24</v>
      </c>
      <c r="E401" s="3">
        <f t="shared" si="244"/>
        <v>36</v>
      </c>
      <c r="F401" s="3">
        <f t="shared" si="245"/>
        <v>37</v>
      </c>
      <c r="G401" s="3">
        <v>39</v>
      </c>
      <c r="H401" s="3">
        <f t="shared" si="246"/>
        <v>40</v>
      </c>
      <c r="I401" s="3">
        <f t="shared" si="246"/>
        <v>41</v>
      </c>
      <c r="J401" s="3">
        <v>55</v>
      </c>
      <c r="K401" s="3">
        <f>VLOOKUP($A401,'SegEnds_NonXtal_BW#'!$A:$Z,8,FALSE)+VLOOKUP($A401,A:AL,10,FALSE)-50</f>
        <v>72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78</v>
      </c>
      <c r="P401" s="3">
        <v>107</v>
      </c>
      <c r="Q401" s="3">
        <f>VLOOKUP($A401,'SegEnds_NonXtal_BW#'!$A:$Z,12,FALSE)+VLOOKUP($A401,A:AL,16,FALSE)-50</f>
        <v>113</v>
      </c>
      <c r="R401" s="3">
        <f t="shared" si="247"/>
        <v>116</v>
      </c>
      <c r="S401" s="3">
        <v>116</v>
      </c>
      <c r="T401" s="100">
        <f t="shared" si="248"/>
        <v>123</v>
      </c>
      <c r="U401" s="9">
        <f>IF(ISERROR(VLOOKUP($A401,'SegEnds_NonXtal_BW#'!$A:$Z,15,FALSE)+VLOOKUP($A401,A:AL,22,FALSE)-50),"-",VLOOKUP($A401,'SegEnds_NonXtal_BW#'!$A:$Z,15,FALSE)+VLOOKUP($A401,A:AL,22,FALSE)-50)</f>
        <v>124</v>
      </c>
      <c r="V401" s="3">
        <v>136</v>
      </c>
      <c r="W401" s="3">
        <f>IF(ISERROR(VLOOKUP($A401,'SegEnds_NonXtal_BW#'!$A:$Z,16,FALSE)+VLOOKUP($A401,A:AL,22,FALSE)-50),"-",(VLOOKUP($A401,'SegEnds_NonXtal_BW#'!$A:$Z,16,FALSE)+VLOOKUP($A401,A:AL,22,FALSE)-50))</f>
        <v>148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174</v>
      </c>
      <c r="AB401" s="3">
        <v>192</v>
      </c>
      <c r="AC401" s="3">
        <f>IF(ISERROR((VLOOKUP($A401,'SegEnds_NonXtal_BW#'!$A:$Z,20,FALSE)+VLOOKUP($A401,A:AL,28,FALSE)-50)),"-",(VLOOKUP($A401,'SegEnds_NonXtal_BW#'!$A:$Z,20,FALSE)+VLOOKUP($A401,A:AL,28,FALSE)-50))</f>
        <v>214</v>
      </c>
      <c r="AD401" s="3">
        <f>IF(ISERROR(VLOOKUP($A401,'SegEnds_NonXtal_BW#'!$A:$Z,21,FALSE)+VLOOKUP($A401,A:AL,31,FALSE)-50),"-",(VLOOKUP($A401,'SegEnds_NonXtal_BW#'!$A:$Z,21,FALSE)+VLOOKUP($A401,A:AL,31,FALSE)-50))</f>
        <v>224</v>
      </c>
      <c r="AE401" s="3">
        <v>245</v>
      </c>
      <c r="AF401" s="3">
        <f>IF(ISERROR((VLOOKUP($A401,'SegEnds_NonXtal_BW#'!$A:$Z,22,FALSE)+VLOOKUP($A401,A:AL,31,FALSE)-50)),"-",(VLOOKUP($A401,'SegEnds_NonXtal_BW#'!$A:$Z,22,FALSE)+VLOOKUP($A401,A:AL,31,FALSE)-50))</f>
        <v>256</v>
      </c>
      <c r="AG401" s="3">
        <f>IF(ISERROR(VLOOKUP($A401,'SegEnds_NonXtal_BW#'!$A:$Z,23,FALSE)+VLOOKUP($A401,A:AL,34,FALSE)-50),"-",(VLOOKUP($A401,'SegEnds_NonXtal_BW#'!$A:$Z,23,FALSE)+VLOOKUP($A401,A:AL,34,FALSE)-50))</f>
        <v>262</v>
      </c>
      <c r="AH401" s="3">
        <v>281</v>
      </c>
      <c r="AI401" s="3">
        <f>IF(ISERROR((VLOOKUP($A401,'SegEnds_NonXtal_BW#'!$A:$Z,24,FALSE)+VLOOKUP($A401,A:AL,34,FALSE)-50)),"-",(VLOOKUP($A401,'SegEnds_NonXtal_BW#'!$A:$Z,24,FALSE)+VLOOKUP($A401,A:AL,34,FALSE)-50))</f>
        <v>287</v>
      </c>
      <c r="AJ401" s="3">
        <f>IF(ISERROR(VLOOKUP($A401,'SegEnds_NonXtal_BW#'!$A:$Z,25,FALSE)+VLOOKUP($A401,A:AL,37,FALSE)-50),"-",(VLOOKUP($A401,'SegEnds_NonXtal_BW#'!$A:$Z,25,FALSE)+VLOOKUP($A401,A:AL,37,FALSE)-50))</f>
        <v>288</v>
      </c>
      <c r="AK401" s="3">
        <v>291</v>
      </c>
      <c r="AL401" s="3">
        <f>IF(ISERROR((VLOOKUP($A401,'SegEnds_NonXtal_BW#'!$A:$Z,26,FALSE)+VLOOKUP($A401,A:AL,37,FALSE)-50)),"-",(VLOOKUP($A401,'SegEnds_NonXtal_BW#'!$A:$Z,26,FALSE)+VLOOKUP($A401,A:AL,37,FALSE)-50))</f>
        <v>301</v>
      </c>
      <c r="AM401" s="28" t="str">
        <f>VLOOKUP(A401,Classification!A:B,2,FALSE)</f>
        <v>T</v>
      </c>
      <c r="AN401" s="28" t="b">
        <f t="shared" si="265"/>
        <v>1</v>
      </c>
      <c r="AO401" s="3" t="str">
        <f>IF(ISERROR(MATCH(A401,'SegEnds_Xtal_Prot#'!B:B, 0)), "NoXtal", "Xtal")</f>
        <v>NoXtal</v>
      </c>
      <c r="AP401" s="3">
        <f t="shared" si="250"/>
        <v>1</v>
      </c>
      <c r="AQ401" s="3">
        <f t="shared" si="251"/>
        <v>1</v>
      </c>
      <c r="AR401" s="3" t="str">
        <f t="shared" si="252"/>
        <v>-</v>
      </c>
      <c r="AS401" s="3" t="str">
        <f t="shared" si="253"/>
        <v>-</v>
      </c>
      <c r="AT401" s="3">
        <f t="shared" si="254"/>
        <v>3</v>
      </c>
      <c r="AU401" s="3">
        <f t="shared" si="255"/>
        <v>1</v>
      </c>
      <c r="AV401" s="3" t="str">
        <f t="shared" si="256"/>
        <v>-</v>
      </c>
      <c r="AW401" s="3" t="str">
        <f t="shared" si="257"/>
        <v>-</v>
      </c>
      <c r="AX401" s="3">
        <f t="shared" si="258"/>
        <v>10</v>
      </c>
      <c r="AY401" s="3">
        <f t="shared" si="259"/>
        <v>6</v>
      </c>
      <c r="AZ401" s="3">
        <f t="shared" si="260"/>
        <v>1</v>
      </c>
      <c r="BA401" s="3">
        <f>IF(ISERROR(LEN(VLOOKUP(A401,Seqs!A:E,2,FALSE))-AL401),"-",LEN(VLOOKUP(A401,Seqs!A:E,2,FALSE))-AL401)</f>
        <v>13</v>
      </c>
      <c r="BB401" s="16">
        <f t="shared" si="261"/>
        <v>31</v>
      </c>
      <c r="BC401" s="9">
        <f t="shared" si="262"/>
        <v>20</v>
      </c>
      <c r="BD401" s="3">
        <f t="shared" si="263"/>
        <v>31</v>
      </c>
      <c r="BE401" s="3">
        <f t="shared" si="264"/>
        <v>53</v>
      </c>
      <c r="BF401" s="3">
        <f t="shared" si="249"/>
        <v>36</v>
      </c>
    </row>
    <row r="402" spans="1:58" s="3" customFormat="1" x14ac:dyDescent="0.2">
      <c r="A402" s="3" t="s">
        <v>469</v>
      </c>
      <c r="B402" s="3" t="str">
        <f>LOWER(VLOOKUP(A402,Xtal_Templ!A:B,2,FALSE))</f>
        <v>drd2_human</v>
      </c>
      <c r="C402" s="3">
        <f>VLOOKUP($A402,'SegEnds_NonXtal_BW#'!$A:$Z,3,FALSE)+D402-50</f>
        <v>6</v>
      </c>
      <c r="D402" s="3">
        <v>24</v>
      </c>
      <c r="E402" s="3">
        <f t="shared" si="244"/>
        <v>36</v>
      </c>
      <c r="F402" s="3">
        <f t="shared" si="245"/>
        <v>37</v>
      </c>
      <c r="G402" s="3">
        <v>39</v>
      </c>
      <c r="H402" s="3">
        <f t="shared" si="246"/>
        <v>40</v>
      </c>
      <c r="I402" s="3">
        <f t="shared" si="246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47"/>
        <v>115</v>
      </c>
      <c r="S402" s="3">
        <v>115</v>
      </c>
      <c r="T402" s="100">
        <f t="shared" si="248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147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65"/>
        <v>1</v>
      </c>
      <c r="AO402" s="3" t="str">
        <f>IF(ISERROR(MATCH(A402,'SegEnds_Xtal_Prot#'!B:B, 0)), "NoXtal", "Xtal")</f>
        <v>NoXtal</v>
      </c>
      <c r="AP402" s="3">
        <f t="shared" si="250"/>
        <v>1</v>
      </c>
      <c r="AQ402" s="3">
        <f t="shared" si="251"/>
        <v>1</v>
      </c>
      <c r="AR402" s="3" t="str">
        <f t="shared" si="252"/>
        <v>-</v>
      </c>
      <c r="AS402" s="3" t="str">
        <f t="shared" si="253"/>
        <v>-</v>
      </c>
      <c r="AT402" s="3">
        <f t="shared" si="254"/>
        <v>3</v>
      </c>
      <c r="AU402" s="3">
        <f t="shared" si="255"/>
        <v>1</v>
      </c>
      <c r="AV402" s="3" t="str">
        <f t="shared" si="256"/>
        <v>-</v>
      </c>
      <c r="AW402" s="3" t="str">
        <f t="shared" si="257"/>
        <v>-</v>
      </c>
      <c r="AX402" s="3">
        <f t="shared" si="258"/>
        <v>10</v>
      </c>
      <c r="AY402" s="3">
        <f t="shared" si="259"/>
        <v>6</v>
      </c>
      <c r="AZ402" s="3">
        <f t="shared" si="260"/>
        <v>1</v>
      </c>
      <c r="BA402" s="3">
        <f>IF(ISERROR(LEN(VLOOKUP(A402,Seqs!A:E,2,FALSE))-AL402),"-",LEN(VLOOKUP(A402,Seqs!A:E,2,FALSE))-AL402)</f>
        <v>13</v>
      </c>
      <c r="BB402" s="16">
        <f t="shared" si="261"/>
        <v>31</v>
      </c>
      <c r="BC402" s="9">
        <f t="shared" si="262"/>
        <v>20</v>
      </c>
      <c r="BD402" s="3">
        <f t="shared" si="263"/>
        <v>31</v>
      </c>
      <c r="BE402" s="3">
        <f t="shared" si="264"/>
        <v>53</v>
      </c>
      <c r="BF402" s="3">
        <f t="shared" si="249"/>
        <v>36</v>
      </c>
    </row>
    <row r="403" spans="1:58" s="3" customFormat="1" x14ac:dyDescent="0.2">
      <c r="A403" s="3" t="s">
        <v>929</v>
      </c>
      <c r="B403" s="3" t="str">
        <f>LOWER(VLOOKUP(A403,Xtal_Templ!A:B,2,FALSE))</f>
        <v>5ht2c_human</v>
      </c>
      <c r="C403" s="3">
        <f>VLOOKUP($A403,'SegEnds_NonXtal_BW#'!$A:$Z,3,FALSE)+D403-50</f>
        <v>6</v>
      </c>
      <c r="D403" s="3">
        <v>24</v>
      </c>
      <c r="E403" s="3">
        <f t="shared" si="244"/>
        <v>36</v>
      </c>
      <c r="F403" s="3">
        <f t="shared" si="245"/>
        <v>37</v>
      </c>
      <c r="G403" s="3">
        <v>39</v>
      </c>
      <c r="H403" s="3">
        <f t="shared" si="246"/>
        <v>40</v>
      </c>
      <c r="I403" s="3">
        <f t="shared" si="246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47"/>
        <v>115</v>
      </c>
      <c r="S403" s="3">
        <v>115</v>
      </c>
      <c r="T403" s="100">
        <f t="shared" si="248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152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222</v>
      </c>
      <c r="AE403" s="3">
        <v>243</v>
      </c>
      <c r="AF403" s="3">
        <f>IF(ISERROR((VLOOKUP($A403,'SegEnds_NonXtal_BW#'!$A:$Z,22,FALSE)+VLOOKUP($A403,A:AL,31,FALSE)-50)),"-",(VLOOKUP($A403,'SegEnds_NonXtal_BW#'!$A:$Z,22,FALSE)+VLOOKUP($A403,A:AL,31,FALSE)-50))</f>
        <v>254</v>
      </c>
      <c r="AG403" s="3">
        <f>IF(ISERROR(VLOOKUP($A403,'SegEnds_NonXtal_BW#'!$A:$Z,23,FALSE)+VLOOKUP($A403,A:AL,34,FALSE)-50),"-",(VLOOKUP($A403,'SegEnds_NonXtal_BW#'!$A:$Z,23,FALSE)+VLOOKUP($A403,A:AL,34,FALSE)-50))</f>
        <v>259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65"/>
        <v>1</v>
      </c>
      <c r="AO403" s="3" t="str">
        <f>IF(ISERROR(MATCH(A403,'SegEnds_Xtal_Prot#'!B:B, 0)), "NoXtal", "Xtal")</f>
        <v>NoXtal</v>
      </c>
      <c r="AP403" s="3">
        <f t="shared" si="250"/>
        <v>1</v>
      </c>
      <c r="AQ403" s="3">
        <f t="shared" si="251"/>
        <v>1</v>
      </c>
      <c r="AR403" s="3" t="str">
        <f t="shared" si="252"/>
        <v>-</v>
      </c>
      <c r="AS403" s="3" t="str">
        <f t="shared" si="253"/>
        <v>-</v>
      </c>
      <c r="AT403" s="3">
        <f t="shared" si="254"/>
        <v>3</v>
      </c>
      <c r="AU403" s="3">
        <f t="shared" si="255"/>
        <v>1</v>
      </c>
      <c r="AV403" s="3" t="str">
        <f t="shared" si="256"/>
        <v>-</v>
      </c>
      <c r="AW403" s="3" t="str">
        <f t="shared" si="257"/>
        <v>-</v>
      </c>
      <c r="AX403" s="3">
        <f t="shared" si="258"/>
        <v>13</v>
      </c>
      <c r="AY403" s="3">
        <f t="shared" si="259"/>
        <v>5</v>
      </c>
      <c r="AZ403" s="3">
        <f t="shared" si="260"/>
        <v>1</v>
      </c>
      <c r="BA403" s="3">
        <f>IF(ISERROR(LEN(VLOOKUP(A403,Seqs!A:E,2,FALSE))-AL403),"-",LEN(VLOOKUP(A403,Seqs!A:E,2,FALSE))-AL403)</f>
        <v>3</v>
      </c>
      <c r="BB403" s="16">
        <f t="shared" si="261"/>
        <v>31</v>
      </c>
      <c r="BC403" s="9">
        <f t="shared" si="262"/>
        <v>20</v>
      </c>
      <c r="BD403" s="3">
        <f t="shared" si="263"/>
        <v>31</v>
      </c>
      <c r="BE403" s="3">
        <f t="shared" si="264"/>
        <v>56</v>
      </c>
      <c r="BF403" s="3">
        <f t="shared" si="249"/>
        <v>33</v>
      </c>
    </row>
    <row r="404" spans="1:58" s="3" customFormat="1" x14ac:dyDescent="0.2">
      <c r="A404" s="3" t="s">
        <v>470</v>
      </c>
      <c r="B404" s="3" t="str">
        <f>LOWER(VLOOKUP(A404,Xtal_Templ!A:B,2,FALSE))</f>
        <v>5ht2c_human</v>
      </c>
      <c r="C404" s="3">
        <f>VLOOKUP($A404,'SegEnds_NonXtal_BW#'!$A:$Z,3,FALSE)+D404-50</f>
        <v>6</v>
      </c>
      <c r="D404" s="3">
        <v>24</v>
      </c>
      <c r="E404" s="3">
        <f t="shared" si="244"/>
        <v>36</v>
      </c>
      <c r="F404" s="3">
        <f t="shared" si="245"/>
        <v>37</v>
      </c>
      <c r="G404" s="3">
        <v>39</v>
      </c>
      <c r="H404" s="3">
        <f t="shared" si="246"/>
        <v>40</v>
      </c>
      <c r="I404" s="3">
        <f t="shared" si="246"/>
        <v>41</v>
      </c>
      <c r="J404" s="3">
        <v>55</v>
      </c>
      <c r="K404" s="3">
        <f>VLOOKUP($A404,'SegEnds_NonXtal_BW#'!$A:$Z,8,FALSE)+VLOOKUP($A404,A:AL,10,FALSE)-50</f>
        <v>71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77</v>
      </c>
      <c r="P404" s="3">
        <v>106</v>
      </c>
      <c r="Q404" s="3">
        <f>VLOOKUP($A404,'SegEnds_NonXtal_BW#'!$A:$Z,12,FALSE)+VLOOKUP($A404,A:AL,16,FALSE)-50</f>
        <v>112</v>
      </c>
      <c r="R404" s="3">
        <f t="shared" si="247"/>
        <v>115</v>
      </c>
      <c r="S404" s="3">
        <v>115</v>
      </c>
      <c r="T404" s="100">
        <f t="shared" si="248"/>
        <v>122</v>
      </c>
      <c r="U404" s="9">
        <f>IF(ISERROR(VLOOKUP($A404,'SegEnds_NonXtal_BW#'!$A:$Z,15,FALSE)+VLOOKUP($A404,A:AL,22,FALSE)-50),"-",VLOOKUP($A404,'SegEnds_NonXtal_BW#'!$A:$Z,15,FALSE)+VLOOKUP($A404,A:AL,22,FALSE)-50)</f>
        <v>123</v>
      </c>
      <c r="V404" s="3">
        <v>135</v>
      </c>
      <c r="W404" s="3">
        <f>IF(ISERROR(VLOOKUP($A404,'SegEnds_NonXtal_BW#'!$A:$Z,16,FALSE)+VLOOKUP($A404,A:AL,22,FALSE)-50),"-",(VLOOKUP($A404,'SegEnds_NonXtal_BW#'!$A:$Z,16,FALSE)+VLOOKUP($A404,A:AL,22,FALSE)-50))</f>
        <v>152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169</v>
      </c>
      <c r="AB404" s="3">
        <v>187</v>
      </c>
      <c r="AC404" s="3">
        <f>IF(ISERROR((VLOOKUP($A404,'SegEnds_NonXtal_BW#'!$A:$Z,20,FALSE)+VLOOKUP($A404,A:AL,28,FALSE)-50)),"-",(VLOOKUP($A404,'SegEnds_NonXtal_BW#'!$A:$Z,20,FALSE)+VLOOKUP($A404,A:AL,28,FALSE)-50))</f>
        <v>209</v>
      </c>
      <c r="AD404" s="3">
        <f>IF(ISERROR(VLOOKUP($A404,'SegEnds_NonXtal_BW#'!$A:$Z,21,FALSE)+VLOOKUP($A404,A:AL,31,FALSE)-50),"-",(VLOOKUP($A404,'SegEnds_NonXtal_BW#'!$A:$Z,21,FALSE)+VLOOKUP($A404,A:AL,31,FALSE)-50))</f>
        <v>219</v>
      </c>
      <c r="AE404" s="3">
        <v>240</v>
      </c>
      <c r="AF404" s="3">
        <f>IF(ISERROR((VLOOKUP($A404,'SegEnds_NonXtal_BW#'!$A:$Z,22,FALSE)+VLOOKUP($A404,A:AL,31,FALSE)-50)),"-",(VLOOKUP($A404,'SegEnds_NonXtal_BW#'!$A:$Z,22,FALSE)+VLOOKUP($A404,A:AL,31,FALSE)-50))</f>
        <v>251</v>
      </c>
      <c r="AG404" s="3">
        <f>IF(ISERROR(VLOOKUP($A404,'SegEnds_NonXtal_BW#'!$A:$Z,23,FALSE)+VLOOKUP($A404,A:AL,34,FALSE)-50),"-",(VLOOKUP($A404,'SegEnds_NonXtal_BW#'!$A:$Z,23,FALSE)+VLOOKUP($A404,A:AL,34,FALSE)-50))</f>
        <v>257</v>
      </c>
      <c r="AH404" s="3">
        <v>276</v>
      </c>
      <c r="AI404" s="3">
        <f>IF(ISERROR((VLOOKUP($A404,'SegEnds_NonXtal_BW#'!$A:$Z,24,FALSE)+VLOOKUP($A404,A:AL,34,FALSE)-50)),"-",(VLOOKUP($A404,'SegEnds_NonXtal_BW#'!$A:$Z,24,FALSE)+VLOOKUP($A404,A:AL,34,FALSE)-50))</f>
        <v>282</v>
      </c>
      <c r="AJ404" s="3">
        <f>IF(ISERROR(VLOOKUP($A404,'SegEnds_NonXtal_BW#'!$A:$Z,25,FALSE)+VLOOKUP($A404,A:AL,37,FALSE)-50),"-",(VLOOKUP($A404,'SegEnds_NonXtal_BW#'!$A:$Z,25,FALSE)+VLOOKUP($A404,A:AL,37,FALSE)-50))</f>
        <v>283</v>
      </c>
      <c r="AK404" s="3">
        <v>286</v>
      </c>
      <c r="AL404" s="3">
        <f>IF(ISERROR((VLOOKUP($A404,'SegEnds_NonXtal_BW#'!$A:$Z,26,FALSE)+VLOOKUP($A404,A:AL,37,FALSE)-50)),"-",(VLOOKUP($A404,'SegEnds_NonXtal_BW#'!$A:$Z,26,FALSE)+VLOOKUP($A404,A:AL,37,FALSE)-50))</f>
        <v>296</v>
      </c>
      <c r="AM404" s="28" t="str">
        <f>VLOOKUP(A404,Classification!A:B,2,FALSE)</f>
        <v>T</v>
      </c>
      <c r="AN404" s="28" t="b">
        <f t="shared" si="265"/>
        <v>1</v>
      </c>
      <c r="AO404" s="3" t="str">
        <f>IF(ISERROR(MATCH(A404,'SegEnds_Xtal_Prot#'!B:B, 0)), "NoXtal", "Xtal")</f>
        <v>NoXtal</v>
      </c>
      <c r="AP404" s="3">
        <f t="shared" si="250"/>
        <v>1</v>
      </c>
      <c r="AQ404" s="3">
        <f t="shared" si="251"/>
        <v>1</v>
      </c>
      <c r="AR404" s="3" t="str">
        <f t="shared" si="252"/>
        <v>-</v>
      </c>
      <c r="AS404" s="3" t="str">
        <f t="shared" si="253"/>
        <v>-</v>
      </c>
      <c r="AT404" s="3">
        <f t="shared" si="254"/>
        <v>3</v>
      </c>
      <c r="AU404" s="3">
        <f t="shared" si="255"/>
        <v>1</v>
      </c>
      <c r="AV404" s="3" t="str">
        <f t="shared" si="256"/>
        <v>-</v>
      </c>
      <c r="AW404" s="3" t="str">
        <f t="shared" si="257"/>
        <v>-</v>
      </c>
      <c r="AX404" s="3">
        <f t="shared" si="258"/>
        <v>10</v>
      </c>
      <c r="AY404" s="3">
        <f t="shared" si="259"/>
        <v>6</v>
      </c>
      <c r="AZ404" s="3">
        <f t="shared" si="260"/>
        <v>1</v>
      </c>
      <c r="BA404" s="3">
        <f>IF(ISERROR(LEN(VLOOKUP(A404,Seqs!A:E,2,FALSE))-AL404),"-",LEN(VLOOKUP(A404,Seqs!A:E,2,FALSE))-AL404)</f>
        <v>13</v>
      </c>
      <c r="BB404" s="16">
        <f t="shared" si="261"/>
        <v>31</v>
      </c>
      <c r="BC404" s="9">
        <f t="shared" si="262"/>
        <v>20</v>
      </c>
      <c r="BD404" s="3">
        <f t="shared" si="263"/>
        <v>31</v>
      </c>
      <c r="BE404" s="3">
        <f t="shared" si="264"/>
        <v>53</v>
      </c>
      <c r="BF404" s="3">
        <f t="shared" si="249"/>
        <v>36</v>
      </c>
    </row>
    <row r="405" spans="1:58" s="3" customFormat="1" x14ac:dyDescent="0.2">
      <c r="A405" s="3" t="s">
        <v>471</v>
      </c>
      <c r="B405" s="3" t="str">
        <f>LOWER(VLOOKUP(A405,Xtal_Templ!A:B,2,FALSE))</f>
        <v>drd2_human</v>
      </c>
      <c r="C405" s="3">
        <f>VLOOKUP($A405,'SegEnds_NonXtal_BW#'!$A:$Z,3,FALSE)+D405-50</f>
        <v>6</v>
      </c>
      <c r="D405" s="3">
        <v>24</v>
      </c>
      <c r="E405" s="3">
        <f t="shared" si="244"/>
        <v>36</v>
      </c>
      <c r="F405" s="3">
        <f t="shared" si="245"/>
        <v>37</v>
      </c>
      <c r="G405" s="3">
        <v>39</v>
      </c>
      <c r="H405" s="3">
        <f t="shared" si="246"/>
        <v>40</v>
      </c>
      <c r="I405" s="3">
        <f t="shared" si="246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106</v>
      </c>
      <c r="Q405" s="3">
        <f>VLOOKUP($A405,'SegEnds_NonXtal_BW#'!$A:$Z,12,FALSE)+VLOOKUP($A405,A:AL,16,FALSE)-50</f>
        <v>112</v>
      </c>
      <c r="R405" s="3">
        <f t="shared" si="247"/>
        <v>115</v>
      </c>
      <c r="S405" s="3">
        <v>115</v>
      </c>
      <c r="T405" s="100">
        <f t="shared" si="248"/>
        <v>122</v>
      </c>
      <c r="U405" s="9">
        <f>IF(ISERROR(VLOOKUP($A405,'SegEnds_NonXtal_BW#'!$A:$Z,15,FALSE)+VLOOKUP($A405,A:AL,22,FALSE)-50),"-",VLOOKUP($A405,'SegEnds_NonXtal_BW#'!$A:$Z,15,FALSE)+VLOOKUP($A405,A:AL,22,FALSE)-50)</f>
        <v>123</v>
      </c>
      <c r="V405" s="3">
        <v>135</v>
      </c>
      <c r="W405" s="3">
        <f>IF(ISERROR(VLOOKUP($A405,'SegEnds_NonXtal_BW#'!$A:$Z,16,FALSE)+VLOOKUP($A405,A:AL,22,FALSE)-50),"-",(VLOOKUP($A405,'SegEnds_NonXtal_BW#'!$A:$Z,16,FALSE)+VLOOKUP($A405,A:AL,22,FALSE)-50))</f>
        <v>147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169</v>
      </c>
      <c r="AB405" s="3">
        <v>187</v>
      </c>
      <c r="AC405" s="3">
        <f>IF(ISERROR((VLOOKUP($A405,'SegEnds_NonXtal_BW#'!$A:$Z,20,FALSE)+VLOOKUP($A405,A:AL,28,FALSE)-50)),"-",(VLOOKUP($A405,'SegEnds_NonXtal_BW#'!$A:$Z,20,FALSE)+VLOOKUP($A405,A:AL,28,FALSE)-50))</f>
        <v>209</v>
      </c>
      <c r="AD405" s="3">
        <f>IF(ISERROR(VLOOKUP($A405,'SegEnds_NonXtal_BW#'!$A:$Z,21,FALSE)+VLOOKUP($A405,A:AL,31,FALSE)-50),"-",(VLOOKUP($A405,'SegEnds_NonXtal_BW#'!$A:$Z,21,FALSE)+VLOOKUP($A405,A:AL,31,FALSE)-50))</f>
        <v>219</v>
      </c>
      <c r="AE405" s="3">
        <v>240</v>
      </c>
      <c r="AF405" s="3">
        <f>IF(ISERROR((VLOOKUP($A405,'SegEnds_NonXtal_BW#'!$A:$Z,22,FALSE)+VLOOKUP($A405,A:AL,31,FALSE)-50)),"-",(VLOOKUP($A405,'SegEnds_NonXtal_BW#'!$A:$Z,22,FALSE)+VLOOKUP($A405,A:AL,31,FALSE)-50))</f>
        <v>251</v>
      </c>
      <c r="AG405" s="3">
        <f>IF(ISERROR(VLOOKUP($A405,'SegEnds_NonXtal_BW#'!$A:$Z,23,FALSE)+VLOOKUP($A405,A:AL,34,FALSE)-50),"-",(VLOOKUP($A405,'SegEnds_NonXtal_BW#'!$A:$Z,23,FALSE)+VLOOKUP($A405,A:AL,34,FALSE)-50))</f>
        <v>257</v>
      </c>
      <c r="AH405" s="3">
        <v>276</v>
      </c>
      <c r="AI405" s="3">
        <f>IF(ISERROR((VLOOKUP($A405,'SegEnds_NonXtal_BW#'!$A:$Z,24,FALSE)+VLOOKUP($A405,A:AL,34,FALSE)-50)),"-",(VLOOKUP($A405,'SegEnds_NonXtal_BW#'!$A:$Z,24,FALSE)+VLOOKUP($A405,A:AL,34,FALSE)-50))</f>
        <v>282</v>
      </c>
      <c r="AJ405" s="3">
        <f>IF(ISERROR(VLOOKUP($A405,'SegEnds_NonXtal_BW#'!$A:$Z,25,FALSE)+VLOOKUP($A405,A:AL,37,FALSE)-50),"-",(VLOOKUP($A405,'SegEnds_NonXtal_BW#'!$A:$Z,25,FALSE)+VLOOKUP($A405,A:AL,37,FALSE)-50))</f>
        <v>283</v>
      </c>
      <c r="AK405" s="3">
        <v>286</v>
      </c>
      <c r="AL405" s="3">
        <f>IF(ISERROR((VLOOKUP($A405,'SegEnds_NonXtal_BW#'!$A:$Z,26,FALSE)+VLOOKUP($A405,A:AL,37,FALSE)-50)),"-",(VLOOKUP($A405,'SegEnds_NonXtal_BW#'!$A:$Z,26,FALSE)+VLOOKUP($A405,A:AL,37,FALSE)-50))</f>
        <v>296</v>
      </c>
      <c r="AM405" s="28" t="str">
        <f>VLOOKUP(A405,Classification!A:B,2,FALSE)</f>
        <v>T</v>
      </c>
      <c r="AN405" s="28" t="b">
        <f t="shared" si="265"/>
        <v>1</v>
      </c>
      <c r="AO405" s="3" t="str">
        <f>IF(ISERROR(MATCH(A405,'SegEnds_Xtal_Prot#'!B:B, 0)), "NoXtal", "Xtal")</f>
        <v>NoXtal</v>
      </c>
      <c r="AP405" s="3">
        <f t="shared" si="250"/>
        <v>1</v>
      </c>
      <c r="AQ405" s="3">
        <f t="shared" si="251"/>
        <v>1</v>
      </c>
      <c r="AR405" s="3" t="str">
        <f t="shared" si="252"/>
        <v>-</v>
      </c>
      <c r="AS405" s="3" t="str">
        <f t="shared" si="253"/>
        <v>-</v>
      </c>
      <c r="AT405" s="3">
        <f t="shared" si="254"/>
        <v>3</v>
      </c>
      <c r="AU405" s="3">
        <f t="shared" si="255"/>
        <v>1</v>
      </c>
      <c r="AV405" s="3" t="str">
        <f t="shared" si="256"/>
        <v>-</v>
      </c>
      <c r="AW405" s="3" t="str">
        <f t="shared" si="257"/>
        <v>-</v>
      </c>
      <c r="AX405" s="3">
        <f t="shared" si="258"/>
        <v>10</v>
      </c>
      <c r="AY405" s="3">
        <f t="shared" si="259"/>
        <v>6</v>
      </c>
      <c r="AZ405" s="3">
        <f t="shared" si="260"/>
        <v>1</v>
      </c>
      <c r="BA405" s="3">
        <f>IF(ISERROR(LEN(VLOOKUP(A405,Seqs!A:E,2,FALSE))-AL405),"-",LEN(VLOOKUP(A405,Seqs!A:E,2,FALSE))-AL405)</f>
        <v>3</v>
      </c>
      <c r="BB405" s="16">
        <f t="shared" si="261"/>
        <v>31</v>
      </c>
      <c r="BC405" s="9">
        <f t="shared" si="262"/>
        <v>20</v>
      </c>
      <c r="BD405" s="3">
        <f t="shared" si="263"/>
        <v>31</v>
      </c>
      <c r="BE405" s="3">
        <f t="shared" si="264"/>
        <v>53</v>
      </c>
      <c r="BF405" s="3">
        <f t="shared" si="249"/>
        <v>36</v>
      </c>
    </row>
    <row r="406" spans="1:58" s="3" customFormat="1" x14ac:dyDescent="0.2">
      <c r="A406" s="3" t="s">
        <v>472</v>
      </c>
      <c r="B406" s="3" t="str">
        <f>LOWER(VLOOKUP(A406,Xtal_Templ!A:B,2,FALSE))</f>
        <v>oprk_human</v>
      </c>
      <c r="C406" s="3">
        <f>VLOOKUP($A406,'SegEnds_NonXtal_BW#'!$A:$Z,3,FALSE)+D406-50</f>
        <v>17</v>
      </c>
      <c r="D406" s="3">
        <v>35</v>
      </c>
      <c r="E406" s="3">
        <f t="shared" si="244"/>
        <v>47</v>
      </c>
      <c r="F406" s="3">
        <f t="shared" si="245"/>
        <v>48</v>
      </c>
      <c r="G406" s="3">
        <v>50</v>
      </c>
      <c r="H406" s="3">
        <f t="shared" si="246"/>
        <v>51</v>
      </c>
      <c r="I406" s="3">
        <f t="shared" si="246"/>
        <v>52</v>
      </c>
      <c r="J406" s="3">
        <v>66</v>
      </c>
      <c r="K406" s="3">
        <f>VLOOKUP($A406,'SegEnds_NonXtal_BW#'!$A:$Z,8,FALSE)+VLOOKUP($A406,A:AL,10,FALSE)-50</f>
        <v>82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86</v>
      </c>
      <c r="P406" s="3">
        <v>118</v>
      </c>
      <c r="Q406" s="3">
        <f>VLOOKUP($A406,'SegEnds_NonXtal_BW#'!$A:$Z,12,FALSE)+VLOOKUP($A406,A:AL,16,FALSE)-50</f>
        <v>124</v>
      </c>
      <c r="R406" s="3">
        <f t="shared" si="247"/>
        <v>127</v>
      </c>
      <c r="S406" s="3">
        <v>127</v>
      </c>
      <c r="T406" s="100">
        <f t="shared" si="248"/>
        <v>134</v>
      </c>
      <c r="U406" s="9">
        <f>IF(ISERROR(VLOOKUP($A406,'SegEnds_NonXtal_BW#'!$A:$Z,15,FALSE)+VLOOKUP($A406,A:AL,22,FALSE)-50),"-",VLOOKUP($A406,'SegEnds_NonXtal_BW#'!$A:$Z,15,FALSE)+VLOOKUP($A406,A:AL,22,FALSE)-50)</f>
        <v>135</v>
      </c>
      <c r="V406" s="3">
        <v>147</v>
      </c>
      <c r="W406" s="3">
        <f>IF(ISERROR(VLOOKUP($A406,'SegEnds_NonXtal_BW#'!$A:$Z,16,FALSE)+VLOOKUP($A406,A:AL,22,FALSE)-50),"-",(VLOOKUP($A406,'SegEnds_NonXtal_BW#'!$A:$Z,16,FALSE)+VLOOKUP($A406,A:AL,22,FALSE)-50))</f>
        <v>161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187</v>
      </c>
      <c r="AB406" s="3">
        <v>205</v>
      </c>
      <c r="AC406" s="3">
        <f>IF(ISERROR((VLOOKUP($A406,'SegEnds_NonXtal_BW#'!$A:$Z,20,FALSE)+VLOOKUP($A406,A:AL,28,FALSE)-50)),"-",(VLOOKUP($A406,'SegEnds_NonXtal_BW#'!$A:$Z,20,FALSE)+VLOOKUP($A406,A:AL,28,FALSE)-50))</f>
        <v>227</v>
      </c>
      <c r="AD406" s="3">
        <f>IF(ISERROR(VLOOKUP($A406,'SegEnds_NonXtal_BW#'!$A:$Z,21,FALSE)+VLOOKUP($A406,A:AL,31,FALSE)-50),"-",(VLOOKUP($A406,'SegEnds_NonXtal_BW#'!$A:$Z,21,FALSE)+VLOOKUP($A406,A:AL,31,FALSE)-50))</f>
        <v>237</v>
      </c>
      <c r="AE406" s="3">
        <v>258</v>
      </c>
      <c r="AF406" s="3">
        <f>IF(ISERROR((VLOOKUP($A406,'SegEnds_NonXtal_BW#'!$A:$Z,22,FALSE)+VLOOKUP($A406,A:AL,31,FALSE)-50)),"-",(VLOOKUP($A406,'SegEnds_NonXtal_BW#'!$A:$Z,22,FALSE)+VLOOKUP($A406,A:AL,31,FALSE)-50))</f>
        <v>269</v>
      </c>
      <c r="AG406" s="3">
        <f>IF(ISERROR(VLOOKUP($A406,'SegEnds_NonXtal_BW#'!$A:$Z,23,FALSE)+VLOOKUP($A406,A:AL,34,FALSE)-50),"-",(VLOOKUP($A406,'SegEnds_NonXtal_BW#'!$A:$Z,23,FALSE)+VLOOKUP($A406,A:AL,34,FALSE)-50))</f>
        <v>274</v>
      </c>
      <c r="AH406" s="3">
        <v>293</v>
      </c>
      <c r="AI406" s="3">
        <f>IF(ISERROR((VLOOKUP($A406,'SegEnds_NonXtal_BW#'!$A:$Z,24,FALSE)+VLOOKUP($A406,A:AL,34,FALSE)-50)),"-",(VLOOKUP($A406,'SegEnds_NonXtal_BW#'!$A:$Z,24,FALSE)+VLOOKUP($A406,A:AL,34,FALSE)-50))</f>
        <v>299</v>
      </c>
      <c r="AJ406" s="3">
        <f>IF(ISERROR(VLOOKUP($A406,'SegEnds_NonXtal_BW#'!$A:$Z,25,FALSE)+VLOOKUP($A406,A:AL,37,FALSE)-50),"-",(VLOOKUP($A406,'SegEnds_NonXtal_BW#'!$A:$Z,25,FALSE)+VLOOKUP($A406,A:AL,37,FALSE)-50))</f>
        <v>300</v>
      </c>
      <c r="AK406" s="3">
        <v>303</v>
      </c>
      <c r="AL406" s="3">
        <f>IF(ISERROR((VLOOKUP($A406,'SegEnds_NonXtal_BW#'!$A:$Z,26,FALSE)+VLOOKUP($A406,A:AL,37,FALSE)-50)),"-",(VLOOKUP($A406,'SegEnds_NonXtal_BW#'!$A:$Z,26,FALSE)+VLOOKUP($A406,A:AL,37,FALSE)-50))</f>
        <v>313</v>
      </c>
      <c r="AM406" s="28" t="str">
        <f>VLOOKUP(A406,Classification!A:B,2,FALSE)</f>
        <v>T</v>
      </c>
      <c r="AN406" s="28" t="b">
        <f t="shared" si="265"/>
        <v>1</v>
      </c>
      <c r="AO406" s="3" t="str">
        <f>IF(ISERROR(MATCH(A406,'SegEnds_Xtal_Prot#'!B:B, 0)), "NoXtal", "Xtal")</f>
        <v>NoXtal</v>
      </c>
      <c r="AP406" s="3">
        <f t="shared" si="250"/>
        <v>1</v>
      </c>
      <c r="AQ406" s="3">
        <f t="shared" si="251"/>
        <v>1</v>
      </c>
      <c r="AR406" s="3" t="str">
        <f t="shared" si="252"/>
        <v>-</v>
      </c>
      <c r="AS406" s="3" t="str">
        <f t="shared" si="253"/>
        <v>-</v>
      </c>
      <c r="AT406" s="3">
        <f t="shared" si="254"/>
        <v>3</v>
      </c>
      <c r="AU406" s="3">
        <f t="shared" si="255"/>
        <v>1</v>
      </c>
      <c r="AV406" s="3" t="str">
        <f t="shared" si="256"/>
        <v>-</v>
      </c>
      <c r="AW406" s="3" t="str">
        <f t="shared" si="257"/>
        <v>-</v>
      </c>
      <c r="AX406" s="3">
        <f t="shared" si="258"/>
        <v>10</v>
      </c>
      <c r="AY406" s="3">
        <f t="shared" si="259"/>
        <v>5</v>
      </c>
      <c r="AZ406" s="3">
        <f t="shared" si="260"/>
        <v>1</v>
      </c>
      <c r="BA406" s="3">
        <f>IF(ISERROR(LEN(VLOOKUP(A406,Seqs!A:E,2,FALSE))-AL406),"-",LEN(VLOOKUP(A406,Seqs!A:E,2,FALSE))-AL406)</f>
        <v>5</v>
      </c>
      <c r="BB406" s="16">
        <f t="shared" si="261"/>
        <v>31</v>
      </c>
      <c r="BC406" s="9">
        <f t="shared" si="262"/>
        <v>20</v>
      </c>
      <c r="BD406" s="3">
        <f t="shared" si="263"/>
        <v>31</v>
      </c>
      <c r="BE406" s="3">
        <f t="shared" si="264"/>
        <v>53</v>
      </c>
      <c r="BF406" s="3">
        <f t="shared" si="249"/>
        <v>35</v>
      </c>
    </row>
    <row r="407" spans="1:58" s="3" customFormat="1" x14ac:dyDescent="0.2">
      <c r="A407" s="3" t="s">
        <v>474</v>
      </c>
      <c r="B407" s="3" t="str">
        <f>LOWER(VLOOKUP(A407,Xtal_Templ!A:B,2,FALSE))</f>
        <v>cxcr4_human</v>
      </c>
      <c r="C407" s="3">
        <f>VLOOKUP($A407,'SegEnds_NonXtal_BW#'!$A:$Z,3,FALSE)+D407-50</f>
        <v>6</v>
      </c>
      <c r="D407" s="3">
        <v>24</v>
      </c>
      <c r="E407" s="3">
        <f t="shared" si="244"/>
        <v>36</v>
      </c>
      <c r="F407" s="3">
        <f t="shared" si="245"/>
        <v>37</v>
      </c>
      <c r="G407" s="3">
        <v>39</v>
      </c>
      <c r="H407" s="3">
        <f t="shared" si="246"/>
        <v>40</v>
      </c>
      <c r="I407" s="3">
        <f t="shared" si="246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103</v>
      </c>
      <c r="Q407" s="3">
        <f>VLOOKUP($A407,'SegEnds_NonXtal_BW#'!$A:$Z,12,FALSE)+VLOOKUP($A407,A:AL,16,FALSE)-50</f>
        <v>109</v>
      </c>
      <c r="R407" s="3">
        <f t="shared" si="247"/>
        <v>112</v>
      </c>
      <c r="S407" s="3">
        <v>112</v>
      </c>
      <c r="T407" s="100">
        <f t="shared" si="248"/>
        <v>119</v>
      </c>
      <c r="U407" s="9">
        <f>IF(ISERROR(VLOOKUP($A407,'SegEnds_NonXtal_BW#'!$A:$Z,15,FALSE)+VLOOKUP($A407,A:AL,22,FALSE)-50),"-",VLOOKUP($A407,'SegEnds_NonXtal_BW#'!$A:$Z,15,FALSE)+VLOOKUP($A407,A:AL,22,FALSE)-50)</f>
        <v>120</v>
      </c>
      <c r="V407" s="3">
        <v>132</v>
      </c>
      <c r="W407" s="3">
        <f>IF(ISERROR(VLOOKUP($A407,'SegEnds_NonXtal_BW#'!$A:$Z,16,FALSE)+VLOOKUP($A407,A:AL,22,FALSE)-50),"-",(VLOOKUP($A407,'SegEnds_NonXtal_BW#'!$A:$Z,16,FALSE)+VLOOKUP($A407,A:AL,22,FALSE)-50))</f>
        <v>146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168</v>
      </c>
      <c r="AB407" s="3">
        <v>186</v>
      </c>
      <c r="AC407" s="3">
        <f>IF(ISERROR((VLOOKUP($A407,'SegEnds_NonXtal_BW#'!$A:$Z,20,FALSE)+VLOOKUP($A407,A:AL,28,FALSE)-50)),"-",(VLOOKUP($A407,'SegEnds_NonXtal_BW#'!$A:$Z,20,FALSE)+VLOOKUP($A407,A:AL,28,FALSE)-50))</f>
        <v>208</v>
      </c>
      <c r="AD407" s="3">
        <f>IF(ISERROR(VLOOKUP($A407,'SegEnds_NonXtal_BW#'!$A:$Z,21,FALSE)+VLOOKUP($A407,A:AL,31,FALSE)-50),"-",(VLOOKUP($A407,'SegEnds_NonXtal_BW#'!$A:$Z,21,FALSE)+VLOOKUP($A407,A:AL,31,FALSE)-50))</f>
        <v>218</v>
      </c>
      <c r="AE407" s="3">
        <v>239</v>
      </c>
      <c r="AF407" s="3">
        <f>IF(ISERROR((VLOOKUP($A407,'SegEnds_NonXtal_BW#'!$A:$Z,22,FALSE)+VLOOKUP($A407,A:AL,31,FALSE)-50)),"-",(VLOOKUP($A407,'SegEnds_NonXtal_BW#'!$A:$Z,22,FALSE)+VLOOKUP($A407,A:AL,31,FALSE)-50))</f>
        <v>250</v>
      </c>
      <c r="AG407" s="3">
        <f>IF(ISERROR(VLOOKUP($A407,'SegEnds_NonXtal_BW#'!$A:$Z,23,FALSE)+VLOOKUP($A407,A:AL,34,FALSE)-50),"-",(VLOOKUP($A407,'SegEnds_NonXtal_BW#'!$A:$Z,23,FALSE)+VLOOKUP($A407,A:AL,34,FALSE)-50))</f>
        <v>255</v>
      </c>
      <c r="AH407" s="3">
        <v>274</v>
      </c>
      <c r="AI407" s="3">
        <f>IF(ISERROR((VLOOKUP($A407,'SegEnds_NonXtal_BW#'!$A:$Z,24,FALSE)+VLOOKUP($A407,A:AL,34,FALSE)-50)),"-",(VLOOKUP($A407,'SegEnds_NonXtal_BW#'!$A:$Z,24,FALSE)+VLOOKUP($A407,A:AL,34,FALSE)-50))</f>
        <v>280</v>
      </c>
      <c r="AJ407" s="3">
        <f>IF(ISERROR(VLOOKUP($A407,'SegEnds_NonXtal_BW#'!$A:$Z,25,FALSE)+VLOOKUP($A407,A:AL,37,FALSE)-50),"-",(VLOOKUP($A407,'SegEnds_NonXtal_BW#'!$A:$Z,25,FALSE)+VLOOKUP($A407,A:AL,37,FALSE)-50))</f>
        <v>281</v>
      </c>
      <c r="AK407" s="3">
        <v>284</v>
      </c>
      <c r="AL407" s="3">
        <f>IF(ISERROR((VLOOKUP($A407,'SegEnds_NonXtal_BW#'!$A:$Z,26,FALSE)+VLOOKUP($A407,A:AL,37,FALSE)-50)),"-",(VLOOKUP($A407,'SegEnds_NonXtal_BW#'!$A:$Z,26,FALSE)+VLOOKUP($A407,A:AL,37,FALSE)-50))</f>
        <v>294</v>
      </c>
      <c r="AM407" s="28" t="str">
        <f>VLOOKUP(A407,Classification!A:B,2,FALSE)</f>
        <v>T</v>
      </c>
      <c r="AN407" s="28" t="b">
        <f t="shared" si="265"/>
        <v>1</v>
      </c>
      <c r="AO407" s="3" t="str">
        <f>IF(ISERROR(MATCH(A407,'SegEnds_Xtal_Prot#'!B:B, 0)), "NoXtal", "Xtal")</f>
        <v>NoXtal</v>
      </c>
      <c r="AP407" s="3">
        <f t="shared" si="250"/>
        <v>1</v>
      </c>
      <c r="AQ407" s="3">
        <f t="shared" si="251"/>
        <v>1</v>
      </c>
      <c r="AR407" s="3" t="str">
        <f t="shared" si="252"/>
        <v>-</v>
      </c>
      <c r="AS407" s="3" t="str">
        <f t="shared" si="253"/>
        <v>-</v>
      </c>
      <c r="AT407" s="3">
        <f t="shared" si="254"/>
        <v>3</v>
      </c>
      <c r="AU407" s="3">
        <f t="shared" si="255"/>
        <v>1</v>
      </c>
      <c r="AV407" s="3" t="str">
        <f t="shared" si="256"/>
        <v>-</v>
      </c>
      <c r="AW407" s="3" t="str">
        <f t="shared" si="257"/>
        <v>-</v>
      </c>
      <c r="AX407" s="3">
        <f t="shared" si="258"/>
        <v>10</v>
      </c>
      <c r="AY407" s="3">
        <f t="shared" si="259"/>
        <v>5</v>
      </c>
      <c r="AZ407" s="3">
        <f t="shared" si="260"/>
        <v>1</v>
      </c>
      <c r="BA407" s="3">
        <f>IF(ISERROR(LEN(VLOOKUP(A407,Seqs!A:E,2,FALSE))-AL407),"-",LEN(VLOOKUP(A407,Seqs!A:E,2,FALSE))-AL407)</f>
        <v>5</v>
      </c>
      <c r="BB407" s="16">
        <f t="shared" si="261"/>
        <v>31</v>
      </c>
      <c r="BC407" s="9">
        <f t="shared" si="262"/>
        <v>20</v>
      </c>
      <c r="BD407" s="3">
        <f t="shared" si="263"/>
        <v>31</v>
      </c>
      <c r="BE407" s="3">
        <f t="shared" si="264"/>
        <v>53</v>
      </c>
      <c r="BF407" s="3">
        <f t="shared" si="249"/>
        <v>35</v>
      </c>
    </row>
    <row r="408" spans="1:58" s="3" customFormat="1" x14ac:dyDescent="0.2">
      <c r="A408" s="3" t="s">
        <v>475</v>
      </c>
      <c r="B408" s="3" t="str">
        <f>LOWER(VLOOKUP(A408,Xtal_Templ!A:B,2,FALSE))</f>
        <v>agtr1_human</v>
      </c>
      <c r="C408" s="3">
        <f>VLOOKUP($A408,'SegEnds_NonXtal_BW#'!$A:$Z,3,FALSE)+D408-50</f>
        <v>6</v>
      </c>
      <c r="D408" s="3">
        <v>24</v>
      </c>
      <c r="E408" s="3">
        <f t="shared" si="244"/>
        <v>36</v>
      </c>
      <c r="F408" s="3">
        <f t="shared" si="245"/>
        <v>37</v>
      </c>
      <c r="G408" s="3">
        <v>39</v>
      </c>
      <c r="H408" s="3">
        <f t="shared" si="246"/>
        <v>40</v>
      </c>
      <c r="I408" s="3">
        <f t="shared" si="246"/>
        <v>41</v>
      </c>
      <c r="J408" s="3">
        <v>55</v>
      </c>
      <c r="K408" s="3">
        <f>VLOOKUP($A408,'SegEnds_NonXtal_BW#'!$A:$Z,8,FALSE)+VLOOKUP($A408,A:AL,10,FALSE)-50</f>
        <v>72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78</v>
      </c>
      <c r="P408" s="3">
        <v>107</v>
      </c>
      <c r="Q408" s="3">
        <f>VLOOKUP($A408,'SegEnds_NonXtal_BW#'!$A:$Z,12,FALSE)+VLOOKUP($A408,A:AL,16,FALSE)-50</f>
        <v>113</v>
      </c>
      <c r="R408" s="3">
        <f t="shared" si="247"/>
        <v>116</v>
      </c>
      <c r="S408" s="3">
        <v>116</v>
      </c>
      <c r="T408" s="100">
        <f t="shared" si="248"/>
        <v>123</v>
      </c>
      <c r="U408" s="9">
        <f>IF(ISERROR(VLOOKUP($A408,'SegEnds_NonXtal_BW#'!$A:$Z,15,FALSE)+VLOOKUP($A408,A:AL,22,FALSE)-50),"-",VLOOKUP($A408,'SegEnds_NonXtal_BW#'!$A:$Z,15,FALSE)+VLOOKUP($A408,A:AL,22,FALSE)-50)</f>
        <v>124</v>
      </c>
      <c r="V408" s="3">
        <v>136</v>
      </c>
      <c r="W408" s="3">
        <f>IF(ISERROR(VLOOKUP($A408,'SegEnds_NonXtal_BW#'!$A:$Z,16,FALSE)+VLOOKUP($A408,A:AL,22,FALSE)-50),"-",(VLOOKUP($A408,'SegEnds_NonXtal_BW#'!$A:$Z,16,FALSE)+VLOOKUP($A408,A:AL,22,FALSE)-50))</f>
        <v>150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174</v>
      </c>
      <c r="AB408" s="3">
        <v>192</v>
      </c>
      <c r="AC408" s="3">
        <f>IF(ISERROR((VLOOKUP($A408,'SegEnds_NonXtal_BW#'!$A:$Z,20,FALSE)+VLOOKUP($A408,A:AL,28,FALSE)-50)),"-",(VLOOKUP($A408,'SegEnds_NonXtal_BW#'!$A:$Z,20,FALSE)+VLOOKUP($A408,A:AL,28,FALSE)-50))</f>
        <v>214</v>
      </c>
      <c r="AD408" s="3">
        <f>IF(ISERROR(VLOOKUP($A408,'SegEnds_NonXtal_BW#'!$A:$Z,21,FALSE)+VLOOKUP($A408,A:AL,31,FALSE)-50),"-",(VLOOKUP($A408,'SegEnds_NonXtal_BW#'!$A:$Z,21,FALSE)+VLOOKUP($A408,A:AL,31,FALSE)-50))</f>
        <v>224</v>
      </c>
      <c r="AE408" s="3">
        <v>245</v>
      </c>
      <c r="AF408" s="3">
        <f>IF(ISERROR((VLOOKUP($A408,'SegEnds_NonXtal_BW#'!$A:$Z,22,FALSE)+VLOOKUP($A408,A:AL,31,FALSE)-50)),"-",(VLOOKUP($A408,'SegEnds_NonXtal_BW#'!$A:$Z,22,FALSE)+VLOOKUP($A408,A:AL,31,FALSE)-50))</f>
        <v>256</v>
      </c>
      <c r="AG408" s="3">
        <f>IF(ISERROR(VLOOKUP($A408,'SegEnds_NonXtal_BW#'!$A:$Z,23,FALSE)+VLOOKUP($A408,A:AL,34,FALSE)-50),"-",(VLOOKUP($A408,'SegEnds_NonXtal_BW#'!$A:$Z,23,FALSE)+VLOOKUP($A408,A:AL,34,FALSE)-50))</f>
        <v>262</v>
      </c>
      <c r="AH408" s="3">
        <v>281</v>
      </c>
      <c r="AI408" s="3">
        <f>IF(ISERROR((VLOOKUP($A408,'SegEnds_NonXtal_BW#'!$A:$Z,24,FALSE)+VLOOKUP($A408,A:AL,34,FALSE)-50)),"-",(VLOOKUP($A408,'SegEnds_NonXtal_BW#'!$A:$Z,24,FALSE)+VLOOKUP($A408,A:AL,34,FALSE)-50))</f>
        <v>287</v>
      </c>
      <c r="AJ408" s="3">
        <f>IF(ISERROR(VLOOKUP($A408,'SegEnds_NonXtal_BW#'!$A:$Z,25,FALSE)+VLOOKUP($A408,A:AL,37,FALSE)-50),"-",(VLOOKUP($A408,'SegEnds_NonXtal_BW#'!$A:$Z,25,FALSE)+VLOOKUP($A408,A:AL,37,FALSE)-50))</f>
        <v>288</v>
      </c>
      <c r="AK408" s="3">
        <v>291</v>
      </c>
      <c r="AL408" s="3">
        <f>IF(ISERROR((VLOOKUP($A408,'SegEnds_NonXtal_BW#'!$A:$Z,26,FALSE)+VLOOKUP($A408,A:AL,37,FALSE)-50)),"-",(VLOOKUP($A408,'SegEnds_NonXtal_BW#'!$A:$Z,26,FALSE)+VLOOKUP($A408,A:AL,37,FALSE)-50))</f>
        <v>301</v>
      </c>
      <c r="AM408" s="28" t="str">
        <f>VLOOKUP(A408,Classification!A:B,2,FALSE)</f>
        <v>T</v>
      </c>
      <c r="AN408" s="28" t="b">
        <f t="shared" si="265"/>
        <v>1</v>
      </c>
      <c r="AO408" s="3" t="str">
        <f>IF(ISERROR(MATCH(A408,'SegEnds_Xtal_Prot#'!B:B, 0)), "NoXtal", "Xtal")</f>
        <v>NoXtal</v>
      </c>
      <c r="AP408" s="3">
        <f t="shared" si="250"/>
        <v>1</v>
      </c>
      <c r="AQ408" s="3">
        <f t="shared" si="251"/>
        <v>1</v>
      </c>
      <c r="AR408" s="3" t="str">
        <f t="shared" si="252"/>
        <v>-</v>
      </c>
      <c r="AS408" s="3" t="str">
        <f t="shared" si="253"/>
        <v>-</v>
      </c>
      <c r="AT408" s="3">
        <f t="shared" si="254"/>
        <v>3</v>
      </c>
      <c r="AU408" s="3">
        <f t="shared" si="255"/>
        <v>1</v>
      </c>
      <c r="AV408" s="3" t="str">
        <f t="shared" si="256"/>
        <v>-</v>
      </c>
      <c r="AW408" s="3" t="str">
        <f t="shared" si="257"/>
        <v>-</v>
      </c>
      <c r="AX408" s="3">
        <f t="shared" si="258"/>
        <v>10</v>
      </c>
      <c r="AY408" s="3">
        <f t="shared" si="259"/>
        <v>6</v>
      </c>
      <c r="AZ408" s="3">
        <f t="shared" si="260"/>
        <v>1</v>
      </c>
      <c r="BA408" s="3">
        <f>IF(ISERROR(LEN(VLOOKUP(A408,Seqs!A:E,2,FALSE))-AL408),"-",LEN(VLOOKUP(A408,Seqs!A:E,2,FALSE))-AL408)</f>
        <v>15</v>
      </c>
      <c r="BB408" s="16">
        <f t="shared" si="261"/>
        <v>31</v>
      </c>
      <c r="BC408" s="9">
        <f t="shared" si="262"/>
        <v>20</v>
      </c>
      <c r="BD408" s="3">
        <f t="shared" si="263"/>
        <v>31</v>
      </c>
      <c r="BE408" s="3">
        <f t="shared" si="264"/>
        <v>53</v>
      </c>
      <c r="BF408" s="3">
        <f t="shared" si="249"/>
        <v>36</v>
      </c>
    </row>
    <row r="409" spans="1:58" s="3" customFormat="1" x14ac:dyDescent="0.2">
      <c r="A409" s="3" t="s">
        <v>476</v>
      </c>
      <c r="B409" s="3" t="str">
        <f>LOWER(VLOOKUP(A409,Xtal_Templ!A:B,2,FALSE))</f>
        <v>5ht1b_human</v>
      </c>
      <c r="C409" s="3">
        <f>VLOOKUP($A409,'SegEnds_NonXtal_BW#'!$A:$Z,3,FALSE)+D409-50</f>
        <v>6</v>
      </c>
      <c r="D409" s="3">
        <v>24</v>
      </c>
      <c r="E409" s="3">
        <f t="shared" si="244"/>
        <v>36</v>
      </c>
      <c r="F409" s="3">
        <f t="shared" si="245"/>
        <v>37</v>
      </c>
      <c r="G409" s="3">
        <v>39</v>
      </c>
      <c r="H409" s="3">
        <f t="shared" si="246"/>
        <v>40</v>
      </c>
      <c r="I409" s="3">
        <f t="shared" si="246"/>
        <v>41</v>
      </c>
      <c r="J409" s="3">
        <v>55</v>
      </c>
      <c r="K409" s="3">
        <f>VLOOKUP($A409,'SegEnds_NonXtal_BW#'!$A:$Z,8,FALSE)+VLOOKUP($A409,A:AL,10,FALSE)-50</f>
        <v>71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77</v>
      </c>
      <c r="P409" s="3">
        <v>106</v>
      </c>
      <c r="Q409" s="3">
        <f>VLOOKUP($A409,'SegEnds_NonXtal_BW#'!$A:$Z,12,FALSE)+VLOOKUP($A409,A:AL,16,FALSE)-50</f>
        <v>112</v>
      </c>
      <c r="R409" s="3">
        <f t="shared" si="247"/>
        <v>115</v>
      </c>
      <c r="S409" s="3">
        <v>115</v>
      </c>
      <c r="T409" s="100">
        <f t="shared" si="248"/>
        <v>122</v>
      </c>
      <c r="U409" s="9">
        <f>IF(ISERROR(VLOOKUP($A409,'SegEnds_NonXtal_BW#'!$A:$Z,15,FALSE)+VLOOKUP($A409,A:AL,22,FALSE)-50),"-",VLOOKUP($A409,'SegEnds_NonXtal_BW#'!$A:$Z,15,FALSE)+VLOOKUP($A409,A:AL,22,FALSE)-50)</f>
        <v>123</v>
      </c>
      <c r="V409" s="3">
        <v>135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170</v>
      </c>
      <c r="AB409" s="3">
        <v>188</v>
      </c>
      <c r="AC409" s="3">
        <f>IF(ISERROR((VLOOKUP($A409,'SegEnds_NonXtal_BW#'!$A:$Z,20,FALSE)+VLOOKUP($A409,A:AL,28,FALSE)-50)),"-",(VLOOKUP($A409,'SegEnds_NonXtal_BW#'!$A:$Z,20,FALSE)+VLOOKUP($A409,A:AL,28,FALSE)-50))</f>
        <v>210</v>
      </c>
      <c r="AD409" s="3">
        <f>IF(ISERROR(VLOOKUP($A409,'SegEnds_NonXtal_BW#'!$A:$Z,21,FALSE)+VLOOKUP($A409,A:AL,31,FALSE)-50),"-",(VLOOKUP($A409,'SegEnds_NonXtal_BW#'!$A:$Z,21,FALSE)+VLOOKUP($A409,A:AL,31,FALSE)-50))</f>
        <v>220</v>
      </c>
      <c r="AE409" s="3">
        <v>241</v>
      </c>
      <c r="AF409" s="3">
        <f>IF(ISERROR((VLOOKUP($A409,'SegEnds_NonXtal_BW#'!$A:$Z,22,FALSE)+VLOOKUP($A409,A:AL,31,FALSE)-50)),"-",(VLOOKUP($A409,'SegEnds_NonXtal_BW#'!$A:$Z,22,FALSE)+VLOOKUP($A409,A:AL,31,FALSE)-50))</f>
        <v>252</v>
      </c>
      <c r="AG409" s="3">
        <f>IF(ISERROR(VLOOKUP($A409,'SegEnds_NonXtal_BW#'!$A:$Z,23,FALSE)+VLOOKUP($A409,A:AL,34,FALSE)-50),"-",(VLOOKUP($A409,'SegEnds_NonXtal_BW#'!$A:$Z,23,FALSE)+VLOOKUP($A409,A:AL,34,FALSE)-50))</f>
        <v>258</v>
      </c>
      <c r="AH409" s="3">
        <v>277</v>
      </c>
      <c r="AI409" s="3">
        <f>IF(ISERROR((VLOOKUP($A409,'SegEnds_NonXtal_BW#'!$A:$Z,24,FALSE)+VLOOKUP($A409,A:AL,34,FALSE)-50)),"-",(VLOOKUP($A409,'SegEnds_NonXtal_BW#'!$A:$Z,24,FALSE)+VLOOKUP($A409,A:AL,34,FALSE)-50))</f>
        <v>283</v>
      </c>
      <c r="AJ409" s="3">
        <f>IF(ISERROR(VLOOKUP($A409,'SegEnds_NonXtal_BW#'!$A:$Z,25,FALSE)+VLOOKUP($A409,A:AL,37,FALSE)-50),"-",(VLOOKUP($A409,'SegEnds_NonXtal_BW#'!$A:$Z,25,FALSE)+VLOOKUP($A409,A:AL,37,FALSE)-50))</f>
        <v>284</v>
      </c>
      <c r="AK409" s="3">
        <v>287</v>
      </c>
      <c r="AL409" s="3">
        <f>IF(ISERROR((VLOOKUP($A409,'SegEnds_NonXtal_BW#'!$A:$Z,26,FALSE)+VLOOKUP($A409,A:AL,37,FALSE)-50)),"-",(VLOOKUP($A409,'SegEnds_NonXtal_BW#'!$A:$Z,26,FALSE)+VLOOKUP($A409,A:AL,37,FALSE)-50))</f>
        <v>297</v>
      </c>
      <c r="AM409" s="28" t="str">
        <f>VLOOKUP(A409,Classification!A:B,2,FALSE)</f>
        <v>T</v>
      </c>
      <c r="AN409" s="28" t="b">
        <f t="shared" si="265"/>
        <v>1</v>
      </c>
      <c r="AO409" s="3" t="str">
        <f>IF(ISERROR(MATCH(A409,'SegEnds_Xtal_Prot#'!B:B, 0)), "NoXtal", "Xtal")</f>
        <v>NoXtal</v>
      </c>
      <c r="AP409" s="3">
        <f t="shared" si="250"/>
        <v>1</v>
      </c>
      <c r="AQ409" s="3">
        <f t="shared" si="251"/>
        <v>1</v>
      </c>
      <c r="AR409" s="3" t="str">
        <f t="shared" si="252"/>
        <v>-</v>
      </c>
      <c r="AS409" s="3" t="str">
        <f t="shared" si="253"/>
        <v>-</v>
      </c>
      <c r="AT409" s="3">
        <f t="shared" si="254"/>
        <v>3</v>
      </c>
      <c r="AU409" s="3">
        <f t="shared" si="255"/>
        <v>1</v>
      </c>
      <c r="AV409" s="3" t="str">
        <f t="shared" si="256"/>
        <v>-</v>
      </c>
      <c r="AW409" s="3" t="str">
        <f t="shared" si="257"/>
        <v>-</v>
      </c>
      <c r="AX409" s="3">
        <f t="shared" si="258"/>
        <v>10</v>
      </c>
      <c r="AY409" s="3">
        <f t="shared" si="259"/>
        <v>6</v>
      </c>
      <c r="AZ409" s="3">
        <f t="shared" si="260"/>
        <v>1</v>
      </c>
      <c r="BA409" s="3">
        <f>IF(ISERROR(LEN(VLOOKUP(A409,Seqs!A:E,2,FALSE))-AL409),"-",LEN(VLOOKUP(A409,Seqs!A:E,2,FALSE))-AL409)</f>
        <v>2</v>
      </c>
      <c r="BB409" s="16">
        <f t="shared" si="261"/>
        <v>31</v>
      </c>
      <c r="BC409" s="9">
        <f t="shared" si="262"/>
        <v>20</v>
      </c>
      <c r="BD409" s="3">
        <f t="shared" si="263"/>
        <v>31</v>
      </c>
      <c r="BE409" s="3">
        <f t="shared" si="264"/>
        <v>53</v>
      </c>
      <c r="BF409" s="3">
        <f t="shared" si="249"/>
        <v>36</v>
      </c>
    </row>
    <row r="410" spans="1:58" s="3" customFormat="1" x14ac:dyDescent="0.2">
      <c r="A410" s="3" t="s">
        <v>477</v>
      </c>
      <c r="B410" s="3" t="str">
        <f>LOWER(VLOOKUP(A410,Xtal_Templ!A:B,2,FALSE))</f>
        <v>hrh1_human</v>
      </c>
      <c r="C410" s="3">
        <f>VLOOKUP($A410,'SegEnds_NonXtal_BW#'!$A:$Z,3,FALSE)+D410-50</f>
        <v>6</v>
      </c>
      <c r="D410" s="3">
        <v>24</v>
      </c>
      <c r="E410" s="3">
        <f t="shared" si="244"/>
        <v>36</v>
      </c>
      <c r="F410" s="3">
        <f t="shared" si="245"/>
        <v>37</v>
      </c>
      <c r="G410" s="3">
        <v>39</v>
      </c>
      <c r="H410" s="3">
        <f t="shared" si="246"/>
        <v>40</v>
      </c>
      <c r="I410" s="3">
        <f t="shared" si="246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77</v>
      </c>
      <c r="P410" s="3">
        <v>103</v>
      </c>
      <c r="Q410" s="3">
        <f>VLOOKUP($A410,'SegEnds_NonXtal_BW#'!$A:$Z,12,FALSE)+VLOOKUP($A410,A:AL,16,FALSE)-50</f>
        <v>109</v>
      </c>
      <c r="R410" s="3">
        <f t="shared" si="247"/>
        <v>112</v>
      </c>
      <c r="S410" s="3">
        <v>112</v>
      </c>
      <c r="T410" s="100">
        <f t="shared" si="248"/>
        <v>119</v>
      </c>
      <c r="U410" s="9">
        <f>IF(ISERROR(VLOOKUP($A410,'SegEnds_NonXtal_BW#'!$A:$Z,15,FALSE)+VLOOKUP($A410,A:AL,22,FALSE)-50),"-",VLOOKUP($A410,'SegEnds_NonXtal_BW#'!$A:$Z,15,FALSE)+VLOOKUP($A410,A:AL,22,FALSE)-50)</f>
        <v>120</v>
      </c>
      <c r="V410" s="3">
        <v>132</v>
      </c>
      <c r="W410" s="3">
        <f>IF(ISERROR(VLOOKUP($A410,'SegEnds_NonXtal_BW#'!$A:$Z,16,FALSE)+VLOOKUP($A410,A:AL,22,FALSE)-50),"-",(VLOOKUP($A410,'SegEnds_NonXtal_BW#'!$A:$Z,16,FALSE)+VLOOKUP($A410,A:AL,22,FALSE)-50))</f>
        <v>144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162</v>
      </c>
      <c r="AB410" s="3">
        <v>180</v>
      </c>
      <c r="AC410" s="3">
        <f>IF(ISERROR((VLOOKUP($A410,'SegEnds_NonXtal_BW#'!$A:$Z,20,FALSE)+VLOOKUP($A410,A:AL,28,FALSE)-50)),"-",(VLOOKUP($A410,'SegEnds_NonXtal_BW#'!$A:$Z,20,FALSE)+VLOOKUP($A410,A:AL,28,FALSE)-50))</f>
        <v>202</v>
      </c>
      <c r="AD410" s="3">
        <f>IF(ISERROR(VLOOKUP($A410,'SegEnds_NonXtal_BW#'!$A:$Z,21,FALSE)+VLOOKUP($A410,A:AL,31,FALSE)-50),"-",(VLOOKUP($A410,'SegEnds_NonXtal_BW#'!$A:$Z,21,FALSE)+VLOOKUP($A410,A:AL,31,FALSE)-50))</f>
        <v>212</v>
      </c>
      <c r="AE410" s="3">
        <v>233</v>
      </c>
      <c r="AF410" s="3">
        <f>IF(ISERROR((VLOOKUP($A410,'SegEnds_NonXtal_BW#'!$A:$Z,22,FALSE)+VLOOKUP($A410,A:AL,31,FALSE)-50)),"-",(VLOOKUP($A410,'SegEnds_NonXtal_BW#'!$A:$Z,22,FALSE)+VLOOKUP($A410,A:AL,31,FALSE)-50))</f>
        <v>244</v>
      </c>
      <c r="AG410" s="3">
        <f>IF(ISERROR(VLOOKUP($A410,'SegEnds_NonXtal_BW#'!$A:$Z,23,FALSE)+VLOOKUP($A410,A:AL,34,FALSE)-50),"-",(VLOOKUP($A410,'SegEnds_NonXtal_BW#'!$A:$Z,23,FALSE)+VLOOKUP($A410,A:AL,34,FALSE)-50))</f>
        <v>250</v>
      </c>
      <c r="AH410" s="3">
        <v>269</v>
      </c>
      <c r="AI410" s="3">
        <f>IF(ISERROR((VLOOKUP($A410,'SegEnds_NonXtal_BW#'!$A:$Z,24,FALSE)+VLOOKUP($A410,A:AL,34,FALSE)-50)),"-",(VLOOKUP($A410,'SegEnds_NonXtal_BW#'!$A:$Z,24,FALSE)+VLOOKUP($A410,A:AL,34,FALSE)-50))</f>
        <v>275</v>
      </c>
      <c r="AJ410" s="3">
        <f>IF(ISERROR(VLOOKUP($A410,'SegEnds_NonXtal_BW#'!$A:$Z,25,FALSE)+VLOOKUP($A410,A:AL,37,FALSE)-50),"-",(VLOOKUP($A410,'SegEnds_NonXtal_BW#'!$A:$Z,25,FALSE)+VLOOKUP($A410,A:AL,37,FALSE)-50))</f>
        <v>276</v>
      </c>
      <c r="AK410" s="3">
        <v>279</v>
      </c>
      <c r="AL410" s="3">
        <f>IF(ISERROR((VLOOKUP($A410,'SegEnds_NonXtal_BW#'!$A:$Z,26,FALSE)+VLOOKUP($A410,A:AL,37,FALSE)-50)),"-",(VLOOKUP($A410,'SegEnds_NonXtal_BW#'!$A:$Z,26,FALSE)+VLOOKUP($A410,A:AL,37,FALSE)-50))</f>
        <v>289</v>
      </c>
      <c r="AM410" s="28" t="str">
        <f>VLOOKUP(A410,Classification!A:B,2,FALSE)</f>
        <v>T</v>
      </c>
      <c r="AN410" s="28" t="b">
        <f t="shared" si="265"/>
        <v>1</v>
      </c>
      <c r="AO410" s="3" t="str">
        <f>IF(ISERROR(MATCH(A410,'SegEnds_Xtal_Prot#'!B:B, 0)), "NoXtal", "Xtal")</f>
        <v>NoXtal</v>
      </c>
      <c r="AP410" s="3">
        <f t="shared" si="250"/>
        <v>1</v>
      </c>
      <c r="AQ410" s="3">
        <f t="shared" si="251"/>
        <v>1</v>
      </c>
      <c r="AR410" s="3" t="str">
        <f t="shared" si="252"/>
        <v>-</v>
      </c>
      <c r="AS410" s="3" t="str">
        <f t="shared" si="253"/>
        <v>-</v>
      </c>
      <c r="AT410" s="3">
        <f t="shared" si="254"/>
        <v>3</v>
      </c>
      <c r="AU410" s="3">
        <f t="shared" si="255"/>
        <v>1</v>
      </c>
      <c r="AV410" s="3" t="str">
        <f t="shared" si="256"/>
        <v>-</v>
      </c>
      <c r="AW410" s="3" t="str">
        <f t="shared" si="257"/>
        <v>-</v>
      </c>
      <c r="AX410" s="3">
        <f t="shared" si="258"/>
        <v>10</v>
      </c>
      <c r="AY410" s="3">
        <f t="shared" si="259"/>
        <v>6</v>
      </c>
      <c r="AZ410" s="3">
        <f t="shared" si="260"/>
        <v>1</v>
      </c>
      <c r="BA410" s="3">
        <f>IF(ISERROR(LEN(VLOOKUP(A410,Seqs!A:E,2,FALSE))-AL410),"-",LEN(VLOOKUP(A410,Seqs!A:E,2,FALSE))-AL410)</f>
        <v>10</v>
      </c>
      <c r="BB410" s="16">
        <f t="shared" si="261"/>
        <v>31</v>
      </c>
      <c r="BC410" s="9">
        <f t="shared" si="262"/>
        <v>20</v>
      </c>
      <c r="BD410" s="3">
        <f t="shared" si="263"/>
        <v>31</v>
      </c>
      <c r="BE410" s="3">
        <f t="shared" si="264"/>
        <v>53</v>
      </c>
      <c r="BF410" s="3">
        <f t="shared" si="249"/>
        <v>36</v>
      </c>
    </row>
    <row r="411" spans="1:58" s="3" customFormat="1" x14ac:dyDescent="0.2">
      <c r="A411" s="3" t="s">
        <v>478</v>
      </c>
      <c r="B411" s="3" t="str">
        <f>LOWER(VLOOKUP(A411,Xtal_Templ!A:B,2,FALSE))</f>
        <v>drd2_human</v>
      </c>
      <c r="C411" s="3">
        <f>VLOOKUP($A411,'SegEnds_NonXtal_BW#'!$A:$Z,3,FALSE)+D411-50</f>
        <v>6</v>
      </c>
      <c r="D411" s="3">
        <v>24</v>
      </c>
      <c r="E411" s="3">
        <f t="shared" si="244"/>
        <v>36</v>
      </c>
      <c r="F411" s="3">
        <f t="shared" si="245"/>
        <v>37</v>
      </c>
      <c r="G411" s="3">
        <v>39</v>
      </c>
      <c r="H411" s="3">
        <f t="shared" si="246"/>
        <v>40</v>
      </c>
      <c r="I411" s="3">
        <f t="shared" si="246"/>
        <v>41</v>
      </c>
      <c r="J411" s="3">
        <v>55</v>
      </c>
      <c r="K411" s="3">
        <f>VLOOKUP($A411,'SegEnds_NonXtal_BW#'!$A:$Z,8,FALSE)+VLOOKUP($A411,A:AL,10,FALSE)-50</f>
        <v>72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78</v>
      </c>
      <c r="P411" s="3">
        <v>107</v>
      </c>
      <c r="Q411" s="3">
        <f>VLOOKUP($A411,'SegEnds_NonXtal_BW#'!$A:$Z,12,FALSE)+VLOOKUP($A411,A:AL,16,FALSE)-50</f>
        <v>113</v>
      </c>
      <c r="R411" s="3">
        <f t="shared" si="247"/>
        <v>116</v>
      </c>
      <c r="S411" s="3">
        <v>116</v>
      </c>
      <c r="T411" s="100">
        <f t="shared" si="248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148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175</v>
      </c>
      <c r="AB411" s="3">
        <v>193</v>
      </c>
      <c r="AC411" s="3">
        <f>IF(ISERROR((VLOOKUP($A411,'SegEnds_NonXtal_BW#'!$A:$Z,20,FALSE)+VLOOKUP($A411,A:AL,28,FALSE)-50)),"-",(VLOOKUP($A411,'SegEnds_NonXtal_BW#'!$A:$Z,20,FALSE)+VLOOKUP($A411,A:AL,28,FALSE)-50))</f>
        <v>215</v>
      </c>
      <c r="AD411" s="3">
        <f>IF(ISERROR(VLOOKUP($A411,'SegEnds_NonXtal_BW#'!$A:$Z,21,FALSE)+VLOOKUP($A411,A:AL,31,FALSE)-50),"-",(VLOOKUP($A411,'SegEnds_NonXtal_BW#'!$A:$Z,21,FALSE)+VLOOKUP($A411,A:AL,31,FALSE)-50))</f>
        <v>225</v>
      </c>
      <c r="AE411" s="3">
        <v>246</v>
      </c>
      <c r="AF411" s="3">
        <f>IF(ISERROR((VLOOKUP($A411,'SegEnds_NonXtal_BW#'!$A:$Z,22,FALSE)+VLOOKUP($A411,A:AL,31,FALSE)-50)),"-",(VLOOKUP($A411,'SegEnds_NonXtal_BW#'!$A:$Z,22,FALSE)+VLOOKUP($A411,A:AL,31,FALSE)-50))</f>
        <v>257</v>
      </c>
      <c r="AG411" s="3">
        <f>IF(ISERROR(VLOOKUP($A411,'SegEnds_NonXtal_BW#'!$A:$Z,23,FALSE)+VLOOKUP($A411,A:AL,34,FALSE)-50),"-",(VLOOKUP($A411,'SegEnds_NonXtal_BW#'!$A:$Z,23,FALSE)+VLOOKUP($A411,A:AL,34,FALSE)-50))</f>
        <v>263</v>
      </c>
      <c r="AH411" s="3">
        <v>282</v>
      </c>
      <c r="AI411" s="3">
        <f>IF(ISERROR((VLOOKUP($A411,'SegEnds_NonXtal_BW#'!$A:$Z,24,FALSE)+VLOOKUP($A411,A:AL,34,FALSE)-50)),"-",(VLOOKUP($A411,'SegEnds_NonXtal_BW#'!$A:$Z,24,FALSE)+VLOOKUP($A411,A:AL,34,FALSE)-50))</f>
        <v>288</v>
      </c>
      <c r="AJ411" s="3">
        <f>IF(ISERROR(VLOOKUP($A411,'SegEnds_NonXtal_BW#'!$A:$Z,25,FALSE)+VLOOKUP($A411,A:AL,37,FALSE)-50),"-",(VLOOKUP($A411,'SegEnds_NonXtal_BW#'!$A:$Z,25,FALSE)+VLOOKUP($A411,A:AL,37,FALSE)-50))</f>
        <v>289</v>
      </c>
      <c r="AK411" s="3">
        <v>292</v>
      </c>
      <c r="AL411" s="3">
        <f>IF(ISERROR((VLOOKUP($A411,'SegEnds_NonXtal_BW#'!$A:$Z,26,FALSE)+VLOOKUP($A411,A:AL,37,FALSE)-50)),"-",(VLOOKUP($A411,'SegEnds_NonXtal_BW#'!$A:$Z,26,FALSE)+VLOOKUP($A411,A:AL,37,FALSE)-50))</f>
        <v>302</v>
      </c>
      <c r="AM411" s="28" t="str">
        <f>VLOOKUP(A411,Classification!A:B,2,FALSE)</f>
        <v>T</v>
      </c>
      <c r="AN411" s="28" t="b">
        <f t="shared" si="265"/>
        <v>1</v>
      </c>
      <c r="AO411" s="3" t="str">
        <f>IF(ISERROR(MATCH(A411,'SegEnds_Xtal_Prot#'!B:B, 0)), "NoXtal", "Xtal")</f>
        <v>NoXtal</v>
      </c>
      <c r="AP411" s="3">
        <f t="shared" si="250"/>
        <v>1</v>
      </c>
      <c r="AQ411" s="3">
        <f t="shared" si="251"/>
        <v>1</v>
      </c>
      <c r="AR411" s="3" t="str">
        <f t="shared" si="252"/>
        <v>-</v>
      </c>
      <c r="AS411" s="3" t="str">
        <f t="shared" si="253"/>
        <v>-</v>
      </c>
      <c r="AT411" s="3">
        <f t="shared" si="254"/>
        <v>3</v>
      </c>
      <c r="AU411" s="3">
        <f t="shared" si="255"/>
        <v>1</v>
      </c>
      <c r="AV411" s="3" t="str">
        <f t="shared" si="256"/>
        <v>-</v>
      </c>
      <c r="AW411" s="3" t="str">
        <f t="shared" si="257"/>
        <v>-</v>
      </c>
      <c r="AX411" s="3">
        <f t="shared" si="258"/>
        <v>10</v>
      </c>
      <c r="AY411" s="3">
        <f t="shared" si="259"/>
        <v>6</v>
      </c>
      <c r="AZ411" s="3">
        <f t="shared" si="260"/>
        <v>1</v>
      </c>
      <c r="BA411" s="3">
        <f>IF(ISERROR(LEN(VLOOKUP(A411,Seqs!A:E,2,FALSE))-AL411),"-",LEN(VLOOKUP(A411,Seqs!A:E,2,FALSE))-AL411)</f>
        <v>16</v>
      </c>
      <c r="BB411" s="16">
        <f t="shared" si="261"/>
        <v>31</v>
      </c>
      <c r="BC411" s="9">
        <f t="shared" si="262"/>
        <v>20</v>
      </c>
      <c r="BD411" s="3">
        <f t="shared" si="263"/>
        <v>31</v>
      </c>
      <c r="BE411" s="3">
        <f t="shared" si="264"/>
        <v>53</v>
      </c>
      <c r="BF411" s="3">
        <f t="shared" si="249"/>
        <v>36</v>
      </c>
    </row>
    <row r="412" spans="1:58" s="3" customFormat="1" x14ac:dyDescent="0.2">
      <c r="A412" s="3" t="s">
        <v>479</v>
      </c>
      <c r="B412" s="3" t="str">
        <f>LOWER(VLOOKUP(A412,Xtal_Templ!A:B,2,FALSE))</f>
        <v>drd2_human</v>
      </c>
      <c r="C412" s="3">
        <f>VLOOKUP($A412,'SegEnds_NonXtal_BW#'!$A:$Z,3,FALSE)+D412-50</f>
        <v>6</v>
      </c>
      <c r="D412" s="3">
        <v>24</v>
      </c>
      <c r="E412" s="3">
        <f t="shared" si="244"/>
        <v>36</v>
      </c>
      <c r="F412" s="3">
        <f t="shared" si="245"/>
        <v>37</v>
      </c>
      <c r="G412" s="3">
        <v>39</v>
      </c>
      <c r="H412" s="3">
        <f t="shared" si="246"/>
        <v>40</v>
      </c>
      <c r="I412" s="3">
        <f t="shared" si="246"/>
        <v>41</v>
      </c>
      <c r="J412" s="3">
        <v>55</v>
      </c>
      <c r="K412" s="3">
        <f>VLOOKUP($A412,'SegEnds_NonXtal_BW#'!$A:$Z,8,FALSE)+VLOOKUP($A412,A:AL,10,FALSE)-50</f>
        <v>71</v>
      </c>
      <c r="L412" s="3" t="str">
        <f>IF(ISERROR(VLOOKUP($A412,'SegEnds_NonXtal_BW#'!$A:$Z,9,FALSE)+VLOOKUP($A412,A:AL,13,FALSE)-50),"-",(VLOOKUP($A412,'SegEnds_NonXtal_BW#'!$A:$Z,9,FALSE)+VLOOKUP($A412,A:AL,13,FALSE)-50))</f>
        <v>-</v>
      </c>
      <c r="M412" s="3" t="s">
        <v>23</v>
      </c>
      <c r="N412" s="3" t="str">
        <f>IF(ISERROR(VLOOKUP($A412,'SegEnds_NonXtal_BW#'!$A:$Z,10,FALSE)+VLOOKUP($A412,A:AL,13,FALSE)-50),"-",(VLOOKUP($A412,'SegEnds_NonXtal_BW#'!$A:$Z,10,FALSE)+VLOOKUP($A412,A:AL,13,FALSE)-50))</f>
        <v>-</v>
      </c>
      <c r="O412" s="3">
        <f>VLOOKUP($A412,'SegEnds_NonXtal_BW#'!$A:$Z,11,FALSE)+VLOOKUP($A412,A:AL,16,FALSE)-50</f>
        <v>75</v>
      </c>
      <c r="P412" s="3">
        <v>107</v>
      </c>
      <c r="Q412" s="3">
        <f>VLOOKUP($A412,'SegEnds_NonXtal_BW#'!$A:$Z,12,FALSE)+VLOOKUP($A412,A:AL,16,FALSE)-50</f>
        <v>113</v>
      </c>
      <c r="R412" s="3">
        <f t="shared" si="247"/>
        <v>116</v>
      </c>
      <c r="S412" s="3">
        <v>116</v>
      </c>
      <c r="T412" s="100">
        <f t="shared" si="248"/>
        <v>123</v>
      </c>
      <c r="U412" s="9">
        <f>IF(ISERROR(VLOOKUP($A412,'SegEnds_NonXtal_BW#'!$A:$Z,15,FALSE)+VLOOKUP($A412,A:AL,22,FALSE)-50),"-",VLOOKUP($A412,'SegEnds_NonXtal_BW#'!$A:$Z,15,FALSE)+VLOOKUP($A412,A:AL,22,FALSE)-50)</f>
        <v>124</v>
      </c>
      <c r="V412" s="3">
        <v>136</v>
      </c>
      <c r="W412" s="3">
        <f>IF(ISERROR(VLOOKUP($A412,'SegEnds_NonXtal_BW#'!$A:$Z,16,FALSE)+VLOOKUP($A412,A:AL,22,FALSE)-50),"-",(VLOOKUP($A412,'SegEnds_NonXtal_BW#'!$A:$Z,16,FALSE)+VLOOKUP($A412,A:AL,22,FALSE)-50))</f>
        <v>148</v>
      </c>
      <c r="X412" s="3" t="str">
        <f>IF(ISERROR(VLOOKUP($A412,'SegEnds_NonXtal_BW#'!$A:$Z,17,FALSE)+VLOOKUP($A412,A:AL,25,FALSE)-50),"-",(VLOOKUP($A412,'SegEnds_NonXtal_BW#'!$A:$Z,17,FALSE)+VLOOKUP($A412,A:AL,25,FALSE)-50))</f>
        <v>-</v>
      </c>
      <c r="Y412" s="3" t="s">
        <v>23</v>
      </c>
      <c r="Z412" s="3" t="str">
        <f>IF(ISERROR(VLOOKUP($A412,'SegEnds_NonXtal_BW#'!$A:$Z,18,FALSE)+VLOOKUP($A412,A:AL,25,FALSE)-50),"-",(VLOOKUP($A412,'SegEnds_NonXtal_BW#'!$A:$Z,18,FALSE)+VLOOKUP($A412,A:AL,25,FALSE)-50))</f>
        <v>-</v>
      </c>
      <c r="AA412" s="3">
        <f>IF(ISERROR(VLOOKUP($A412,'SegEnds_NonXtal_BW#'!$A:$Z,19,FALSE)+VLOOKUP($A412,A:AL,28,FALSE)-50),"-",(VLOOKUP($A412,'SegEnds_NonXtal_BW#'!$A:$Z,19,FALSE)+VLOOKUP($A412,A:AL,28,FALSE)-50))</f>
        <v>175</v>
      </c>
      <c r="AB412" s="3">
        <v>193</v>
      </c>
      <c r="AC412" s="3">
        <f>IF(ISERROR((VLOOKUP($A412,'SegEnds_NonXtal_BW#'!$A:$Z,20,FALSE)+VLOOKUP($A412,A:AL,28,FALSE)-50)),"-",(VLOOKUP($A412,'SegEnds_NonXtal_BW#'!$A:$Z,20,FALSE)+VLOOKUP($A412,A:AL,28,FALSE)-50))</f>
        <v>215</v>
      </c>
      <c r="AD412" s="3">
        <f>IF(ISERROR(VLOOKUP($A412,'SegEnds_NonXtal_BW#'!$A:$Z,21,FALSE)+VLOOKUP($A412,A:AL,31,FALSE)-50),"-",(VLOOKUP($A412,'SegEnds_NonXtal_BW#'!$A:$Z,21,FALSE)+VLOOKUP($A412,A:AL,31,FALSE)-50))</f>
        <v>225</v>
      </c>
      <c r="AE412" s="3">
        <v>246</v>
      </c>
      <c r="AF412" s="3">
        <f>IF(ISERROR((VLOOKUP($A412,'SegEnds_NonXtal_BW#'!$A:$Z,22,FALSE)+VLOOKUP($A412,A:AL,31,FALSE)-50)),"-",(VLOOKUP($A412,'SegEnds_NonXtal_BW#'!$A:$Z,22,FALSE)+VLOOKUP($A412,A:AL,31,FALSE)-50))</f>
        <v>257</v>
      </c>
      <c r="AG412" s="3">
        <f>IF(ISERROR(VLOOKUP($A412,'SegEnds_NonXtal_BW#'!$A:$Z,23,FALSE)+VLOOKUP($A412,A:AL,34,FALSE)-50),"-",(VLOOKUP($A412,'SegEnds_NonXtal_BW#'!$A:$Z,23,FALSE)+VLOOKUP($A412,A:AL,34,FALSE)-50))</f>
        <v>263</v>
      </c>
      <c r="AH412" s="3">
        <v>282</v>
      </c>
      <c r="AI412" s="3">
        <f>IF(ISERROR((VLOOKUP($A412,'SegEnds_NonXtal_BW#'!$A:$Z,24,FALSE)+VLOOKUP($A412,A:AL,34,FALSE)-50)),"-",(VLOOKUP($A412,'SegEnds_NonXtal_BW#'!$A:$Z,24,FALSE)+VLOOKUP($A412,A:AL,34,FALSE)-50))</f>
        <v>288</v>
      </c>
      <c r="AJ412" s="3">
        <f>IF(ISERROR(VLOOKUP($A412,'SegEnds_NonXtal_BW#'!$A:$Z,25,FALSE)+VLOOKUP($A412,A:AL,37,FALSE)-50),"-",(VLOOKUP($A412,'SegEnds_NonXtal_BW#'!$A:$Z,25,FALSE)+VLOOKUP($A412,A:AL,37,FALSE)-50))</f>
        <v>289</v>
      </c>
      <c r="AK412" s="3">
        <v>292</v>
      </c>
      <c r="AL412" s="3">
        <f>IF(ISERROR((VLOOKUP($A412,'SegEnds_NonXtal_BW#'!$A:$Z,26,FALSE)+VLOOKUP($A412,A:AL,37,FALSE)-50)),"-",(VLOOKUP($A412,'SegEnds_NonXtal_BW#'!$A:$Z,26,FALSE)+VLOOKUP($A412,A:AL,37,FALSE)-50))</f>
        <v>302</v>
      </c>
      <c r="AM412" s="28" t="str">
        <f>VLOOKUP(A412,Classification!A:B,2,FALSE)</f>
        <v>T</v>
      </c>
      <c r="AN412" s="28" t="b">
        <f t="shared" si="265"/>
        <v>1</v>
      </c>
      <c r="AO412" s="3" t="str">
        <f>IF(ISERROR(MATCH(A412,'SegEnds_Xtal_Prot#'!B:B, 0)), "NoXtal", "Xtal")</f>
        <v>NoXtal</v>
      </c>
      <c r="AP412" s="3">
        <f t="shared" si="250"/>
        <v>1</v>
      </c>
      <c r="AQ412" s="3">
        <f t="shared" si="251"/>
        <v>1</v>
      </c>
      <c r="AR412" s="3" t="str">
        <f t="shared" si="252"/>
        <v>-</v>
      </c>
      <c r="AS412" s="3" t="str">
        <f t="shared" si="253"/>
        <v>-</v>
      </c>
      <c r="AT412" s="3">
        <f t="shared" si="254"/>
        <v>3</v>
      </c>
      <c r="AU412" s="3">
        <f t="shared" si="255"/>
        <v>1</v>
      </c>
      <c r="AV412" s="3" t="str">
        <f t="shared" si="256"/>
        <v>-</v>
      </c>
      <c r="AW412" s="3" t="str">
        <f t="shared" si="257"/>
        <v>-</v>
      </c>
      <c r="AX412" s="3">
        <f t="shared" si="258"/>
        <v>10</v>
      </c>
      <c r="AY412" s="3">
        <f t="shared" si="259"/>
        <v>6</v>
      </c>
      <c r="AZ412" s="3">
        <f t="shared" si="260"/>
        <v>1</v>
      </c>
      <c r="BA412" s="3">
        <f>IF(ISERROR(LEN(VLOOKUP(A412,Seqs!A:E,2,FALSE))-AL412),"-",LEN(VLOOKUP(A412,Seqs!A:E,2,FALSE))-AL412)</f>
        <v>7</v>
      </c>
      <c r="BB412" s="16">
        <f t="shared" si="261"/>
        <v>31</v>
      </c>
      <c r="BC412" s="9">
        <f t="shared" si="262"/>
        <v>20</v>
      </c>
      <c r="BD412" s="3">
        <f t="shared" si="263"/>
        <v>31</v>
      </c>
      <c r="BE412" s="3">
        <f t="shared" si="264"/>
        <v>53</v>
      </c>
      <c r="BF412" s="3">
        <f t="shared" si="249"/>
        <v>36</v>
      </c>
    </row>
    <row r="413" spans="1:58" s="3" customFormat="1" x14ac:dyDescent="0.2">
      <c r="A413" s="3" t="s">
        <v>480</v>
      </c>
      <c r="B413" s="3" t="str">
        <f>LOWER(VLOOKUP(A413,Xtal_Templ!A:B,2,FALSE))</f>
        <v>agtr1_human</v>
      </c>
      <c r="C413" s="3">
        <f>VLOOKUP($A413,'SegEnds_NonXtal_BW#'!$A:$Z,3,FALSE)+D413-50</f>
        <v>6</v>
      </c>
      <c r="D413" s="3">
        <v>24</v>
      </c>
      <c r="E413" s="3">
        <f t="shared" si="244"/>
        <v>36</v>
      </c>
      <c r="F413" s="3">
        <f t="shared" si="245"/>
        <v>37</v>
      </c>
      <c r="G413" s="3">
        <v>39</v>
      </c>
      <c r="H413" s="3">
        <f t="shared" si="246"/>
        <v>40</v>
      </c>
      <c r="I413" s="3">
        <f t="shared" si="246"/>
        <v>41</v>
      </c>
      <c r="J413" s="3">
        <v>55</v>
      </c>
      <c r="K413" s="3">
        <f>VLOOKUP($A413,'SegEnds_NonXtal_BW#'!$A:$Z,8,FALSE)+VLOOKUP($A413,A:AL,10,FALSE)-50</f>
        <v>71</v>
      </c>
      <c r="L413" s="3" t="str">
        <f>IF(ISERROR(VLOOKUP($A413,'SegEnds_NonXtal_BW#'!$A:$Z,9,FALSE)+VLOOKUP($A413,A:AL,13,FALSE)-50),"-",(VLOOKUP($A413,'SegEnds_NonXtal_BW#'!$A:$Z,9,FALSE)+VLOOKUP($A413,A:AL,13,FALSE)-50))</f>
        <v>-</v>
      </c>
      <c r="M413" s="3" t="s">
        <v>23</v>
      </c>
      <c r="N413" s="3" t="str">
        <f>IF(ISERROR(VLOOKUP($A413,'SegEnds_NonXtal_BW#'!$A:$Z,10,FALSE)+VLOOKUP($A413,A:AL,13,FALSE)-50),"-",(VLOOKUP($A413,'SegEnds_NonXtal_BW#'!$A:$Z,10,FALSE)+VLOOKUP($A413,A:AL,13,FALSE)-50))</f>
        <v>-</v>
      </c>
      <c r="O413" s="3">
        <f>VLOOKUP($A413,'SegEnds_NonXtal_BW#'!$A:$Z,11,FALSE)+VLOOKUP($A413,A:AL,16,FALSE)-50</f>
        <v>75</v>
      </c>
      <c r="P413" s="3">
        <v>107</v>
      </c>
      <c r="Q413" s="3">
        <f>VLOOKUP($A413,'SegEnds_NonXtal_BW#'!$A:$Z,12,FALSE)+VLOOKUP($A413,A:AL,16,FALSE)-50</f>
        <v>113</v>
      </c>
      <c r="R413" s="3">
        <f t="shared" si="247"/>
        <v>116</v>
      </c>
      <c r="S413" s="3">
        <v>116</v>
      </c>
      <c r="T413" s="100">
        <f t="shared" si="248"/>
        <v>123</v>
      </c>
      <c r="U413" s="9">
        <f>IF(ISERROR(VLOOKUP($A413,'SegEnds_NonXtal_BW#'!$A:$Z,15,FALSE)+VLOOKUP($A413,A:AL,22,FALSE)-50),"-",VLOOKUP($A413,'SegEnds_NonXtal_BW#'!$A:$Z,15,FALSE)+VLOOKUP($A413,A:AL,22,FALSE)-50)</f>
        <v>124</v>
      </c>
      <c r="V413" s="3">
        <v>136</v>
      </c>
      <c r="W413" s="3">
        <f>IF(ISERROR(VLOOKUP($A413,'SegEnds_NonXtal_BW#'!$A:$Z,16,FALSE)+VLOOKUP($A413,A:AL,22,FALSE)-50),"-",(VLOOKUP($A413,'SegEnds_NonXtal_BW#'!$A:$Z,16,FALSE)+VLOOKUP($A413,A:AL,22,FALSE)-50))</f>
        <v>150</v>
      </c>
      <c r="X413" s="3" t="str">
        <f>IF(ISERROR(VLOOKUP($A413,'SegEnds_NonXtal_BW#'!$A:$Z,17,FALSE)+VLOOKUP($A413,A:AL,25,FALSE)-50),"-",(VLOOKUP($A413,'SegEnds_NonXtal_BW#'!$A:$Z,17,FALSE)+VLOOKUP($A413,A:AL,25,FALSE)-50))</f>
        <v>-</v>
      </c>
      <c r="Y413" s="3" t="s">
        <v>23</v>
      </c>
      <c r="Z413" s="3" t="str">
        <f>IF(ISERROR(VLOOKUP($A413,'SegEnds_NonXtal_BW#'!$A:$Z,18,FALSE)+VLOOKUP($A413,A:AL,25,FALSE)-50),"-",(VLOOKUP($A413,'SegEnds_NonXtal_BW#'!$A:$Z,18,FALSE)+VLOOKUP($A413,A:AL,25,FALSE)-50))</f>
        <v>-</v>
      </c>
      <c r="AA413" s="3">
        <f>IF(ISERROR(VLOOKUP($A413,'SegEnds_NonXtal_BW#'!$A:$Z,19,FALSE)+VLOOKUP($A413,A:AL,28,FALSE)-50),"-",(VLOOKUP($A413,'SegEnds_NonXtal_BW#'!$A:$Z,19,FALSE)+VLOOKUP($A413,A:AL,28,FALSE)-50))</f>
        <v>172</v>
      </c>
      <c r="AB413" s="3">
        <v>190</v>
      </c>
      <c r="AC413" s="3">
        <f>IF(ISERROR((VLOOKUP($A413,'SegEnds_NonXtal_BW#'!$A:$Z,20,FALSE)+VLOOKUP($A413,A:AL,28,FALSE)-50)),"-",(VLOOKUP($A413,'SegEnds_NonXtal_BW#'!$A:$Z,20,FALSE)+VLOOKUP($A413,A:AL,28,FALSE)-50))</f>
        <v>212</v>
      </c>
      <c r="AD413" s="3">
        <f>IF(ISERROR(VLOOKUP($A413,'SegEnds_NonXtal_BW#'!$A:$Z,21,FALSE)+VLOOKUP($A413,A:AL,31,FALSE)-50),"-",(VLOOKUP($A413,'SegEnds_NonXtal_BW#'!$A:$Z,21,FALSE)+VLOOKUP($A413,A:AL,31,FALSE)-50))</f>
        <v>222</v>
      </c>
      <c r="AE413" s="3">
        <v>243</v>
      </c>
      <c r="AF413" s="3">
        <f>IF(ISERROR((VLOOKUP($A413,'SegEnds_NonXtal_BW#'!$A:$Z,22,FALSE)+VLOOKUP($A413,A:AL,31,FALSE)-50)),"-",(VLOOKUP($A413,'SegEnds_NonXtal_BW#'!$A:$Z,22,FALSE)+VLOOKUP($A413,A:AL,31,FALSE)-50))</f>
        <v>254</v>
      </c>
      <c r="AG413" s="3">
        <f>IF(ISERROR(VLOOKUP($A413,'SegEnds_NonXtal_BW#'!$A:$Z,23,FALSE)+VLOOKUP($A413,A:AL,34,FALSE)-50),"-",(VLOOKUP($A413,'SegEnds_NonXtal_BW#'!$A:$Z,23,FALSE)+VLOOKUP($A413,A:AL,34,FALSE)-50))</f>
        <v>260</v>
      </c>
      <c r="AH413" s="3">
        <v>279</v>
      </c>
      <c r="AI413" s="3">
        <f>IF(ISERROR((VLOOKUP($A413,'SegEnds_NonXtal_BW#'!$A:$Z,24,FALSE)+VLOOKUP($A413,A:AL,34,FALSE)-50)),"-",(VLOOKUP($A413,'SegEnds_NonXtal_BW#'!$A:$Z,24,FALSE)+VLOOKUP($A413,A:AL,34,FALSE)-50))</f>
        <v>285</v>
      </c>
      <c r="AJ413" s="3">
        <f>IF(ISERROR(VLOOKUP($A413,'SegEnds_NonXtal_BW#'!$A:$Z,25,FALSE)+VLOOKUP($A413,A:AL,37,FALSE)-50),"-",(VLOOKUP($A413,'SegEnds_NonXtal_BW#'!$A:$Z,25,FALSE)+VLOOKUP($A413,A:AL,37,FALSE)-50))</f>
        <v>286</v>
      </c>
      <c r="AK413" s="3">
        <v>289</v>
      </c>
      <c r="AL413" s="3">
        <f>IF(ISERROR((VLOOKUP($A413,'SegEnds_NonXtal_BW#'!$A:$Z,26,FALSE)+VLOOKUP($A413,A:AL,37,FALSE)-50)),"-",(VLOOKUP($A413,'SegEnds_NonXtal_BW#'!$A:$Z,26,FALSE)+VLOOKUP($A413,A:AL,37,FALSE)-50))</f>
        <v>299</v>
      </c>
      <c r="AM413" s="28" t="str">
        <f>VLOOKUP(A413,Classification!A:B,2,FALSE)</f>
        <v>T</v>
      </c>
      <c r="AN413" s="28" t="b">
        <f t="shared" si="265"/>
        <v>1</v>
      </c>
      <c r="AO413" s="3" t="str">
        <f>IF(ISERROR(MATCH(A413,'SegEnds_Xtal_Prot#'!B:B, 0)), "NoXtal", "Xtal")</f>
        <v>NoXtal</v>
      </c>
      <c r="AP413" s="3">
        <f t="shared" si="250"/>
        <v>1</v>
      </c>
      <c r="AQ413" s="3">
        <f t="shared" si="251"/>
        <v>1</v>
      </c>
      <c r="AR413" s="3" t="str">
        <f t="shared" si="252"/>
        <v>-</v>
      </c>
      <c r="AS413" s="3" t="str">
        <f t="shared" si="253"/>
        <v>-</v>
      </c>
      <c r="AT413" s="3">
        <f t="shared" si="254"/>
        <v>3</v>
      </c>
      <c r="AU413" s="3">
        <f t="shared" si="255"/>
        <v>1</v>
      </c>
      <c r="AV413" s="3" t="str">
        <f t="shared" si="256"/>
        <v>-</v>
      </c>
      <c r="AW413" s="3" t="str">
        <f t="shared" si="257"/>
        <v>-</v>
      </c>
      <c r="AX413" s="3">
        <f t="shared" si="258"/>
        <v>10</v>
      </c>
      <c r="AY413" s="3">
        <f t="shared" si="259"/>
        <v>6</v>
      </c>
      <c r="AZ413" s="3">
        <f t="shared" si="260"/>
        <v>1</v>
      </c>
      <c r="BA413" s="3">
        <f>IF(ISERROR(LEN(VLOOKUP(A413,Seqs!A:E,2,FALSE))-AL413),"-",LEN(VLOOKUP(A413,Seqs!A:E,2,FALSE))-AL413)</f>
        <v>13</v>
      </c>
      <c r="BB413" s="16">
        <f t="shared" si="261"/>
        <v>31</v>
      </c>
      <c r="BC413" s="9">
        <f t="shared" si="262"/>
        <v>20</v>
      </c>
      <c r="BD413" s="3">
        <f t="shared" si="263"/>
        <v>31</v>
      </c>
      <c r="BE413" s="3">
        <f t="shared" si="264"/>
        <v>53</v>
      </c>
      <c r="BF413" s="3">
        <f t="shared" si="249"/>
        <v>36</v>
      </c>
    </row>
    <row r="414" spans="1:58" s="3" customFormat="1" x14ac:dyDescent="0.2">
      <c r="T414" s="100"/>
      <c r="U414" s="9"/>
      <c r="AM414" s="28"/>
      <c r="AN414" s="16"/>
      <c r="BB414" s="16"/>
      <c r="BC414" s="9"/>
    </row>
    <row r="415" spans="1:58" s="3" customFormat="1" x14ac:dyDescent="0.2">
      <c r="T415" s="100"/>
      <c r="U415" s="9"/>
      <c r="AM415" s="28"/>
      <c r="AN415" s="16"/>
      <c r="BB415" s="16"/>
      <c r="BC415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3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3">
    <cfRule type="expression" dxfId="28" priority="25">
      <formula>NOT(OR(C2&lt;E2,C2="-",E2="-"))</formula>
    </cfRule>
  </conditionalFormatting>
  <conditionalFormatting sqref="K2:L2 K3 K4:L413">
    <cfRule type="expression" dxfId="27" priority="29">
      <formula>NOT(OR(G2&lt;K2,G2="-",K2="-"))</formula>
    </cfRule>
  </conditionalFormatting>
  <conditionalFormatting sqref="N2:O2 N4:N18 O3:O18 N19:O413">
    <cfRule type="expression" dxfId="26" priority="31">
      <formula>NOT(OR(I2&lt;N2,I2="-",N2="-"))</formula>
    </cfRule>
  </conditionalFormatting>
  <conditionalFormatting sqref="Q2:R413">
    <cfRule type="expression" dxfId="25" priority="33">
      <formula>NOT(OR(K2&lt;Q2,K2="-",Q2="-"))</formula>
    </cfRule>
  </conditionalFormatting>
  <conditionalFormatting sqref="T2:U413">
    <cfRule type="expression" dxfId="24" priority="35">
      <formula>NOT(OR(M2&lt;T2,M2="-",T2="-"))</formula>
    </cfRule>
  </conditionalFormatting>
  <conditionalFormatting sqref="W2:X413">
    <cfRule type="expression" dxfId="23" priority="37">
      <formula>NOT(OR(O2&lt;W2,O2="-",W2="-"))</formula>
    </cfRule>
  </conditionalFormatting>
  <conditionalFormatting sqref="Z2:AA413">
    <cfRule type="expression" dxfId="22" priority="39">
      <formula>NOT(OR(Q2&lt;Z2,Q2="-",Z2="-"))</formula>
    </cfRule>
  </conditionalFormatting>
  <conditionalFormatting sqref="AC2:AD413">
    <cfRule type="expression" dxfId="21" priority="41">
      <formula>NOT(OR(S2&lt;AC2,S2="-",AC2="-"))</formula>
    </cfRule>
  </conditionalFormatting>
  <conditionalFormatting sqref="AF2:AG413">
    <cfRule type="expression" dxfId="20" priority="43">
      <formula>NOT(OR(U2&lt;AF2,U2="-",AF2="-"))</formula>
    </cfRule>
  </conditionalFormatting>
  <conditionalFormatting sqref="AI2:AJ413">
    <cfRule type="expression" dxfId="19" priority="45">
      <formula>NOT(OR(W2&lt;AI2,W2="-",AI2="-"))</formula>
    </cfRule>
  </conditionalFormatting>
  <conditionalFormatting sqref="AL2:AL413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6"/>
  <sheetViews>
    <sheetView zoomScale="120" zoomScaleNormal="120" zoomScalePageLayoutView="120" workbookViewId="0">
      <pane ySplit="1" topLeftCell="A24" activePane="bottomLeft" state="frozenSplit"/>
      <selection pane="bottomLeft" activeCell="A43" sqref="A43:XFD43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1203</v>
      </c>
      <c r="C1" s="30" t="s">
        <v>99</v>
      </c>
      <c r="D1" s="30" t="s">
        <v>1226</v>
      </c>
      <c r="E1" s="30" t="s">
        <v>1469</v>
      </c>
      <c r="F1" s="55" t="s">
        <v>13</v>
      </c>
      <c r="G1" s="20" t="s">
        <v>5</v>
      </c>
      <c r="H1" s="4" t="s">
        <v>1363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1319</v>
      </c>
      <c r="P1" s="53" t="s">
        <v>1323</v>
      </c>
      <c r="Q1" s="53" t="s">
        <v>1366</v>
      </c>
      <c r="R1" s="20" t="s">
        <v>9</v>
      </c>
      <c r="S1" s="20" t="s">
        <v>1322</v>
      </c>
      <c r="T1" s="20" t="s">
        <v>12</v>
      </c>
      <c r="U1" s="20" t="s">
        <v>1324</v>
      </c>
      <c r="V1" s="26" t="s">
        <v>1309</v>
      </c>
      <c r="W1" s="30" t="s">
        <v>1310</v>
      </c>
      <c r="X1" s="30" t="s">
        <v>1311</v>
      </c>
      <c r="Y1" s="30" t="s">
        <v>1312</v>
      </c>
      <c r="Z1" s="30" t="s">
        <v>1313</v>
      </c>
      <c r="AA1" s="103" t="s">
        <v>1383</v>
      </c>
      <c r="AB1" s="26" t="s">
        <v>1314</v>
      </c>
      <c r="AC1" s="26" t="s">
        <v>1315</v>
      </c>
      <c r="AD1" s="26" t="s">
        <v>1316</v>
      </c>
      <c r="AE1" s="26" t="s">
        <v>1317</v>
      </c>
      <c r="AF1" s="30" t="s">
        <v>1318</v>
      </c>
      <c r="AG1" s="26" t="s">
        <v>1320</v>
      </c>
      <c r="AH1" s="30" t="s">
        <v>1321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1469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1319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1319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1319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1319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acm5_human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909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acm5_human</v>
      </c>
      <c r="C43" s="2" t="str">
        <f>VLOOKUP(A43,Classification!A:D,2,FALSE)</f>
        <v>A</v>
      </c>
      <c r="D43" s="2" t="str">
        <f>IF(ISERROR(MATCH(A43,'SegEnds_Xtal_Prot#'!B:B, 0)), "NoXtal", "Xtal")</f>
        <v>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911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mtr1a_human</v>
      </c>
      <c r="C59" s="2" t="str">
        <f>VLOOKUP(A59,Classification!A:D,2,FALSE)</f>
        <v>A</v>
      </c>
      <c r="D59" s="2" t="str">
        <f>IF(ISERROR(MATCH(A59,'SegEnds_Xtal_Prot#'!B:B, 0)), "NoXtal", "Xtal")</f>
        <v>Xtal</v>
      </c>
      <c r="G59" s="2" t="s">
        <v>5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ccr7_human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cltr2_human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ccr7_human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ccr7_human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ccr7_human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ccr7_human</v>
      </c>
      <c r="C95" s="2" t="str">
        <f>VLOOKUP(A95,Classification!A:D,2,FALSE)</f>
        <v>A</v>
      </c>
      <c r="D95" s="2" t="str">
        <f>IF(ISERROR(MATCH(A95,'SegEnds_Xtal_Prot#'!B:B, 0)), "NoXtal", "Xtal")</f>
        <v>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ccr7_human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ccr7_human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ccr7_human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1171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ccr7_human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5ht2c_human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1172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1322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1322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1440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1451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1"/>
      <c r="G140" s="121"/>
      <c r="H140" s="121"/>
      <c r="I140" s="121"/>
      <c r="J140" s="121"/>
      <c r="K140" s="121"/>
      <c r="L140" s="121"/>
      <c r="M140" s="121"/>
      <c r="N140" s="122" t="s">
        <v>14</v>
      </c>
      <c r="O140" s="121"/>
      <c r="P140" s="121"/>
      <c r="Q140" s="121"/>
      <c r="R140" s="121" t="s">
        <v>9</v>
      </c>
      <c r="S140" s="121"/>
      <c r="T140" s="121" t="s">
        <v>12</v>
      </c>
      <c r="U140" s="121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ntr1_human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ntr1_human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ntr1_human</v>
      </c>
      <c r="C148" s="2" t="str">
        <f>VLOOKUP(A148,Classification!A:D,2,FALSE)</f>
        <v>A</v>
      </c>
      <c r="D148" s="2" t="str">
        <f>IF(ISERROR(MATCH(A148,'SegEnds_Xtal_Prot#'!B:B, 0)), "NoXtal", "Xtal")</f>
        <v>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913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915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1322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917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ccr7_human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1173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ntr1_human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919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919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919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921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1363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mtr1a_human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npy1r_human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1174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ox1r_human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5ht2a_human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mtr1b_human</v>
      </c>
      <c r="C216" s="2" t="str">
        <f>VLOOKUP(A216,Classification!A:D,2,FALSE)</f>
        <v>A</v>
      </c>
      <c r="D216" s="2" t="str">
        <f>IF(ISERROR(MATCH(A216,'SegEnds_Xtal_Prot#'!B:B, 0)), "NoXtal", "Xtal")</f>
        <v>Xtal</v>
      </c>
      <c r="G216" s="2" t="s">
        <v>5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mtr1a_human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1175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cltr1_human</v>
      </c>
      <c r="C232" s="2" t="str">
        <f>VLOOKUP(A232,Classification!A:D,2,FALSE)</f>
        <v>A</v>
      </c>
      <c r="D232" s="2" t="str">
        <f>IF(ISERROR(MATCH(A232,'SegEnds_Xtal_Prot#'!B:B, 0)), "NoXtal", "Xtal")</f>
        <v>Xtal</v>
      </c>
      <c r="H232" s="4"/>
      <c r="N232" s="2" t="s">
        <v>14</v>
      </c>
      <c r="R232" s="2" t="s">
        <v>9</v>
      </c>
      <c r="S232" s="2" t="s">
        <v>1322</v>
      </c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cltr2_human</v>
      </c>
      <c r="C233" s="2" t="str">
        <f>VLOOKUP(A233,Classification!A:D,2,FALSE)</f>
        <v>A</v>
      </c>
      <c r="D233" s="2" t="str">
        <f>IF(ISERROR(MATCH(A233,'SegEnds_Xtal_Prot#'!B:B, 0)), "NoXtal", "Xtal")</f>
        <v>Xtal</v>
      </c>
      <c r="H233" s="4"/>
      <c r="N233" s="2" t="s">
        <v>14</v>
      </c>
      <c r="R233" s="2" t="s">
        <v>9</v>
      </c>
      <c r="S233" s="2" t="s">
        <v>1322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cltr2_human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ccr7_human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cltr2_human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cltr2_human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cltr1_human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1322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1322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1322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1322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1322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1322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sucr1_rat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1597</v>
      </c>
      <c r="B260" s="2" t="str">
        <f>LOWER(VLOOKUP(A260,Xtal_Templ!A:B,2,FALSE))</f>
        <v>sucr1_rat</v>
      </c>
      <c r="C260" s="2" t="str">
        <f>VLOOKUP(A260,Classification!A:D,2,FALSE)</f>
        <v>A</v>
      </c>
      <c r="D260" s="2" t="str">
        <f>IF(ISERROR(MATCH(A260,'SegEnds_Xtal_Prot#'!B:B, 0)), "NoXtal", "Xtal")</f>
        <v>Xtal</v>
      </c>
      <c r="H260" s="4"/>
      <c r="N260" s="2" t="s">
        <v>14</v>
      </c>
      <c r="R260" s="2" t="s">
        <v>9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T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M</v>
      </c>
      <c r="AA260" s="49" t="str">
        <f>MID(VLOOKUP($A260,Seqs!$A:$B,2,FALSE),VLOOKUP($A260,'SegEnds_NonXtal_Prot#'!A:AL,10,FALSE)+10,1)</f>
        <v>L</v>
      </c>
      <c r="AB260" s="28" t="str">
        <f>MID(VLOOKUP($A260,Seqs!$A:$B,2,FALSE),VLOOKUP($A260,'SegEnds_NonXtal_Prot#'!$A:$AL,22,FALSE)+6,1)</f>
        <v>E</v>
      </c>
      <c r="AC260" s="49" t="str">
        <f>MID(VLOOKUP($A260,Seqs!$A:$B,2,FALSE),VLOOKUP($A260,'SegEnds_NonXtal_Prot#'!$A:$AL,22,FALSE)+7,1)</f>
        <v>V</v>
      </c>
      <c r="AD260" s="49" t="str">
        <f>MID(VLOOKUP($A260,Seqs!$A:$B,2,FALSE),VLOOKUP($A260,'SegEnds_NonXtal_Prot#'!$A:$AL,22,FALSE)+8,1)</f>
        <v>L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M</v>
      </c>
      <c r="AG260" s="28" t="str">
        <f>MID(VLOOKUP($A260,Seqs!$A:$B,2,FALSE),VLOOKUP($A260,'SegEnds_NonXtal_Prot#'!$A:$AL,28,FALSE)-4,1)</f>
        <v>G</v>
      </c>
      <c r="AH260" s="49" t="str">
        <f>MID(VLOOKUP($A260,Seqs!$A:$B,2,FALSE),VLOOKUP($A260,'SegEnds_NonXtal_Prot#'!$A:$AL,28,FALSE),1)</f>
        <v>P</v>
      </c>
    </row>
    <row r="261" spans="1:34" s="2" customFormat="1" x14ac:dyDescent="0.2">
      <c r="A261" s="2" t="s">
        <v>229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V</v>
      </c>
      <c r="AA261" s="49" t="str">
        <f>MID(VLOOKUP($A261,Seqs!$A:$B,2,FALSE),VLOOKUP($A261,'SegEnds_NonXtal_Prot#'!A:AL,10,FALSE)+10,1)</f>
        <v>K</v>
      </c>
      <c r="AB261" s="28" t="str">
        <f>MID(VLOOKUP($A261,Seqs!$A:$B,2,FALSE),VLOOKUP($A261,'SegEnds_NonXtal_Prot#'!$A:$AL,22,FALSE)+6,1)</f>
        <v>I</v>
      </c>
      <c r="AC261" s="49" t="str">
        <f>MID(VLOOKUP($A261,Seqs!$A:$B,2,FALSE),VLOOKUP($A261,'SegEnds_NonXtal_Prot#'!$A:$AL,22,FALSE)+7,1)</f>
        <v>M</v>
      </c>
      <c r="AD261" s="49" t="str">
        <f>MID(VLOOKUP($A261,Seqs!$A:$B,2,FALSE),VLOOKUP($A261,'SegEnds_NonXtal_Prot#'!$A:$AL,22,FALSE)+8,1)</f>
        <v>V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N</v>
      </c>
      <c r="AG261" s="28" t="str">
        <f>MID(VLOOKUP($A261,Seqs!$A:$B,2,FALSE),VLOOKUP($A261,'SegEnds_NonXtal_Prot#'!$A:$AL,28,FALSE)-4,1)</f>
        <v>I</v>
      </c>
      <c r="AH261" s="49" t="str">
        <f>MID(VLOOKUP($A261,Seqs!$A:$B,2,FALSE),VLOOKUP($A261,'SegEnds_NonXtal_Prot#'!$A:$AL,28,FALSE),1)</f>
        <v>F</v>
      </c>
    </row>
    <row r="262" spans="1:34" s="2" customFormat="1" x14ac:dyDescent="0.2">
      <c r="A262" s="2" t="s">
        <v>234</v>
      </c>
      <c r="B262" s="2" t="str">
        <f>LOWER(VLOOKUP(A262,Xtal_Templ!A:B,2,FALSE))</f>
        <v>ccr5_human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N262" s="2" t="s">
        <v>14</v>
      </c>
      <c r="R262" s="2" t="s">
        <v>9</v>
      </c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A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T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Q</v>
      </c>
      <c r="AC262" s="49" t="str">
        <f>MID(VLOOKUP($A262,Seqs!$A:$B,2,FALSE),VLOOKUP($A262,'SegEnds_NonXtal_Prot#'!$A:$AL,22,FALSE)+7,1)</f>
        <v>T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P</v>
      </c>
      <c r="AF262" s="49" t="str">
        <f>MID(VLOOKUP($A262,Seqs!$A:$B,2,FALSE),VLOOKUP($A262,'SegEnds_NonXtal_Prot#'!$A:$AL,22,FALSE)+10,1)</f>
        <v>L</v>
      </c>
      <c r="AG262" s="28" t="str">
        <f>MID(VLOOKUP($A262,Seqs!$A:$B,2,FALSE),VLOOKUP($A262,'SegEnds_NonXtal_Prot#'!$A:$AL,28,FALSE)-4,1)</f>
        <v>G</v>
      </c>
      <c r="AH262" s="49" t="str">
        <f>MID(VLOOKUP($A262,Seqs!$A:$B,2,FALSE),VLOOKUP($A262,'SegEnds_NonXtal_Prot#'!$A:$AL,28,FALSE),1)</f>
        <v>P</v>
      </c>
    </row>
    <row r="263" spans="1:34" s="2" customFormat="1" x14ac:dyDescent="0.2">
      <c r="A263" s="2" t="s">
        <v>253</v>
      </c>
      <c r="B263" s="2" t="str">
        <f>LOWER(VLOOKUP(A263,Xtal_Templ!A:B,2,FALSE))</f>
        <v>cltr2_human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S263" s="106"/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C</v>
      </c>
      <c r="X263" s="49" t="str">
        <f>MID(VLOOKUP($A263,Seqs!$A:$B,2,FALSE),VLOOKUP($A263,'SegEnds_NonXtal_Prot#'!A:AL,10,FALSE)+7,1)</f>
        <v>L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G</v>
      </c>
      <c r="AC263" s="49" t="str">
        <f>MID(VLOOKUP($A263,Seqs!$A:$B,2,FALSE),VLOOKUP($A263,'SegEnds_NonXtal_Prot#'!$A:$AL,22,FALSE)+7,1)</f>
        <v>F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T</v>
      </c>
      <c r="AF263" s="49" t="str">
        <f>MID(VLOOKUP($A263,Seqs!$A:$B,2,FALSE),VLOOKUP($A263,'SegEnds_NonXtal_Prot#'!$A:$AL,22,FALSE)+10,1)</f>
        <v>M</v>
      </c>
      <c r="AG263" s="28" t="str">
        <f>MID(VLOOKUP($A263,Seqs!$A:$B,2,FALSE),VLOOKUP($A263,'SegEnds_NonXtal_Prot#'!$A:$AL,28,FALSE)-4,1)</f>
        <v>M</v>
      </c>
      <c r="AH263" s="49" t="str">
        <f>MID(VLOOKUP($A263,Seqs!$A:$B,2,FALSE),VLOOKUP($A263,'SegEnds_NonXtal_Prot#'!$A:$AL,28,FALSE),1)</f>
        <v>I</v>
      </c>
    </row>
    <row r="264" spans="1:34" s="2" customFormat="1" x14ac:dyDescent="0.2">
      <c r="A264" s="2" t="s">
        <v>272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N264" s="2" t="s">
        <v>14</v>
      </c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T</v>
      </c>
      <c r="X264" s="49" t="str">
        <f>MID(VLOOKUP($A264,Seqs!$A:$B,2,FALSE),VLOOKUP($A264,'SegEnds_NonXtal_Prot#'!A:AL,10,FALSE)+7,1)</f>
        <v>F</v>
      </c>
      <c r="Y264" s="49" t="str">
        <f>MID(VLOOKUP($A264,Seqs!$A:$B,2,FALSE),VLOOKUP($A264,'SegEnds_NonXtal_Prot#'!A:AL,10,FALSE)+8,1)</f>
        <v>P</v>
      </c>
      <c r="Z264" s="49" t="str">
        <f>MID(VLOOKUP($A264,Seqs!$A:$B,2,FALSE),VLOOKUP($A264,'SegEnds_NonXtal_Prot#'!A:AL,10,FALSE)+9,1)</f>
        <v>F</v>
      </c>
      <c r="AA264" s="49" t="str">
        <f>MID(VLOOKUP($A264,Seqs!$A:$B,2,FALSE),VLOOKUP($A264,'SegEnds_NonXtal_Prot#'!A:AL,10,FALSE)+10,1)</f>
        <v>R</v>
      </c>
      <c r="AB264" s="28" t="str">
        <f>MID(VLOOKUP($A264,Seqs!$A:$B,2,FALSE),VLOOKUP($A264,'SegEnds_NonXtal_Prot#'!$A:$AL,22,FALSE)+6,1)</f>
        <v>L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L</v>
      </c>
      <c r="AE264" s="49" t="str">
        <f>MID(VLOOKUP($A264,Seqs!$A:$B,2,FALSE),VLOOKUP($A264,'SegEnds_NonXtal_Prot#'!$A:$AL,22,FALSE)+9,1)</f>
        <v>P</v>
      </c>
      <c r="AF264" s="49" t="str">
        <f>MID(VLOOKUP($A264,Seqs!$A:$B,2,FALSE),VLOOKUP($A264,'SegEnds_NonXtal_Prot#'!$A:$AL,22,FALSE)+10,1)</f>
        <v>N</v>
      </c>
      <c r="AG264" s="28" t="str">
        <f>MID(VLOOKUP($A264,Seqs!$A:$B,2,FALSE),VLOOKUP($A264,'SegEnds_NonXtal_Prot#'!$A:$AL,28,FALSE)-4,1)</f>
        <v>L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307</v>
      </c>
      <c r="B265" s="2" t="str">
        <f>LOWER(VLOOKUP(A265,Xtal_Templ!A:B,2,FALSE))</f>
        <v>pd2r2_human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H265" s="4"/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G</v>
      </c>
      <c r="X265" s="49" t="str">
        <f>MID(VLOOKUP($A265,Seqs!$A:$B,2,FALSE),VLOOKUP($A265,'SegEnds_NonXtal_Prot#'!A:AL,10,FALSE)+7,1)</f>
        <v>H</v>
      </c>
      <c r="Y265" s="49" t="str">
        <f>MID(VLOOKUP($A265,Seqs!$A:$B,2,FALSE),VLOOKUP($A265,'SegEnds_NonXtal_Prot#'!A:AL,10,FALSE)+8,1)</f>
        <v>I</v>
      </c>
      <c r="Z265" s="49" t="str">
        <f>MID(VLOOKUP($A265,Seqs!$A:$B,2,FALSE),VLOOKUP($A265,'SegEnds_NonXtal_Prot#'!A:AL,10,FALSE)+9,1)</f>
        <v>I</v>
      </c>
      <c r="AA265" s="49" t="str">
        <f>MID(VLOOKUP($A265,Seqs!$A:$B,2,FALSE),VLOOKUP($A265,'SegEnds_NonXtal_Prot#'!A:AL,10,FALSE)+10,1)</f>
        <v>C</v>
      </c>
      <c r="AB265" s="28" t="str">
        <f>MID(VLOOKUP($A265,Seqs!$A:$B,2,FALSE),VLOOKUP($A265,'SegEnds_NonXtal_Prot#'!$A:$AL,22,FALSE)+6,1)</f>
        <v>R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I</v>
      </c>
      <c r="AE265" s="49" t="str">
        <f>MID(VLOOKUP($A265,Seqs!$A:$B,2,FALSE),VLOOKUP($A265,'SegEnds_NonXtal_Prot#'!$A:$AL,22,FALSE)+9,1)</f>
        <v>L</v>
      </c>
      <c r="AF265" s="49" t="str">
        <f>MID(VLOOKUP($A265,Seqs!$A:$B,2,FALSE),VLOOKUP($A265,'SegEnds_NonXtal_Prot#'!$A:$AL,22,FALSE)+10,1)</f>
        <v>E</v>
      </c>
      <c r="AG265" s="28" t="str">
        <f>MID(VLOOKUP($A265,Seqs!$A:$B,2,FALSE),VLOOKUP($A265,'SegEnds_NonXtal_Prot#'!$A:$AL,28,FALSE)-4,1)</f>
        <v>V</v>
      </c>
      <c r="AH265" s="49" t="str">
        <f>MID(VLOOKUP($A265,Seqs!$A:$B,2,FALSE),VLOOKUP($A265,'SegEnds_NonXtal_Prot#'!$A:$AL,28,FALSE),1)</f>
        <v>V</v>
      </c>
    </row>
    <row r="266" spans="1:34" s="2" customFormat="1" x14ac:dyDescent="0.2">
      <c r="A266" s="2" t="s">
        <v>352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Xtal</v>
      </c>
      <c r="H266" s="4"/>
      <c r="S266" s="2" t="s">
        <v>1322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T</v>
      </c>
      <c r="X266" s="49" t="str">
        <f>MID(VLOOKUP($A266,Seqs!$A:$B,2,FALSE),VLOOKUP($A266,'SegEnds_NonXtal_Prot#'!A:AL,10,FALSE)+7,1)</f>
        <v>F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L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N</v>
      </c>
    </row>
    <row r="267" spans="1:34" s="2" customFormat="1" x14ac:dyDescent="0.2">
      <c r="A267" s="2" t="s">
        <v>353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1322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M</v>
      </c>
      <c r="X267" s="49" t="str">
        <f>MID(VLOOKUP($A267,Seqs!$A:$B,2,FALSE),VLOOKUP($A267,'SegEnds_NonXtal_Prot#'!A:AL,10,FALSE)+7,1)</f>
        <v>L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I</v>
      </c>
      <c r="AC267" s="49" t="str">
        <f>MID(VLOOKUP($A267,Seqs!$A:$B,2,FALSE),VLOOKUP($A267,'SegEnds_NonXtal_Prot#'!$A:$AL,22,FALSE)+7,1)</f>
        <v>S</v>
      </c>
      <c r="AD267" s="49" t="str">
        <f>MID(VLOOKUP($A267,Seqs!$A:$B,2,FALSE),VLOOKUP($A267,'SegEnds_NonXtal_Prot#'!$A:$AL,22,FALSE)+8,1)</f>
        <v>L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354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H268" s="4"/>
      <c r="S268" s="2" t="s">
        <v>1322</v>
      </c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T</v>
      </c>
      <c r="X268" s="49" t="str">
        <f>MID(VLOOKUP($A268,Seqs!$A:$B,2,FALSE),VLOOKUP($A268,'SegEnds_NonXtal_Prot#'!A:AL,10,FALSE)+7,1)</f>
        <v>F</v>
      </c>
      <c r="Y268" s="49" t="str">
        <f>MID(VLOOKUP($A268,Seqs!$A:$B,2,FALSE),VLOOKUP($A268,'SegEnds_NonXtal_Prot#'!A:AL,10,FALSE)+8,1)</f>
        <v>P</v>
      </c>
      <c r="Z268" s="49" t="str">
        <f>MID(VLOOKUP($A268,Seqs!$A:$B,2,FALSE),VLOOKUP($A268,'SegEnds_NonXtal_Prot#'!A:AL,10,FALSE)+9,1)</f>
        <v>F</v>
      </c>
      <c r="AA268" s="49" t="str">
        <f>MID(VLOOKUP($A268,Seqs!$A:$B,2,FALSE),VLOOKUP($A268,'SegEnds_NonXtal_Prot#'!A:AL,10,FALSE)+10,1)</f>
        <v>K</v>
      </c>
      <c r="AB268" s="28" t="str">
        <f>MID(VLOOKUP($A268,Seqs!$A:$B,2,FALSE),VLOOKUP($A268,'SegEnds_NonXtal_Prot#'!$A:$AL,22,FALSE)+6,1)</f>
        <v>L</v>
      </c>
      <c r="AC268" s="49" t="str">
        <f>MID(VLOOKUP($A268,Seqs!$A:$B,2,FALSE),VLOOKUP($A268,'SegEnds_NonXtal_Prot#'!$A:$AL,22,FALSE)+7,1)</f>
        <v>A</v>
      </c>
      <c r="AD268" s="49" t="str">
        <f>MID(VLOOKUP($A268,Seqs!$A:$B,2,FALSE),VLOOKUP($A268,'SegEnds_NonXtal_Prot#'!$A:$AL,22,FALSE)+8,1)</f>
        <v>V</v>
      </c>
      <c r="AE268" s="49" t="str">
        <f>MID(VLOOKUP($A268,Seqs!$A:$B,2,FALSE),VLOOKUP($A268,'SegEnds_NonXtal_Prot#'!$A:$AL,22,FALSE)+9,1)</f>
        <v>P</v>
      </c>
      <c r="AF268" s="49" t="str">
        <f>MID(VLOOKUP($A268,Seqs!$A:$B,2,FALSE),VLOOKUP($A268,'SegEnds_NonXtal_Prot#'!$A:$AL,22,FALSE)+10,1)</f>
        <v>N</v>
      </c>
      <c r="AG268" s="28" t="str">
        <f>MID(VLOOKUP($A268,Seqs!$A:$B,2,FALSE),VLOOKUP($A268,'SegEnds_NonXtal_Prot#'!$A:$AL,28,FALSE)-4,1)</f>
        <v>I</v>
      </c>
      <c r="AH268" s="49" t="str">
        <f>MID(VLOOKUP($A268,Seqs!$A:$B,2,FALSE),VLOOKUP($A268,'SegEnds_NonXtal_Prot#'!$A:$AL,28,FALSE),1)</f>
        <v>V</v>
      </c>
    </row>
    <row r="269" spans="1:34" s="2" customFormat="1" x14ac:dyDescent="0.2">
      <c r="A269" s="2" t="s">
        <v>364</v>
      </c>
      <c r="B269" s="2" t="str">
        <f>LOWER(VLOOKUP(A269,Xtal_Templ!A:B,2,FALSE))</f>
        <v>pe2r4_human</v>
      </c>
      <c r="C269" s="2" t="str">
        <f>VLOOKUP(A269,Classification!A:D,2,FALSE)</f>
        <v>A</v>
      </c>
      <c r="D269" s="2" t="str">
        <f>IF(ISERROR(MATCH(A269,'SegEnds_Xtal_Prot#'!B:B, 0)), "NoXtal", "Xtal")</f>
        <v>Xtal</v>
      </c>
      <c r="G269" s="2" t="s">
        <v>5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L</v>
      </c>
      <c r="X269" s="49" t="str">
        <f>MID(VLOOKUP($A269,Seqs!$A:$B,2,FALSE),VLOOKUP($A269,'SegEnds_NonXtal_Prot#'!A:AL,10,FALSE)+7,1)</f>
        <v>V</v>
      </c>
      <c r="Y269" s="49" t="str">
        <f>MID(VLOOKUP($A269,Seqs!$A:$B,2,FALSE),VLOOKUP($A269,'SegEnds_NonXtal_Prot#'!A:AL,10,FALSE)+8,1)</f>
        <v>S</v>
      </c>
      <c r="Z269" s="49" t="str">
        <f>MID(VLOOKUP($A269,Seqs!$A:$B,2,FALSE),VLOOKUP($A269,'SegEnds_NonXtal_Prot#'!A:AL,10,FALSE)+9,1)</f>
        <v>P</v>
      </c>
      <c r="AA269" s="49" t="str">
        <f>MID(VLOOKUP($A269,Seqs!$A:$B,2,FALSE),VLOOKUP($A269,'SegEnds_NonXtal_Prot#'!A:AL,10,FALSE)+10,1)</f>
        <v>V</v>
      </c>
      <c r="AB269" s="28" t="str">
        <f>MID(VLOOKUP($A269,Seqs!$A:$B,2,FALSE),VLOOKUP($A269,'SegEnds_NonXtal_Prot#'!$A:$AL,22,FALSE)+6,1)</f>
        <v>F</v>
      </c>
      <c r="AC269" s="49" t="str">
        <f>MID(VLOOKUP($A269,Seqs!$A:$B,2,FALSE),VLOOKUP($A269,'SegEnds_NonXtal_Prot#'!$A:$AL,22,FALSE)+7,1)</f>
        <v>C</v>
      </c>
      <c r="AD269" s="49" t="str">
        <f>MID(VLOOKUP($A269,Seqs!$A:$B,2,FALSE),VLOOKUP($A269,'SegEnds_NonXtal_Prot#'!$A:$AL,22,FALSE)+8,1)</f>
        <v>A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F</v>
      </c>
      <c r="AH269" s="49" t="str">
        <f>MID(VLOOKUP($A269,Seqs!$A:$B,2,FALSE),VLOOKUP($A269,'SegEnds_NonXtal_Prot#'!$A:$AL,28,FALSE),1)</f>
        <v>L</v>
      </c>
    </row>
    <row r="270" spans="1:34" s="2" customFormat="1" x14ac:dyDescent="0.2">
      <c r="A270" s="2" t="s">
        <v>365</v>
      </c>
      <c r="B270" s="2" t="str">
        <f>LOWER(VLOOKUP(A270,Xtal_Templ!A:B,2,FALSE))</f>
        <v>ta2r_human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H270" s="4"/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I</v>
      </c>
      <c r="X270" s="49" t="str">
        <f>MID(VLOOKUP($A270,Seqs!$A:$B,2,FALSE),VLOOKUP($A270,'SegEnds_NonXtal_Prot#'!A:AL,10,FALSE)+7,1)</f>
        <v>N</v>
      </c>
      <c r="Y270" s="49" t="str">
        <f>MID(VLOOKUP($A270,Seqs!$A:$B,2,FALSE),VLOOKUP($A270,'SegEnds_NonXtal_Prot#'!A:AL,10,FALSE)+8,1)</f>
        <v>G</v>
      </c>
      <c r="Z270" s="49" t="str">
        <f>MID(VLOOKUP($A270,Seqs!$A:$B,2,FALSE),VLOOKUP($A270,'SegEnds_NonXtal_Prot#'!A:AL,10,FALSE)+9,1)</f>
        <v>A</v>
      </c>
      <c r="AA270" s="49" t="str">
        <f>MID(VLOOKUP($A270,Seqs!$A:$B,2,FALSE),VLOOKUP($A270,'SegEnds_NonXtal_Prot#'!A:AL,10,FALSE)+10,1)</f>
        <v>I</v>
      </c>
      <c r="AB270" s="28" t="str">
        <f>MID(VLOOKUP($A270,Seqs!$A:$B,2,FALSE),VLOOKUP($A270,'SegEnds_NonXtal_Prot#'!$A:$AL,22,FALSE)+6,1)</f>
        <v>I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L</v>
      </c>
      <c r="AE270" s="49" t="str">
        <f>MID(VLOOKUP($A270,Seqs!$A:$B,2,FALSE),VLOOKUP($A270,'SegEnds_NonXtal_Prot#'!$A:$AL,22,FALSE)+9,1)</f>
        <v>L</v>
      </c>
      <c r="AF270" s="49" t="str">
        <f>MID(VLOOKUP($A270,Seqs!$A:$B,2,FALSE),VLOOKUP($A270,'SegEnds_NonXtal_Prot#'!$A:$AL,22,FALSE)+10,1)</f>
        <v>P</v>
      </c>
      <c r="AG270" s="28" t="str">
        <f>MID(VLOOKUP($A270,Seqs!$A:$B,2,FALSE),VLOOKUP($A270,'SegEnds_NonXtal_Prot#'!$A:$AL,28,FALSE)-4,1)</f>
        <v>L</v>
      </c>
      <c r="AH270" s="49" t="str">
        <f>MID(VLOOKUP($A270,Seqs!$A:$B,2,FALSE),VLOOKUP($A270,'SegEnds_NonXtal_Prot#'!$A:$AL,28,FALSE),1)</f>
        <v>G</v>
      </c>
    </row>
    <row r="271" spans="1:34" s="2" customFormat="1" x14ac:dyDescent="0.2">
      <c r="A271" s="2" t="s">
        <v>371</v>
      </c>
      <c r="B271" s="2" t="str">
        <f>LOWER(VLOOKUP(A271,Xtal_Templ!A:B,2,FALSE))</f>
        <v>ptafr_human</v>
      </c>
      <c r="C271" s="2" t="str">
        <f>VLOOKUP(A271,Classification!A:D,2,FALSE)</f>
        <v>A</v>
      </c>
      <c r="D271" s="2" t="str">
        <f>IF(ISERROR(MATCH(A271,'SegEnds_Xtal_Prot#'!B:B, 0)), "NoXtal", "Xtal")</f>
        <v>Xtal</v>
      </c>
      <c r="H271" s="4"/>
      <c r="S271" s="2" t="s">
        <v>1322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T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L</v>
      </c>
      <c r="AA271" s="49" t="str">
        <f>MID(VLOOKUP($A271,Seqs!$A:$B,2,FALSE),VLOOKUP($A271,'SegEnds_NonXtal_Prot#'!A:AL,10,FALSE)+10,1)</f>
        <v>W</v>
      </c>
      <c r="AB271" s="28" t="str">
        <f>MID(VLOOKUP($A271,Seqs!$A:$B,2,FALSE),VLOOKUP($A271,'SegEnds_NonXtal_Prot#'!$A:$AL,22,FALSE)+6,1)</f>
        <v>A</v>
      </c>
      <c r="AC271" s="49" t="str">
        <f>MID(VLOOKUP($A271,Seqs!$A:$B,2,FALSE),VLOOKUP($A271,'SegEnds_NonXtal_Prot#'!$A:$AL,22,FALSE)+7,1)</f>
        <v>A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Y</v>
      </c>
      <c r="AF271" s="49" t="str">
        <f>MID(VLOOKUP($A271,Seqs!$A:$B,2,FALSE),VLOOKUP($A271,'SegEnds_NonXtal_Prot#'!$A:$AL,22,FALSE)+10,1)</f>
        <v>F</v>
      </c>
      <c r="AG271" s="28" t="str">
        <f>MID(VLOOKUP($A271,Seqs!$A:$B,2,FALSE),VLOOKUP($A271,'SegEnds_NonXtal_Prot#'!$A:$AL,28,FALSE)-4,1)</f>
        <v>S</v>
      </c>
      <c r="AH271" s="49" t="str">
        <f>MID(VLOOKUP($A271,Seqs!$A:$B,2,FALSE),VLOOKUP($A271,'SegEnds_NonXtal_Prot#'!$A:$AL,28,FALSE),1)</f>
        <v>V</v>
      </c>
    </row>
    <row r="272" spans="1:34" s="2" customFormat="1" x14ac:dyDescent="0.2">
      <c r="A272" s="2" t="s">
        <v>199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S272" s="2" t="s">
        <v>1322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F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F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H</v>
      </c>
      <c r="AC272" s="49" t="str">
        <f>MID(VLOOKUP($A272,Seqs!$A:$B,2,FALSE),VLOOKUP($A272,'SegEnds_NonXtal_Prot#'!$A:$AL,22,FALSE)+7,1)</f>
        <v>C</v>
      </c>
      <c r="AD272" s="49" t="str">
        <f>MID(VLOOKUP($A272,Seqs!$A:$B,2,FALSE),VLOOKUP($A272,'SegEnds_NonXtal_Prot#'!$A:$AL,22,FALSE)+8,1)</f>
        <v>S</v>
      </c>
      <c r="AE272" s="49" t="str">
        <f>MID(VLOOKUP($A272,Seqs!$A:$B,2,FALSE),VLOOKUP($A272,'SegEnds_NonXtal_Prot#'!$A:$AL,22,FALSE)+9,1)</f>
        <v>V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L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243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S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T</v>
      </c>
      <c r="AA273" s="49" t="str">
        <f>MID(VLOOKUP($A273,Seqs!$A:$B,2,FALSE),VLOOKUP($A273,'SegEnds_NonXtal_Prot#'!A:AL,10,FALSE)+10,1)</f>
        <v>R</v>
      </c>
      <c r="AB273" s="28" t="str">
        <f>MID(VLOOKUP($A273,Seqs!$A:$B,2,FALSE),VLOOKUP($A273,'SegEnds_NonXtal_Prot#'!$A:$AL,22,FALSE)+6,1)</f>
        <v>V</v>
      </c>
      <c r="AC273" s="49" t="str">
        <f>MID(VLOOKUP($A273,Seqs!$A:$B,2,FALSE),VLOOKUP($A273,'SegEnds_NonXtal_Prot#'!$A:$AL,22,FALSE)+7,1)</f>
        <v>T</v>
      </c>
      <c r="AD273" s="49" t="str">
        <f>MID(VLOOKUP($A273,Seqs!$A:$B,2,FALSE),VLOOKUP($A273,'SegEnds_NonXtal_Prot#'!$A:$AL,22,FALSE)+8,1)</f>
        <v>L</v>
      </c>
      <c r="AE273" s="49" t="str">
        <f>MID(VLOOKUP($A273,Seqs!$A:$B,2,FALSE),VLOOKUP($A273,'SegEnds_NonXtal_Prot#'!$A:$AL,22,FALSE)+9,1)</f>
        <v>S</v>
      </c>
      <c r="AF273" s="49" t="str">
        <f>MID(VLOOKUP($A273,Seqs!$A:$B,2,FALSE),VLOOKUP($A273,'SegEnds_NonXtal_Prot#'!$A:$AL,22,FALSE)+10,1)</f>
        <v>V</v>
      </c>
      <c r="AG273" s="28" t="str">
        <f>MID(VLOOKUP($A273,Seqs!$A:$B,2,FALSE),VLOOKUP($A273,'SegEnds_NonXtal_Prot#'!$A:$AL,28,FALSE)-4,1)</f>
        <v>E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254</v>
      </c>
      <c r="B274" s="2" t="str">
        <f>LOWER(VLOOKUP(A274,Xtal_Templ!A:B,2,FALSE))</f>
        <v>oprk_human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T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V</v>
      </c>
      <c r="AB274" s="28" t="str">
        <f>MID(VLOOKUP($A274,Seqs!$A:$B,2,FALSE),VLOOKUP($A274,'SegEnds_NonXtal_Prot#'!$A:$AL,22,FALSE)+6,1)</f>
        <v>S</v>
      </c>
      <c r="AC274" s="49" t="str">
        <f>MID(VLOOKUP($A274,Seqs!$A:$B,2,FALSE),VLOOKUP($A274,'SegEnds_NonXtal_Prot#'!$A:$AL,22,FALSE)+7,1)</f>
        <v>L</v>
      </c>
      <c r="AD274" s="49" t="str">
        <f>MID(VLOOKUP($A274,Seqs!$A:$B,2,FALSE),VLOOKUP($A274,'SegEnds_NonXtal_Prot#'!$A:$AL,22,FALSE)+8,1)</f>
        <v>V</v>
      </c>
      <c r="AE274" s="49" t="str">
        <f>MID(VLOOKUP($A274,Seqs!$A:$B,2,FALSE),VLOOKUP($A274,'SegEnds_NonXtal_Prot#'!$A:$AL,22,FALSE)+9,1)</f>
        <v>A</v>
      </c>
      <c r="AF274" s="49" t="str">
        <f>MID(VLOOKUP($A274,Seqs!$A:$B,2,FALSE),VLOOKUP($A274,'SegEnds_NonXtal_Prot#'!$A:$AL,22,FALSE)+10,1)</f>
        <v>R</v>
      </c>
      <c r="AG274" s="28" t="str">
        <f>MID(VLOOKUP($A274,Seqs!$A:$B,2,FALSE),VLOOKUP($A274,'SegEnds_NonXtal_Prot#'!$A:$AL,28,FALSE)-4,1)</f>
        <v>G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258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R275" s="2" t="s">
        <v>9</v>
      </c>
      <c r="S275" s="2" t="s">
        <v>1322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F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R</v>
      </c>
      <c r="AB275" s="28" t="str">
        <f>MID(VLOOKUP($A275,Seqs!$A:$B,2,FALSE),VLOOKUP($A275,'SegEnds_NonXtal_Prot#'!$A:$AL,22,FALSE)+6,1)</f>
        <v>H</v>
      </c>
      <c r="AC275" s="49" t="str">
        <f>MID(VLOOKUP($A275,Seqs!$A:$B,2,FALSE),VLOOKUP($A275,'SegEnds_NonXtal_Prot#'!$A:$AL,22,FALSE)+7,1)</f>
        <v>C</v>
      </c>
      <c r="AD275" s="49" t="str">
        <f>MID(VLOOKUP($A275,Seqs!$A:$B,2,FALSE),VLOOKUP($A275,'SegEnds_NonXtal_Prot#'!$A:$AL,22,FALSE)+8,1)</f>
        <v>S</v>
      </c>
      <c r="AE275" s="49" t="str">
        <f>MID(VLOOKUP($A275,Seqs!$A:$B,2,FALSE),VLOOKUP($A275,'SegEnds_NonXtal_Prot#'!$A:$AL,22,FALSE)+9,1)</f>
        <v>V</v>
      </c>
      <c r="AF275" s="49" t="str">
        <f>MID(VLOOKUP($A275,Seqs!$A:$B,2,FALSE),VLOOKUP($A275,'SegEnds_NonXtal_Prot#'!$A:$AL,22,FALSE)+10,1)</f>
        <v>V</v>
      </c>
      <c r="AG275" s="28" t="str">
        <f>MID(VLOOKUP($A275,Seqs!$A:$B,2,FALSE),VLOOKUP($A275,'SegEnds_NonXtal_Prot#'!$A:$AL,28,FALSE)-4,1)</f>
        <v>L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261</v>
      </c>
      <c r="B276" s="2" t="str">
        <f>LOWER(VLOOKUP(A276,Xtal_Templ!A:B,2,FALSE))</f>
        <v>oprk_human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N276" s="2" t="s">
        <v>14</v>
      </c>
      <c r="R276" s="2" t="s">
        <v>9</v>
      </c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S</v>
      </c>
      <c r="X276" s="49" t="str">
        <f>MID(VLOOKUP($A276,Seqs!$A:$B,2,FALSE),VLOOKUP($A276,'SegEnds_NonXtal_Prot#'!A:AL,10,FALSE)+7,1)</f>
        <v>L</v>
      </c>
      <c r="Y276" s="49" t="str">
        <f>MID(VLOOKUP($A276,Seqs!$A:$B,2,FALSE),VLOOKUP($A276,'SegEnds_NonXtal_Prot#'!A:AL,10,FALSE)+8,1)</f>
        <v>P</v>
      </c>
      <c r="Z276" s="49" t="str">
        <f>MID(VLOOKUP($A276,Seqs!$A:$B,2,FALSE),VLOOKUP($A276,'SegEnds_NonXtal_Prot#'!A:AL,10,FALSE)+9,1)</f>
        <v>F</v>
      </c>
      <c r="AA276" s="49" t="str">
        <f>MID(VLOOKUP($A276,Seqs!$A:$B,2,FALSE),VLOOKUP($A276,'SegEnds_NonXtal_Prot#'!A:AL,10,FALSE)+10,1)</f>
        <v>K</v>
      </c>
      <c r="AB276" s="28" t="str">
        <f>MID(VLOOKUP($A276,Seqs!$A:$B,2,FALSE),VLOOKUP($A276,'SegEnds_NonXtal_Prot#'!$A:$AL,22,FALSE)+6,1)</f>
        <v>G</v>
      </c>
      <c r="AC276" s="49" t="str">
        <f>MID(VLOOKUP($A276,Seqs!$A:$B,2,FALSE),VLOOKUP($A276,'SegEnds_NonXtal_Prot#'!$A:$AL,22,FALSE)+7,1)</f>
        <v>S</v>
      </c>
      <c r="AD276" s="49" t="str">
        <f>MID(VLOOKUP($A276,Seqs!$A:$B,2,FALSE),VLOOKUP($A276,'SegEnds_NonXtal_Prot#'!$A:$AL,22,FALSE)+8,1)</f>
        <v>I</v>
      </c>
      <c r="AE276" s="49" t="str">
        <f>MID(VLOOKUP($A276,Seqs!$A:$B,2,FALSE),VLOOKUP($A276,'SegEnds_NonXtal_Prot#'!$A:$AL,22,FALSE)+9,1)</f>
        <v>P</v>
      </c>
      <c r="AF276" s="49" t="str">
        <f>MID(VLOOKUP($A276,Seqs!$A:$B,2,FALSE),VLOOKUP($A276,'SegEnds_NonXtal_Prot#'!$A:$AL,22,FALSE)+10,1)</f>
        <v>I</v>
      </c>
      <c r="AG276" s="28" t="str">
        <f>MID(VLOOKUP($A276,Seqs!$A:$B,2,FALSE),VLOOKUP($A276,'SegEnds_NonXtal_Prot#'!$A:$AL,28,FALSE)-4,1)</f>
        <v>G</v>
      </c>
      <c r="AH276" s="49" t="str">
        <f>MID(VLOOKUP($A276,Seqs!$A:$B,2,FALSE),VLOOKUP($A276,'SegEnds_NonXtal_Prot#'!$A:$AL,28,FALSE),1)</f>
        <v>P</v>
      </c>
    </row>
    <row r="277" spans="1:34" s="2" customFormat="1" x14ac:dyDescent="0.2">
      <c r="A277" s="2" t="s">
        <v>302</v>
      </c>
      <c r="B277" s="2" t="str">
        <f>LOWER(VLOOKUP(A277,Xtal_Templ!A:B,2,FALSE))</f>
        <v>cxcr4_human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C</v>
      </c>
      <c r="X277" s="49" t="str">
        <f>MID(VLOOKUP($A277,Seqs!$A:$B,2,FALSE),VLOOKUP($A277,'SegEnds_NonXtal_Prot#'!A:AL,10,FALSE)+7,1)</f>
        <v>H</v>
      </c>
      <c r="Y277" s="49" t="str">
        <f>MID(VLOOKUP($A277,Seqs!$A:$B,2,FALSE),VLOOKUP($A277,'SegEnds_NonXtal_Prot#'!A:AL,10,FALSE)+8,1)</f>
        <v>M</v>
      </c>
      <c r="Z277" s="49" t="str">
        <f>MID(VLOOKUP($A277,Seqs!$A:$B,2,FALSE),VLOOKUP($A277,'SegEnds_NonXtal_Prot#'!A:AL,10,FALSE)+9,1)</f>
        <v>V</v>
      </c>
      <c r="AA277" s="49" t="str">
        <f>MID(VLOOKUP($A277,Seqs!$A:$B,2,FALSE),VLOOKUP($A277,'SegEnds_NonXtal_Prot#'!A:AL,10,FALSE)+10,1)</f>
        <v>A</v>
      </c>
      <c r="AB277" s="28" t="str">
        <f>MID(VLOOKUP($A277,Seqs!$A:$B,2,FALSE),VLOOKUP($A277,'SegEnds_NonXtal_Prot#'!$A:$AL,22,FALSE)+6,1)</f>
        <v>L</v>
      </c>
      <c r="AC277" s="49" t="str">
        <f>MID(VLOOKUP($A277,Seqs!$A:$B,2,FALSE),VLOOKUP($A277,'SegEnds_NonXtal_Prot#'!$A:$AL,22,FALSE)+7,1)</f>
        <v>H</v>
      </c>
      <c r="AD277" s="49" t="str">
        <f>MID(VLOOKUP($A277,Seqs!$A:$B,2,FALSE),VLOOKUP($A277,'SegEnds_NonXtal_Prot#'!$A:$AL,22,FALSE)+8,1)</f>
        <v>L</v>
      </c>
      <c r="AE277" s="49" t="str">
        <f>MID(VLOOKUP($A277,Seqs!$A:$B,2,FALSE),VLOOKUP($A277,'SegEnds_NonXtal_Prot#'!$A:$AL,22,FALSE)+9,1)</f>
        <v>L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A</v>
      </c>
      <c r="AH277" s="49" t="str">
        <f>MID(VLOOKUP($A277,Seqs!$A:$B,2,FALSE),VLOOKUP($A277,'SegEnds_NonXtal_Prot#'!$A:$AL,28,FALSE),1)</f>
        <v>C</v>
      </c>
    </row>
    <row r="278" spans="1:34" s="2" customFormat="1" x14ac:dyDescent="0.2">
      <c r="A278" s="2" t="s">
        <v>349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H278" s="4"/>
      <c r="R278" s="2" t="s">
        <v>9</v>
      </c>
      <c r="S278" s="2" t="s">
        <v>1322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Q</v>
      </c>
      <c r="AB278" s="28" t="str">
        <f>MID(VLOOKUP($A278,Seqs!$A:$B,2,FALSE),VLOOKUP($A278,'SegEnds_NonXtal_Prot#'!$A:$AL,22,FALSE)+6,1)</f>
        <v>A</v>
      </c>
      <c r="AC278" s="49" t="str">
        <f>MID(VLOOKUP($A278,Seqs!$A:$B,2,FALSE),VLOOKUP($A278,'SegEnds_NonXtal_Prot#'!$A:$AL,22,FALSE)+7,1)</f>
        <v>L</v>
      </c>
      <c r="AD278" s="49" t="str">
        <f>MID(VLOOKUP($A278,Seqs!$A:$B,2,FALSE),VLOOKUP($A278,'SegEnds_NonXtal_Prot#'!$A:$AL,22,FALSE)+8,1)</f>
        <v>S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L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355</v>
      </c>
      <c r="B279" s="2" t="str">
        <f>LOWER(VLOOKUP(A279,Xtal_Templ!A:B,2,FALSE))</f>
        <v>par1_human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S279" s="2" t="s">
        <v>1322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V</v>
      </c>
      <c r="X279" s="49" t="str">
        <f>MID(VLOOKUP($A279,Seqs!$A:$B,2,FALSE),VLOOKUP($A279,'SegEnds_NonXtal_Prot#'!A:AL,10,FALSE)+7,1)</f>
        <v>L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F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G</v>
      </c>
      <c r="AC279" s="49" t="str">
        <f>MID(VLOOKUP($A279,Seqs!$A:$B,2,FALSE),VLOOKUP($A279,'SegEnds_NonXtal_Prot#'!$A:$AL,22,FALSE)+7,1)</f>
        <v>V</v>
      </c>
      <c r="AD279" s="49" t="str">
        <f>MID(VLOOKUP($A279,Seqs!$A:$B,2,FALSE),VLOOKUP($A279,'SegEnds_NonXtal_Prot#'!$A:$AL,22,FALSE)+8,1)</f>
        <v>V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F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356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Xtal</v>
      </c>
      <c r="H280" s="4"/>
      <c r="N280" s="2" t="s">
        <v>14</v>
      </c>
      <c r="R280" s="2" t="s">
        <v>9</v>
      </c>
      <c r="S280" s="2" t="s">
        <v>1322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W</v>
      </c>
      <c r="X280" s="49" t="str">
        <f>MID(VLOOKUP($A280,Seqs!$A:$B,2,FALSE),VLOOKUP($A280,'SegEnds_NonXtal_Prot#'!A:AL,10,FALSE)+7,1)</f>
        <v>F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L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V</v>
      </c>
      <c r="AC280" s="49" t="str">
        <f>MID(VLOOKUP($A280,Seqs!$A:$B,2,FALSE),VLOOKUP($A280,'SegEnds_NonXtal_Prot#'!$A:$AL,22,FALSE)+7,1)</f>
        <v>T</v>
      </c>
      <c r="AD280" s="49" t="str">
        <f>MID(VLOOKUP($A280,Seqs!$A:$B,2,FALSE),VLOOKUP($A280,'SegEnds_NonXtal_Prot#'!$A:$AL,22,FALSE)+8,1)</f>
        <v>I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L</v>
      </c>
      <c r="AG280" s="28" t="str">
        <f>MID(VLOOKUP($A280,Seqs!$A:$B,2,FALSE),VLOOKUP($A280,'SegEnds_NonXtal_Prot#'!$A:$AL,28,FALSE)-4,1)</f>
        <v>V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357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1322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T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F</v>
      </c>
      <c r="AA281" s="49" t="str">
        <f>MID(VLOOKUP($A281,Seqs!$A:$B,2,FALSE),VLOOKUP($A281,'SegEnds_NonXtal_Prot#'!A:AL,10,FALSE)+10,1)</f>
        <v>K</v>
      </c>
      <c r="AB281" s="28" t="str">
        <f>MID(VLOOKUP($A281,Seqs!$A:$B,2,FALSE),VLOOKUP($A281,'SegEnds_NonXtal_Prot#'!$A:$AL,22,FALSE)+6,1)</f>
        <v>Y</v>
      </c>
      <c r="AC281" s="49" t="str">
        <f>MID(VLOOKUP($A281,Seqs!$A:$B,2,FALSE),VLOOKUP($A281,'SegEnds_NonXtal_Prot#'!$A:$AL,22,FALSE)+7,1)</f>
        <v>M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F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358</v>
      </c>
      <c r="B282" s="2" t="str">
        <f>LOWER(VLOOKUP(A282,Xtal_Templ!A:B,2,FALSE))</f>
        <v>par2_human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N282" s="2" t="s">
        <v>14</v>
      </c>
      <c r="R282" s="2" t="s">
        <v>9</v>
      </c>
      <c r="S282" s="2" t="s">
        <v>1322</v>
      </c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A</v>
      </c>
      <c r="X282" s="49" t="str">
        <f>MID(VLOOKUP($A282,Seqs!$A:$B,2,FALSE),VLOOKUP($A282,'SegEnds_NonXtal_Prot#'!A:AL,10,FALSE)+7,1)</f>
        <v>L</v>
      </c>
      <c r="Y282" s="49" t="str">
        <f>MID(VLOOKUP($A282,Seqs!$A:$B,2,FALSE),VLOOKUP($A282,'SegEnds_NonXtal_Prot#'!A:AL,10,FALSE)+8,1)</f>
        <v>P</v>
      </c>
      <c r="Z282" s="49" t="str">
        <f>MID(VLOOKUP($A282,Seqs!$A:$B,2,FALSE),VLOOKUP($A282,'SegEnds_NonXtal_Prot#'!A:AL,10,FALSE)+9,1)</f>
        <v>P</v>
      </c>
      <c r="AA282" s="49" t="str">
        <f>MID(VLOOKUP($A282,Seqs!$A:$B,2,FALSE),VLOOKUP($A282,'SegEnds_NonXtal_Prot#'!A:AL,10,FALSE)+10,1)</f>
        <v>R</v>
      </c>
      <c r="AB282" s="28" t="str">
        <f>MID(VLOOKUP($A282,Seqs!$A:$B,2,FALSE),VLOOKUP($A282,'SegEnds_NonXtal_Prot#'!$A:$AL,22,FALSE)+6,1)</f>
        <v>L</v>
      </c>
      <c r="AC282" s="49" t="str">
        <f>MID(VLOOKUP($A282,Seqs!$A:$B,2,FALSE),VLOOKUP($A282,'SegEnds_NonXtal_Prot#'!$A:$AL,22,FALSE)+7,1)</f>
        <v>A</v>
      </c>
      <c r="AD282" s="49" t="str">
        <f>MID(VLOOKUP($A282,Seqs!$A:$B,2,FALSE),VLOOKUP($A282,'SegEnds_NonXtal_Prot#'!$A:$AL,22,FALSE)+8,1)</f>
        <v>L</v>
      </c>
      <c r="AE282" s="49" t="str">
        <f>MID(VLOOKUP($A282,Seqs!$A:$B,2,FALSE),VLOOKUP($A282,'SegEnds_NonXtal_Prot#'!$A:$AL,22,FALSE)+9,1)</f>
        <v>P</v>
      </c>
      <c r="AF282" s="49" t="str">
        <f>MID(VLOOKUP($A282,Seqs!$A:$B,2,FALSE),VLOOKUP($A282,'SegEnds_NonXtal_Prot#'!$A:$AL,22,FALSE)+10,1)</f>
        <v>L</v>
      </c>
      <c r="AG282" s="28" t="str">
        <f>MID(VLOOKUP($A282,Seqs!$A:$B,2,FALSE),VLOOKUP($A282,'SegEnds_NonXtal_Prot#'!$A:$AL,28,FALSE)-4,1)</f>
        <v>G</v>
      </c>
      <c r="AH282" s="49" t="str">
        <f>MID(VLOOKUP($A282,Seqs!$A:$B,2,FALSE),VLOOKUP($A282,'SegEnds_NonXtal_Prot#'!$A:$AL,28,FALSE),1)</f>
        <v>P</v>
      </c>
    </row>
    <row r="283" spans="1:34" s="2" customFormat="1" x14ac:dyDescent="0.2">
      <c r="A283" s="2" t="s">
        <v>151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Y</v>
      </c>
      <c r="X283" s="49" t="str">
        <f>MID(VLOOKUP($A283,Seqs!$A:$B,2,FALSE),VLOOKUP($A283,'SegEnds_NonXtal_Prot#'!A:AL,10,FALSE)+7,1)</f>
        <v>K</v>
      </c>
      <c r="Y283" s="49" t="str">
        <f>MID(VLOOKUP($A283,Seqs!$A:$B,2,FALSE),VLOOKUP($A283,'SegEnds_NonXtal_Prot#'!A:AL,10,FALSE)+8,1)</f>
        <v>I</v>
      </c>
      <c r="Z283" s="49" t="str">
        <f>MID(VLOOKUP($A283,Seqs!$A:$B,2,FALSE),VLOOKUP($A283,'SegEnds_NonXtal_Prot#'!A:AL,10,FALSE)+9,1)</f>
        <v>L</v>
      </c>
      <c r="AA283" s="49" t="str">
        <f>MID(VLOOKUP($A283,Seqs!$A:$B,2,FALSE),VLOOKUP($A283,'SegEnds_NonXtal_Prot#'!A:AL,10,FALSE)+10,1)</f>
        <v>E</v>
      </c>
      <c r="AB283" s="28" t="str">
        <f>MID(VLOOKUP($A283,Seqs!$A:$B,2,FALSE),VLOOKUP($A283,'SegEnds_NonXtal_Prot#'!$A:$AL,22,FALSE)+6,1)</f>
        <v>T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I</v>
      </c>
      <c r="AE283" s="49" t="str">
        <f>MID(VLOOKUP($A283,Seqs!$A:$B,2,FALSE),VLOOKUP($A283,'SegEnds_NonXtal_Prot#'!$A:$AL,22,FALSE)+9,1)</f>
        <v>T</v>
      </c>
      <c r="AF283" s="49" t="str">
        <f>MID(VLOOKUP($A283,Seqs!$A:$B,2,FALSE),VLOOKUP($A283,'SegEnds_NonXtal_Prot#'!$A:$AL,22,FALSE)+10,1)</f>
        <v>M</v>
      </c>
      <c r="AG283" s="28" t="str">
        <f>MID(VLOOKUP($A283,Seqs!$A:$B,2,FALSE),VLOOKUP($A283,'SegEnds_NonXtal_Prot#'!$A:$AL,28,FALSE)-4,1)</f>
        <v>C</v>
      </c>
      <c r="AH283" s="49" t="str">
        <f>MID(VLOOKUP($A283,Seqs!$A:$B,2,FALSE),VLOOKUP($A283,'SegEnds_NonXtal_Prot#'!$A:$AL,28,FALSE),1)</f>
        <v>H</v>
      </c>
    </row>
    <row r="284" spans="1:34" s="2" customFormat="1" x14ac:dyDescent="0.2">
      <c r="A284" s="2" t="s">
        <v>213</v>
      </c>
      <c r="B284" s="2" t="str">
        <f>LOWER(VLOOKUP(A284,Xtal_Templ!A:B,2,FALSE))</f>
        <v>5ht2a_human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R284" s="2" t="s">
        <v>9</v>
      </c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A</v>
      </c>
      <c r="X284" s="49" t="str">
        <f>MID(VLOOKUP($A284,Seqs!$A:$B,2,FALSE),VLOOKUP($A284,'SegEnds_NonXtal_Prot#'!A:AL,10,FALSE)+7,1)</f>
        <v>I</v>
      </c>
      <c r="Y284" s="49" t="str">
        <f>MID(VLOOKUP($A284,Seqs!$A:$B,2,FALSE),VLOOKUP($A284,'SegEnds_NonXtal_Prot#'!A:AL,10,FALSE)+8,1)</f>
        <v>S</v>
      </c>
      <c r="Z284" s="49" t="str">
        <f>MID(VLOOKUP($A284,Seqs!$A:$B,2,FALSE),VLOOKUP($A284,'SegEnds_NonXtal_Prot#'!A:AL,10,FALSE)+9,1)</f>
        <v>G</v>
      </c>
      <c r="AA284" s="49" t="str">
        <f>MID(VLOOKUP($A284,Seqs!$A:$B,2,FALSE),VLOOKUP($A284,'SegEnds_NonXtal_Prot#'!A:AL,10,FALSE)+10,1)</f>
        <v>L</v>
      </c>
      <c r="AB284" s="28" t="str">
        <f>MID(VLOOKUP($A284,Seqs!$A:$B,2,FALSE),VLOOKUP($A284,'SegEnds_NonXtal_Prot#'!$A:$AL,22,FALSE)+6,1)</f>
        <v>I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F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V</v>
      </c>
      <c r="AH284" s="49" t="str">
        <f>MID(VLOOKUP($A284,Seqs!$A:$B,2,FALSE),VLOOKUP($A284,'SegEnds_NonXtal_Prot#'!$A:$AL,28,FALSE),1)</f>
        <v>P</v>
      </c>
    </row>
    <row r="285" spans="1:34" s="2" customFormat="1" x14ac:dyDescent="0.2">
      <c r="A285" s="2" t="s">
        <v>238</v>
      </c>
      <c r="B285" s="2" t="str">
        <f>LOWER(VLOOKUP(A285,Xtal_Templ!A:B,2,FALSE))</f>
        <v>lpar1_human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T</v>
      </c>
      <c r="AA285" s="49" t="str">
        <f>MID(VLOOKUP($A285,Seqs!$A:$B,2,FALSE),VLOOKUP($A285,'SegEnds_NonXtal_Prot#'!A:AL,10,FALSE)+10,1)</f>
        <v>N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S</v>
      </c>
      <c r="AH285" s="49" t="str">
        <f>MID(VLOOKUP($A285,Seqs!$A:$B,2,FALSE),VLOOKUP($A285,'SegEnds_NonXtal_Prot#'!$A:$AL,28,FALSE),1)</f>
        <v>M</v>
      </c>
    </row>
    <row r="286" spans="1:34" s="2" customFormat="1" x14ac:dyDescent="0.2">
      <c r="A286" s="2" t="s">
        <v>262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G</v>
      </c>
      <c r="X286" s="49" t="str">
        <f>MID(VLOOKUP($A286,Seqs!$A:$B,2,FALSE),VLOOKUP($A286,'SegEnds_NonXtal_Prot#'!A:AL,10,FALSE)+7,1)</f>
        <v>L</v>
      </c>
      <c r="Y286" s="49" t="str">
        <f>MID(VLOOKUP($A286,Seqs!$A:$B,2,FALSE),VLOOKUP($A286,'SegEnds_NonXtal_Prot#'!A:AL,10,FALSE)+8,1)</f>
        <v>I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H</v>
      </c>
      <c r="AB286" s="28" t="str">
        <f>MID(VLOOKUP($A286,Seqs!$A:$B,2,FALSE),VLOOKUP($A286,'SegEnds_NonXtal_Prot#'!$A:$AL,22,FALSE)+6,1)</f>
        <v>L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L</v>
      </c>
      <c r="AE286" s="49" t="str">
        <f>MID(VLOOKUP($A286,Seqs!$A:$B,2,FALSE),VLOOKUP($A286,'SegEnds_NonXtal_Prot#'!$A:$AL,22,FALSE)+9,1)</f>
        <v>L</v>
      </c>
      <c r="AF286" s="49" t="str">
        <f>MID(VLOOKUP($A286,Seqs!$A:$B,2,FALSE),VLOOKUP($A286,'SegEnds_NonXtal_Prot#'!$A:$AL,22,FALSE)+10,1)</f>
        <v>P</v>
      </c>
      <c r="AG286" s="28" t="str">
        <f>MID(VLOOKUP($A286,Seqs!$A:$B,2,FALSE),VLOOKUP($A286,'SegEnds_NonXtal_Prot#'!$A:$AL,28,FALSE)-4,1)</f>
        <v>A</v>
      </c>
      <c r="AH286" s="49" t="str">
        <f>MID(VLOOKUP($A286,Seqs!$A:$B,2,FALSE),VLOOKUP($A286,'SegEnds_NonXtal_Prot#'!$A:$AL,28,FALSE),1)</f>
        <v>V</v>
      </c>
    </row>
    <row r="287" spans="1:34" s="2" customFormat="1" x14ac:dyDescent="0.2">
      <c r="A287" s="2" t="s">
        <v>296</v>
      </c>
      <c r="B287" s="2" t="str">
        <f>LOWER(VLOOKUP(A287,Xtal_Templ!A:B,2,FALSE))</f>
        <v>lpar1_human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A</v>
      </c>
      <c r="Z287" s="49" t="str">
        <f>MID(VLOOKUP($A287,Seqs!$A:$B,2,FALSE),VLOOKUP($A287,'SegEnds_NonXtal_Prot#'!A:AL,10,FALSE)+9,1)</f>
        <v>L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C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V</v>
      </c>
      <c r="AE287" s="49" t="str">
        <f>MID(VLOOKUP($A287,Seqs!$A:$B,2,FALSE),VLOOKUP($A287,'SegEnds_NonXtal_Prot#'!$A:$AL,22,FALSE)+9,1)</f>
        <v>V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T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297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G</v>
      </c>
      <c r="Z288" s="49" t="str">
        <f>MID(VLOOKUP($A288,Seqs!$A:$B,2,FALSE),VLOOKUP($A288,'SegEnds_NonXtal_Prot#'!A:AL,10,FALSE)+9,1)</f>
        <v>S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S</v>
      </c>
      <c r="AC288" s="49" t="str">
        <f>MID(VLOOKUP($A288,Seqs!$A:$B,2,FALSE),VLOOKUP($A288,'SegEnds_NonXtal_Prot#'!$A:$AL,22,FALSE)+7,1)</f>
        <v>G</v>
      </c>
      <c r="AD288" s="49" t="str">
        <f>MID(VLOOKUP($A288,Seqs!$A:$B,2,FALSE),VLOOKUP($A288,'SegEnds_NonXtal_Prot#'!$A:$AL,22,FALSE)+8,1)</f>
        <v>I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S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309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S</v>
      </c>
      <c r="X289" s="49" t="str">
        <f>MID(VLOOKUP($A289,Seqs!$A:$B,2,FALSE),VLOOKUP($A289,'SegEnds_NonXtal_Prot#'!A:AL,10,FALSE)+7,1)</f>
        <v>N</v>
      </c>
      <c r="Y289" s="49" t="str">
        <f>MID(VLOOKUP($A289,Seqs!$A:$B,2,FALSE),VLOOKUP($A289,'SegEnds_NonXtal_Prot#'!A:AL,10,FALSE)+8,1)</f>
        <v>V</v>
      </c>
      <c r="Z289" s="49" t="str">
        <f>MID(VLOOKUP($A289,Seqs!$A:$B,2,FALSE),VLOOKUP($A289,'SegEnds_NonXtal_Prot#'!A:AL,10,FALSE)+9,1)</f>
        <v>L</v>
      </c>
      <c r="AA289" s="49" t="str">
        <f>MID(VLOOKUP($A289,Seqs!$A:$B,2,FALSE),VLOOKUP($A289,'SegEnds_NonXtal_Prot#'!A:AL,10,FALSE)+10,1)</f>
        <v>E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S</v>
      </c>
      <c r="AD289" s="49" t="str">
        <f>MID(VLOOKUP($A289,Seqs!$A:$B,2,FALSE),VLOOKUP($A289,'SegEnds_NonXtal_Prot#'!$A:$AL,22,FALSE)+8,1)</f>
        <v>T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F</v>
      </c>
      <c r="AG289" s="28" t="str">
        <f>MID(VLOOKUP($A289,Seqs!$A:$B,2,FALSE),VLOOKUP($A289,'SegEnds_NonXtal_Prot#'!$A:$AL,28,FALSE)-4,1)</f>
        <v>V</v>
      </c>
      <c r="AH289" s="49" t="str">
        <f>MID(VLOOKUP($A289,Seqs!$A:$B,2,FALSE),VLOOKUP($A289,'SegEnds_NonXtal_Prot#'!$A:$AL,28,FALSE),1)</f>
        <v>H</v>
      </c>
    </row>
    <row r="290" spans="1:34" s="2" customFormat="1" x14ac:dyDescent="0.2">
      <c r="A290" s="2" t="s">
        <v>363</v>
      </c>
      <c r="B290" s="2" t="str">
        <f>LOWER(VLOOKUP(A290,Xtal_Templ!A:B,2,FALSE))</f>
        <v>pe2r3_human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G290" s="2" t="s">
        <v>5</v>
      </c>
      <c r="H290" s="4"/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L</v>
      </c>
      <c r="X290" s="49" t="str">
        <f>MID(VLOOKUP($A290,Seqs!$A:$B,2,FALSE),VLOOKUP($A290,'SegEnds_NonXtal_Prot#'!A:AL,10,FALSE)+7,1)</f>
        <v>T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P</v>
      </c>
      <c r="AA290" s="49" t="str">
        <f>MID(VLOOKUP($A290,Seqs!$A:$B,2,FALSE),VLOOKUP($A290,'SegEnds_NonXtal_Prot#'!A:AL,10,FALSE)+10,1)</f>
        <v>V</v>
      </c>
      <c r="AB290" s="28" t="str">
        <f>MID(VLOOKUP($A290,Seqs!$A:$B,2,FALSE),VLOOKUP($A290,'SegEnds_NonXtal_Prot#'!$A:$AL,22,FALSE)+6,1)</f>
        <v>F</v>
      </c>
      <c r="AC290" s="49" t="str">
        <f>MID(VLOOKUP($A290,Seqs!$A:$B,2,FALSE),VLOOKUP($A290,'SegEnds_NonXtal_Prot#'!$A:$AL,22,FALSE)+7,1)</f>
        <v>A</v>
      </c>
      <c r="AD290" s="49" t="str">
        <f>MID(VLOOKUP($A290,Seqs!$A:$B,2,FALSE),VLOOKUP($A290,'SegEnds_NonXtal_Prot#'!$A:$AL,22,FALSE)+8,1)</f>
        <v>L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L</v>
      </c>
      <c r="AH290" s="49" t="str">
        <f>MID(VLOOKUP($A290,Seqs!$A:$B,2,FALSE),VLOOKUP($A290,'SegEnds_NonXtal_Prot#'!$A:$AL,28,FALSE),1)</f>
        <v>A</v>
      </c>
    </row>
    <row r="291" spans="1:34" s="2" customFormat="1" x14ac:dyDescent="0.2">
      <c r="A291" s="2" t="s">
        <v>104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Y</v>
      </c>
      <c r="Y291" s="49" t="str">
        <f>MID(VLOOKUP($A291,Seqs!$A:$B,2,FALSE),VLOOKUP($A291,'SegEnds_NonXtal_Prot#'!A:AL,10,FALSE)+8,1)</f>
        <v>T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V</v>
      </c>
      <c r="AH291" s="49" t="str">
        <f>MID(VLOOKUP($A291,Seqs!$A:$B,2,FALSE),VLOOKUP($A291,'SegEnds_NonXtal_Prot#'!$A:$AL,28,FALSE),1)</f>
        <v>L</v>
      </c>
    </row>
    <row r="292" spans="1:34" s="2" customFormat="1" x14ac:dyDescent="0.2">
      <c r="A292" s="2" t="s">
        <v>377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F</v>
      </c>
      <c r="Y292" s="49" t="str">
        <f>MID(VLOOKUP($A292,Seqs!$A:$B,2,FALSE),VLOOKUP($A292,'SegEnds_NonXtal_Prot#'!A:AL,10,FALSE)+8,1)</f>
        <v>V</v>
      </c>
      <c r="Z292" s="49" t="str">
        <f>MID(VLOOKUP($A292,Seqs!$A:$B,2,FALSE),VLOOKUP($A292,'SegEnds_NonXtal_Prot#'!A:AL,10,FALSE)+9,1)</f>
        <v>A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G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378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K</v>
      </c>
      <c r="Z293" s="49" t="str">
        <f>MID(VLOOKUP($A293,Seqs!$A:$B,2,FALSE),VLOOKUP($A293,'SegEnds_NonXtal_Prot#'!A:AL,10,FALSE)+9,1)</f>
        <v>V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A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I</v>
      </c>
    </row>
    <row r="294" spans="1:34" s="2" customFormat="1" x14ac:dyDescent="0.2">
      <c r="A294" s="2" t="s">
        <v>379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L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M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I</v>
      </c>
      <c r="AH294" s="49" t="str">
        <f>MID(VLOOKUP($A294,Seqs!$A:$B,2,FALSE),VLOOKUP($A294,'SegEnds_NonXtal_Prot#'!$A:$AL,28,FALSE),1)</f>
        <v>V</v>
      </c>
    </row>
    <row r="295" spans="1:34" s="2" customFormat="1" x14ac:dyDescent="0.2">
      <c r="A295" s="2" t="s">
        <v>380</v>
      </c>
      <c r="B295" s="2" t="str">
        <f>LOWER(VLOOKUP(A295,Xtal_Templ!A:B,2,FALSE))</f>
        <v>s1pr1_human</v>
      </c>
      <c r="C295" s="2" t="str">
        <f>VLOOKUP(A295,Classification!A:D,2,FALSE)</f>
        <v>A</v>
      </c>
      <c r="D295" s="2" t="str">
        <f>IF(ISERROR(MATCH(A295,'SegEnds_Xtal_Prot#'!B:B, 0)), "NoXtal", "Xtal")</f>
        <v>NoXtal</v>
      </c>
      <c r="H295" s="4"/>
      <c r="I295" s="2" t="s">
        <v>21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A</v>
      </c>
      <c r="X295" s="49" t="str">
        <f>MID(VLOOKUP($A295,Seqs!$A:$B,2,FALSE),VLOOKUP($A295,'SegEnds_NonXtal_Prot#'!A:AL,10,FALSE)+7,1)</f>
        <v>Y</v>
      </c>
      <c r="Y295" s="49" t="str">
        <f>MID(VLOOKUP($A295,Seqs!$A:$B,2,FALSE),VLOOKUP($A295,'SegEnds_NonXtal_Prot#'!A:AL,10,FALSE)+8,1)</f>
        <v>A</v>
      </c>
      <c r="Z295" s="49" t="str">
        <f>MID(VLOOKUP($A295,Seqs!$A:$B,2,FALSE),VLOOKUP($A295,'SegEnds_NonXtal_Prot#'!A:AL,10,FALSE)+9,1)</f>
        <v>A</v>
      </c>
      <c r="AA295" s="49" t="str">
        <f>MID(VLOOKUP($A295,Seqs!$A:$B,2,FALSE),VLOOKUP($A295,'SegEnds_NonXtal_Prot#'!A:AL,10,FALSE)+10,1)</f>
        <v>N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A</v>
      </c>
      <c r="AH295" s="49" t="str">
        <f>MID(VLOOKUP($A295,Seqs!$A:$B,2,FALSE),VLOOKUP($A295,'SegEnds_NonXtal_Prot#'!$A:$AL,28,FALSE),1)</f>
        <v>I</v>
      </c>
    </row>
    <row r="296" spans="1:34" s="2" customFormat="1" x14ac:dyDescent="0.2">
      <c r="A296" s="2" t="s">
        <v>473</v>
      </c>
      <c r="B296" s="2" t="str">
        <f>LOWER(VLOOKUP(A296,Xtal_Templ!A:B,2,FALSE))</f>
        <v>ta2r_human</v>
      </c>
      <c r="C296" s="2" t="str">
        <f>VLOOKUP(A296,Classification!A:D,2,FALSE)</f>
        <v>A</v>
      </c>
      <c r="D296" s="2" t="str">
        <f>IF(ISERROR(MATCH(A296,'SegEnds_Xtal_Prot#'!B:B, 0)), "NoXtal", "Xtal")</f>
        <v>Xtal</v>
      </c>
      <c r="G296" s="2" t="s">
        <v>5</v>
      </c>
      <c r="H296" s="4"/>
      <c r="I296" s="2" t="s">
        <v>21</v>
      </c>
      <c r="S296" s="2" t="s">
        <v>1322</v>
      </c>
      <c r="T296" s="4" t="s">
        <v>12</v>
      </c>
      <c r="V296" s="28" t="str">
        <f>MID(VLOOKUP($A296,Seqs!$A:$B,2,FALSE),VLOOKUP($A296,'SegEnds_NonXtal_Prot#'!A:AL,10,FALSE),1)</f>
        <v>D</v>
      </c>
      <c r="W296" s="49" t="str">
        <f>MID(VLOOKUP($A296,Seqs!$A:$B,2,FALSE),VLOOKUP($A296,'SegEnds_NonXtal_Prot#'!A:AL,10,FALSE)+6,1)</f>
        <v>V</v>
      </c>
      <c r="X296" s="49" t="str">
        <f>MID(VLOOKUP($A296,Seqs!$A:$B,2,FALSE),VLOOKUP($A296,'SegEnds_NonXtal_Prot#'!A:AL,10,FALSE)+7,1)</f>
        <v>T</v>
      </c>
      <c r="Y296" s="49" t="str">
        <f>MID(VLOOKUP($A296,Seqs!$A:$B,2,FALSE),VLOOKUP($A296,'SegEnds_NonXtal_Prot#'!A:AL,10,FALSE)+8,1)</f>
        <v>G</v>
      </c>
      <c r="Z296" s="49" t="str">
        <f>MID(VLOOKUP($A296,Seqs!$A:$B,2,FALSE),VLOOKUP($A296,'SegEnds_NonXtal_Prot#'!A:AL,10,FALSE)+9,1)</f>
        <v>T</v>
      </c>
      <c r="AA296" s="49" t="str">
        <f>MID(VLOOKUP($A296,Seqs!$A:$B,2,FALSE),VLOOKUP($A296,'SegEnds_NonXtal_Prot#'!A:AL,10,FALSE)+10,1)</f>
        <v>I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G</v>
      </c>
      <c r="AD296" s="49" t="str">
        <f>MID(VLOOKUP($A296,Seqs!$A:$B,2,FALSE),VLOOKUP($A296,'SegEnds_NonXtal_Prot#'!$A:$AL,22,FALSE)+8,1)</f>
        <v>L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L</v>
      </c>
      <c r="AH296" s="49" t="str">
        <f>MID(VLOOKUP($A296,Seqs!$A:$B,2,FALSE),VLOOKUP($A296,'SegEnds_NonXtal_Prot#'!$A:$AL,28,FALSE),1)</f>
        <v>S</v>
      </c>
    </row>
    <row r="297" spans="1:34" s="2" customFormat="1" x14ac:dyDescent="0.2">
      <c r="A297" s="2" t="s">
        <v>221</v>
      </c>
      <c r="B297" s="2" t="str">
        <f>LOWER(VLOOKUP(A297,Xtal_Templ!A:B,2,FALSE))</f>
        <v>s1pr1_human</v>
      </c>
      <c r="C297" s="2" t="str">
        <f>VLOOKUP(A297,Classification!A:D,2,FALSE)</f>
        <v>A</v>
      </c>
      <c r="D297" s="2" t="str">
        <f>IF(ISERROR(MATCH(A297,'SegEnds_Xtal_Prot#'!B:B, 0)), "NoXtal", "Xtal")</f>
        <v>NoXtal</v>
      </c>
      <c r="H297" s="4"/>
      <c r="R297" s="2" t="s">
        <v>9</v>
      </c>
      <c r="T297" s="4" t="s">
        <v>12</v>
      </c>
      <c r="V297" s="28" t="str">
        <f>MID(VLOOKUP($A297,Seqs!$A:$B,2,FALSE),VLOOKUP($A297,'SegEnds_NonXtal_Prot#'!A:AL,10,FALSE),1)</f>
        <v>Q</v>
      </c>
      <c r="W297" s="49" t="str">
        <f>MID(VLOOKUP($A297,Seqs!$A:$B,2,FALSE),VLOOKUP($A297,'SegEnds_NonXtal_Prot#'!A:AL,10,FALSE)+6,1)</f>
        <v>S</v>
      </c>
      <c r="X297" s="49" t="str">
        <f>MID(VLOOKUP($A297,Seqs!$A:$B,2,FALSE),VLOOKUP($A297,'SegEnds_NonXtal_Prot#'!A:AL,10,FALSE)+7,1)</f>
        <v>M</v>
      </c>
      <c r="Y297" s="49" t="str">
        <f>MID(VLOOKUP($A297,Seqs!$A:$B,2,FALSE),VLOOKUP($A297,'SegEnds_NonXtal_Prot#'!A:AL,10,FALSE)+8,1)</f>
        <v>L</v>
      </c>
      <c r="Z297" s="49" t="str">
        <f>MID(VLOOKUP($A297,Seqs!$A:$B,2,FALSE),VLOOKUP($A297,'SegEnds_NonXtal_Prot#'!A:AL,10,FALSE)+9,1)</f>
        <v>V</v>
      </c>
      <c r="AA297" s="49" t="str">
        <f>MID(VLOOKUP($A297,Seqs!$A:$B,2,FALSE),VLOOKUP($A297,'SegEnds_NonXtal_Prot#'!A:AL,10,FALSE)+10,1)</f>
        <v>A</v>
      </c>
      <c r="AB297" s="28" t="str">
        <f>MID(VLOOKUP($A297,Seqs!$A:$B,2,FALSE),VLOOKUP($A297,'SegEnds_NonXtal_Prot#'!$A:$AL,22,FALSE)+6,1)</f>
        <v>L</v>
      </c>
      <c r="AC297" s="49" t="str">
        <f>MID(VLOOKUP($A297,Seqs!$A:$B,2,FALSE),VLOOKUP($A297,'SegEnds_NonXtal_Prot#'!$A:$AL,22,FALSE)+7,1)</f>
        <v>S</v>
      </c>
      <c r="AD297" s="49" t="str">
        <f>MID(VLOOKUP($A297,Seqs!$A:$B,2,FALSE),VLOOKUP($A297,'SegEnds_NonXtal_Prot#'!$A:$AL,22,FALSE)+8,1)</f>
        <v>A</v>
      </c>
      <c r="AE297" s="49" t="str">
        <f>MID(VLOOKUP($A297,Seqs!$A:$B,2,FALSE),VLOOKUP($A297,'SegEnds_NonXtal_Prot#'!$A:$AL,22,FALSE)+9,1)</f>
        <v>L</v>
      </c>
      <c r="AF297" s="49" t="str">
        <f>MID(VLOOKUP($A297,Seqs!$A:$B,2,FALSE),VLOOKUP($A297,'SegEnds_NonXtal_Prot#'!$A:$AL,22,FALSE)+10,1)</f>
        <v>P</v>
      </c>
      <c r="AG297" s="28" t="str">
        <f>MID(VLOOKUP($A297,Seqs!$A:$B,2,FALSE),VLOOKUP($A297,'SegEnds_NonXtal_Prot#'!$A:$AL,28,FALSE)-4,1)</f>
        <v>G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923</v>
      </c>
      <c r="B298" s="2" t="str">
        <f>LOWER(VLOOKUP(A298,Xtal_Templ!A:B,2,FALSE))</f>
        <v>us28_hcmva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1507</v>
      </c>
      <c r="B299" s="2" t="str">
        <f>LOWER(VLOOKUP(A299,Xtal_Templ!A:B,2,FALSE))</f>
        <v>q80km9_hcmv</v>
      </c>
      <c r="C299" s="2" t="str">
        <f>VLOOKUP(A299,Classification!A:D,2,FALSE)</f>
        <v>A</v>
      </c>
      <c r="D299" s="2" t="str">
        <f>IF(ISERROR(MATCH(A299,'SegEnds_Xtal_Prot#'!B:B, 0)), "NoXtal", "Xtal")</f>
        <v>Xtal</v>
      </c>
      <c r="H299" s="4"/>
      <c r="N299" s="2" t="s">
        <v>14</v>
      </c>
      <c r="R299" s="2" t="s">
        <v>9</v>
      </c>
      <c r="T299" s="4" t="s">
        <v>12</v>
      </c>
      <c r="V299" s="28" t="str">
        <f>MID(VLOOKUP($A299,Seqs!$A:$B,2,FALSE),VLOOKUP($A299,'SegEnds_NonXtal_Prot#'!A:AL,10,FALSE),1)</f>
        <v>D</v>
      </c>
      <c r="W299" s="49" t="str">
        <f>MID(VLOOKUP($A299,Seqs!$A:$B,2,FALSE),VLOOKUP($A299,'SegEnds_NonXtal_Prot#'!A:AL,10,FALSE)+6,1)</f>
        <v>T</v>
      </c>
      <c r="X299" s="49" t="str">
        <f>MID(VLOOKUP($A299,Seqs!$A:$B,2,FALSE),VLOOKUP($A299,'SegEnds_NonXtal_Prot#'!A:AL,10,FALSE)+7,1)</f>
        <v>L</v>
      </c>
      <c r="Y299" s="49" t="str">
        <f>MID(VLOOKUP($A299,Seqs!$A:$B,2,FALSE),VLOOKUP($A299,'SegEnds_NonXtal_Prot#'!A:AL,10,FALSE)+8,1)</f>
        <v>P</v>
      </c>
      <c r="Z299" s="49" t="str">
        <f>MID(VLOOKUP($A299,Seqs!$A:$B,2,FALSE),VLOOKUP($A299,'SegEnds_NonXtal_Prot#'!A:AL,10,FALSE)+9,1)</f>
        <v>L</v>
      </c>
      <c r="AA299" s="49" t="str">
        <f>MID(VLOOKUP($A299,Seqs!$A:$B,2,FALSE),VLOOKUP($A299,'SegEnds_NonXtal_Prot#'!A:AL,10,FALSE)+10,1)</f>
        <v>W</v>
      </c>
      <c r="AB299" s="28" t="str">
        <f>MID(VLOOKUP($A299,Seqs!$A:$B,2,FALSE),VLOOKUP($A299,'SegEnds_NonXtal_Prot#'!$A:$AL,22,FALSE)+6,1)</f>
        <v>I</v>
      </c>
      <c r="AC299" s="49" t="str">
        <f>MID(VLOOKUP($A299,Seqs!$A:$B,2,FALSE),VLOOKUP($A299,'SegEnds_NonXtal_Prot#'!$A:$AL,22,FALSE)+7,1)</f>
        <v>A</v>
      </c>
      <c r="AD299" s="49" t="str">
        <f>MID(VLOOKUP($A299,Seqs!$A:$B,2,FALSE),VLOOKUP($A299,'SegEnds_NonXtal_Prot#'!$A:$AL,22,FALSE)+8,1)</f>
        <v>I</v>
      </c>
      <c r="AE299" s="49" t="str">
        <f>MID(VLOOKUP($A299,Seqs!$A:$B,2,FALSE),VLOOKUP($A299,'SegEnds_NonXtal_Prot#'!$A:$AL,22,FALSE)+9,1)</f>
        <v>P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A</v>
      </c>
      <c r="AH299" s="49" t="str">
        <f>MID(VLOOKUP($A299,Seqs!$A:$B,2,FALSE),VLOOKUP($A299,'SegEnds_NonXtal_Prot#'!$A:$AL,28,FALSE),1)</f>
        <v>P</v>
      </c>
    </row>
    <row r="300" spans="1:34" s="2" customFormat="1" x14ac:dyDescent="0.2">
      <c r="A300" s="2" t="s">
        <v>401</v>
      </c>
      <c r="B300" s="2" t="str">
        <f>LOWER(VLOOKUP(A300,Xtal_Templ!A:B,2,FALSE))</f>
        <v>calcr_human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1323</v>
      </c>
      <c r="T300" s="4" t="s">
        <v>12</v>
      </c>
      <c r="V300" s="28" t="str">
        <f>MID(VLOOKUP($A300,Seqs!$A:$B,2,FALSE),VLOOKUP($A300,'SegEnds_NonXtal_Prot#'!A:AL,10,FALSE),1)</f>
        <v>Y</v>
      </c>
      <c r="W300" s="49" t="str">
        <f>MID(VLOOKUP($A300,Seqs!$A:$B,2,FALSE),VLOOKUP($A300,'SegEnds_NonXtal_Prot#'!A:AL,10,FALSE)+6,1)</f>
        <v>I</v>
      </c>
      <c r="X300" s="49" t="str">
        <f>MID(VLOOKUP($A300,Seqs!$A:$B,2,FALSE),VLOOKUP($A300,'SegEnds_NonXtal_Prot#'!A:AL,10,FALSE)+7,1)</f>
        <v>I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T</v>
      </c>
      <c r="AD300" s="49" t="str">
        <f>MID(VLOOKUP($A300,Seqs!$A:$B,2,FALSE),VLOOKUP($A300,'SegEnds_NonXtal_Prot#'!$A:$AL,22,FALSE)+8,1)</f>
        <v>T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402</v>
      </c>
      <c r="B301" s="2" t="str">
        <f>LOWER(VLOOKUP(A301,Xtal_Templ!A:B,2,FALSE))</f>
        <v>calrl_human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H301" s="4"/>
      <c r="J301" s="106" t="s">
        <v>25</v>
      </c>
      <c r="P301" s="2" t="s">
        <v>1323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V</v>
      </c>
      <c r="X301" s="49" t="str">
        <f>MID(VLOOKUP($A301,Seqs!$A:$B,2,FALSE),VLOOKUP($A301,'SegEnds_NonXtal_Prot#'!A:AL,10,FALSE)+7,1)</f>
        <v>T</v>
      </c>
      <c r="Y301" s="49" t="str">
        <f>MID(VLOOKUP($A301,Seqs!$A:$B,2,FALSE),VLOOKUP($A301,'SegEnds_NonXtal_Prot#'!A:AL,10,FALSE)+8,1)</f>
        <v>I</v>
      </c>
      <c r="Z301" s="49" t="str">
        <f>MID(VLOOKUP($A301,Seqs!$A:$B,2,FALSE),VLOOKUP($A301,'SegEnds_NonXtal_Prot#'!A:AL,10,FALSE)+9,1)</f>
        <v>I</v>
      </c>
      <c r="AA301" s="49" t="str">
        <f>MID(VLOOKUP($A301,Seqs!$A:$B,2,FALSE),VLOOKUP($A301,'SegEnds_NonXtal_Prot#'!A:AL,10,FALSE)+10,1)</f>
        <v>H</v>
      </c>
      <c r="AB301" s="28" t="str">
        <f>MID(VLOOKUP($A301,Seqs!$A:$B,2,FALSE),VLOOKUP($A301,'SegEnds_NonXtal_Prot#'!$A:$AL,22,FALSE)+6,1)</f>
        <v>P</v>
      </c>
      <c r="AC301" s="49" t="str">
        <f>MID(VLOOKUP($A301,Seqs!$A:$B,2,FALSE),VLOOKUP($A301,'SegEnds_NonXtal_Prot#'!$A:$AL,22,FALSE)+7,1)</f>
        <v>A</v>
      </c>
      <c r="AD301" s="49" t="str">
        <f>MID(VLOOKUP($A301,Seqs!$A:$B,2,FALSE),VLOOKUP($A301,'SegEnds_NonXtal_Prot#'!$A:$AL,22,FALSE)+8,1)</f>
        <v>C</v>
      </c>
      <c r="AE301" s="49" t="str">
        <f>MID(VLOOKUP($A301,Seqs!$A:$B,2,FALSE),VLOOKUP($A301,'SegEnds_NonXtal_Prot#'!$A:$AL,22,FALSE)+9,1)</f>
        <v>I</v>
      </c>
      <c r="AF301" s="49" t="str">
        <f>MID(VLOOKUP($A301,Seqs!$A:$B,2,FALSE),VLOOKUP($A301,'SegEnds_NonXtal_Prot#'!$A:$AL,22,FALSE)+10,1)</f>
        <v>H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A</v>
      </c>
    </row>
    <row r="302" spans="1:34" s="2" customFormat="1" x14ac:dyDescent="0.2">
      <c r="A302" s="2" t="s">
        <v>38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F302" s="49"/>
      <c r="H302" s="4"/>
      <c r="J302" s="52" t="s">
        <v>25</v>
      </c>
      <c r="K302" s="107"/>
      <c r="P302" s="2" t="s">
        <v>1323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T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V</v>
      </c>
      <c r="AA302" s="49" t="str">
        <f>MID(VLOOKUP($A302,Seqs!$A:$B,2,FALSE),VLOOKUP($A302,'SegEnds_NonXtal_Prot#'!A:AL,10,FALSE)+10,1)</f>
        <v>V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403</v>
      </c>
      <c r="B303" s="2" t="str">
        <f>LOWER(VLOOKUP(A303,Xtal_Templ!A:B,2,FALSE))</f>
        <v>crfr1_human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F303" s="49"/>
      <c r="H303" s="4"/>
      <c r="J303" s="106" t="s">
        <v>25</v>
      </c>
      <c r="P303" s="2" t="s">
        <v>1323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M</v>
      </c>
      <c r="X303" s="49" t="str">
        <f>MID(VLOOKUP($A303,Seqs!$A:$B,2,FALSE),VLOOKUP($A303,'SegEnds_NonXtal_Prot#'!A:AL,10,FALSE)+7,1)</f>
        <v>W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L</v>
      </c>
      <c r="AB303" s="28" t="str">
        <f>MID(VLOOKUP($A303,Seqs!$A:$B,2,FALSE),VLOOKUP($A303,'SegEnds_NonXtal_Prot#'!$A:$AL,22,FALSE)+6,1)</f>
        <v>I</v>
      </c>
      <c r="AC303" s="49" t="str">
        <f>MID(VLOOKUP($A303,Seqs!$A:$B,2,FALSE),VLOOKUP($A303,'SegEnds_NonXtal_Prot#'!$A:$AL,22,FALSE)+7,1)</f>
        <v>I</v>
      </c>
      <c r="AD303" s="49" t="str">
        <f>MID(VLOOKUP($A303,Seqs!$A:$B,2,FALSE),VLOOKUP($A303,'SegEnds_NonXtal_Prot#'!$A:$AL,22,FALSE)+8,1)</f>
        <v>V</v>
      </c>
      <c r="AE303" s="49" t="str">
        <f>MID(VLOOKUP($A303,Seqs!$A:$B,2,FALSE),VLOOKUP($A303,'SegEnds_NonXtal_Prot#'!$A:$AL,22,FALSE)+9,1)</f>
        <v>A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V</v>
      </c>
    </row>
    <row r="304" spans="1:34" s="2" customFormat="1" x14ac:dyDescent="0.2">
      <c r="A304" s="2" t="s">
        <v>404</v>
      </c>
      <c r="B304" s="2" t="str">
        <f>LOWER(VLOOKUP(A304,Xtal_Templ!A:B,2,FALSE))</f>
        <v>pth1r_human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1323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V</v>
      </c>
      <c r="Y304" s="49" t="str">
        <f>MID(VLOOKUP($A304,Seqs!$A:$B,2,FALSE),VLOOKUP($A304,'SegEnds_NonXtal_Prot#'!A:AL,10,FALSE)+8,1)</f>
        <v>F</v>
      </c>
      <c r="Z304" s="49" t="str">
        <f>MID(VLOOKUP($A304,Seqs!$A:$B,2,FALSE),VLOOKUP($A304,'SegEnds_NonXtal_Prot#'!A:AL,10,FALSE)+9,1)</f>
        <v>L</v>
      </c>
      <c r="AA304" s="49" t="str">
        <f>MID(VLOOKUP($A304,Seqs!$A:$B,2,FALSE),VLOOKUP($A304,'SegEnds_NonXtal_Prot#'!A:AL,10,FALSE)+10,1)</f>
        <v>K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T</v>
      </c>
      <c r="AD304" s="49" t="str">
        <f>MID(VLOOKUP($A304,Seqs!$A:$B,2,FALSE),VLOOKUP($A304,'SegEnds_NonXtal_Prot#'!$A:$AL,22,FALSE)+8,1)</f>
        <v>G</v>
      </c>
      <c r="AE304" s="49" t="str">
        <f>MID(VLOOKUP($A304,Seqs!$A:$B,2,FALSE),VLOOKUP($A304,'SegEnds_NonXtal_Prot#'!$A:$AL,22,FALSE)+9,1)</f>
        <v>T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S</v>
      </c>
    </row>
    <row r="305" spans="1:34" s="2" customFormat="1" x14ac:dyDescent="0.2">
      <c r="A305" s="2" t="s">
        <v>405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H305" s="4"/>
      <c r="J305" s="106" t="s">
        <v>25</v>
      </c>
      <c r="P305" s="2" t="s">
        <v>1323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A</v>
      </c>
      <c r="X305" s="49" t="str">
        <f>MID(VLOOKUP($A305,Seqs!$A:$B,2,FALSE),VLOOKUP($A305,'SegEnds_NonXtal_Prot#'!A:AL,10,FALSE)+7,1)</f>
        <v>I</v>
      </c>
      <c r="Y305" s="49" t="str">
        <f>MID(VLOOKUP($A305,Seqs!$A:$B,2,FALSE),VLOOKUP($A305,'SegEnds_NonXtal_Prot#'!A:AL,10,FALSE)+8,1)</f>
        <v>L</v>
      </c>
      <c r="Z305" s="49" t="str">
        <f>MID(VLOOKUP($A305,Seqs!$A:$B,2,FALSE),VLOOKUP($A305,'SegEnds_NonXtal_Prot#'!A:AL,10,FALSE)+9,1)</f>
        <v>S</v>
      </c>
      <c r="AA305" s="49" t="str">
        <f>MID(VLOOKUP($A305,Seqs!$A:$B,2,FALSE),VLOOKUP($A305,'SegEnds_NonXtal_Prot#'!A:AL,10,FALSE)+10,1)</f>
        <v>R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I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T</v>
      </c>
    </row>
    <row r="306" spans="1:34" s="2" customFormat="1" x14ac:dyDescent="0.2">
      <c r="A306" s="2" t="s">
        <v>406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Xtal</v>
      </c>
      <c r="H306" s="4"/>
      <c r="J306" s="106" t="s">
        <v>25</v>
      </c>
      <c r="P306" s="2" t="s">
        <v>1323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S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F</v>
      </c>
      <c r="Z306" s="49" t="str">
        <f>MID(VLOOKUP($A306,Seqs!$A:$B,2,FALSE),VLOOKUP($A306,'SegEnds_NonXtal_Prot#'!A:AL,10,FALSE)+9,1)</f>
        <v>I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A</v>
      </c>
    </row>
    <row r="307" spans="1:34" s="2" customFormat="1" x14ac:dyDescent="0.2">
      <c r="A307" s="2" t="s">
        <v>407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H307" s="4"/>
      <c r="J307" s="106" t="s">
        <v>25</v>
      </c>
      <c r="P307" s="2" t="s">
        <v>1323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A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K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C</v>
      </c>
    </row>
    <row r="308" spans="1:34" s="2" customFormat="1" x14ac:dyDescent="0.2">
      <c r="A308" s="2" t="s">
        <v>32</v>
      </c>
      <c r="B308" s="2" t="str">
        <f>LOWER(VLOOKUP(A308,Xtal_Templ!A:B,2,FALSE))</f>
        <v>glr_human</v>
      </c>
      <c r="C308" s="2" t="str">
        <f>VLOOKUP(A308,Classification!A:D,2,FALSE)</f>
        <v>B1</v>
      </c>
      <c r="D308" s="2" t="str">
        <f>IF(ISERROR(MATCH(A308,'SegEnds_Xtal_Prot#'!B:B, 0)), "NoXtal", "Xtal")</f>
        <v>Xtal</v>
      </c>
      <c r="H308" s="4"/>
      <c r="J308" s="106" t="s">
        <v>25</v>
      </c>
      <c r="P308" s="2" t="s">
        <v>1323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L</v>
      </c>
      <c r="Z308" s="49" t="str">
        <f>MID(VLOOKUP($A308,Seqs!$A:$B,2,FALSE),VLOOKUP($A308,'SegEnds_NonXtal_Prot#'!A:AL,10,FALSE)+9,1)</f>
        <v>V</v>
      </c>
      <c r="AA308" s="49" t="str">
        <f>MID(VLOOKUP($A308,Seqs!$A:$B,2,FALSE),VLOOKUP($A308,'SegEnds_NonXtal_Prot#'!A:AL,10,FALSE)+10,1)</f>
        <v>I</v>
      </c>
      <c r="AB308" s="28" t="str">
        <f>MID(VLOOKUP($A308,Seqs!$A:$B,2,FALSE),VLOOKUP($A308,'SegEnds_NonXtal_Prot#'!$A:$AL,22,FALSE)+6,1)</f>
        <v>F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V</v>
      </c>
      <c r="AE308" s="49" t="str">
        <f>MID(VLOOKUP($A308,Seqs!$A:$B,2,FALSE),VLOOKUP($A308,'SegEnds_NonXtal_Prot#'!$A:$AL,22,FALSE)+9,1)</f>
        <v>P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A</v>
      </c>
    </row>
    <row r="309" spans="1:34" s="2" customFormat="1" x14ac:dyDescent="0.2">
      <c r="A309" s="2" t="s">
        <v>408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H309" s="4"/>
      <c r="J309" s="106" t="s">
        <v>25</v>
      </c>
      <c r="P309" s="2" t="s">
        <v>1323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V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I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C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T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409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Xtal</v>
      </c>
      <c r="H310" s="4"/>
      <c r="J310" s="106" t="s">
        <v>25</v>
      </c>
      <c r="P310" s="2" t="s">
        <v>1323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V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S</v>
      </c>
    </row>
    <row r="311" spans="1:34" s="2" customFormat="1" x14ac:dyDescent="0.2">
      <c r="A311" s="2" t="s">
        <v>410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1323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I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V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A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A</v>
      </c>
    </row>
    <row r="312" spans="1:34" s="2" customFormat="1" x14ac:dyDescent="0.2">
      <c r="A312" s="2" t="s">
        <v>411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1323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S</v>
      </c>
      <c r="X312" s="49" t="str">
        <f>MID(VLOOKUP($A312,Seqs!$A:$B,2,FALSE),VLOOKUP($A312,'SegEnds_NonXtal_Prot#'!A:AL,10,FALSE)+7,1)</f>
        <v>N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V</v>
      </c>
      <c r="AD312" s="49" t="str">
        <f>MID(VLOOKUP($A312,Seqs!$A:$B,2,FALSE),VLOOKUP($A312,'SegEnds_NonXtal_Prot#'!$A:$AL,22,FALSE)+8,1)</f>
        <v>A</v>
      </c>
      <c r="AE312" s="49" t="str">
        <f>MID(VLOOKUP($A312,Seqs!$A:$B,2,FALSE),VLOOKUP($A312,'SegEnds_NonXtal_Prot#'!$A:$AL,22,FALSE)+9,1)</f>
        <v>L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412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1323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A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F</v>
      </c>
      <c r="Z313" s="49" t="str">
        <f>MID(VLOOKUP($A313,Seqs!$A:$B,2,FALSE),VLOOKUP($A313,'SegEnds_NonXtal_Prot#'!A:AL,10,FALSE)+9,1)</f>
        <v>I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F</v>
      </c>
      <c r="AC313" s="49" t="str">
        <f>MID(VLOOKUP($A313,Seqs!$A:$B,2,FALSE),VLOOKUP($A313,'SegEnds_NonXtal_Prot#'!$A:$AL,22,FALSE)+7,1)</f>
        <v>T</v>
      </c>
      <c r="AD313" s="49" t="str">
        <f>MID(VLOOKUP($A313,Seqs!$A:$B,2,FALSE),VLOOKUP($A313,'SegEnds_NonXtal_Prot#'!$A:$AL,22,FALSE)+8,1)</f>
        <v>M</v>
      </c>
      <c r="AE313" s="49" t="str">
        <f>MID(VLOOKUP($A313,Seqs!$A:$B,2,FALSE),VLOOKUP($A313,'SegEnds_NonXtal_Prot#'!$A:$AL,22,FALSE)+9,1)</f>
        <v>V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413</v>
      </c>
      <c r="B314" s="2" t="str">
        <f>LOWER(VLOOKUP(A314,Xtal_Templ!A:B,2,FALSE))</f>
        <v>pth1r_human</v>
      </c>
      <c r="C314" s="2" t="str">
        <f>VLOOKUP(A314,Classification!A:D,2,FALSE)</f>
        <v>B1</v>
      </c>
      <c r="D314" s="2" t="str">
        <f>IF(ISERROR(MATCH(A314,'SegEnds_Xtal_Prot#'!B:B, 0)), "NoXtal", "Xtal")</f>
        <v>NoXtal</v>
      </c>
      <c r="H314" s="4"/>
      <c r="J314" s="106" t="s">
        <v>25</v>
      </c>
      <c r="P314" s="2" t="s">
        <v>1323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L</v>
      </c>
      <c r="Z314" s="49" t="str">
        <f>MID(VLOOKUP($A314,Seqs!$A:$B,2,FALSE),VLOOKUP($A314,'SegEnds_NonXtal_Prot#'!A:AL,10,FALSE)+9,1)</f>
        <v>V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C</v>
      </c>
      <c r="AC314" s="49" t="str">
        <f>MID(VLOOKUP($A314,Seqs!$A:$B,2,FALSE),VLOOKUP($A314,'SegEnds_NonXtal_Prot#'!$A:$AL,22,FALSE)+7,1)</f>
        <v>I</v>
      </c>
      <c r="AD314" s="49" t="str">
        <f>MID(VLOOKUP($A314,Seqs!$A:$B,2,FALSE),VLOOKUP($A314,'SegEnds_NonXtal_Prot#'!$A:$AL,22,FALSE)+8,1)</f>
        <v>G</v>
      </c>
      <c r="AE314" s="49" t="str">
        <f>MID(VLOOKUP($A314,Seqs!$A:$B,2,FALSE),VLOOKUP($A314,'SegEnds_NonXtal_Prot#'!$A:$AL,22,FALSE)+9,1)</f>
        <v>A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S</v>
      </c>
    </row>
    <row r="315" spans="1:34" s="2" customFormat="1" x14ac:dyDescent="0.2">
      <c r="A315" s="2" t="s">
        <v>1420</v>
      </c>
      <c r="B315" s="2" t="str">
        <f>LOWER(VLOOKUP(A315,Xtal_Templ!A:B,2,FALSE))</f>
        <v>g1sgd4_rabit</v>
      </c>
      <c r="C315" s="2" t="str">
        <f>VLOOKUP(A315,Classification!A:D,2,FALSE)</f>
        <v>B1</v>
      </c>
      <c r="D315" s="2" t="str">
        <f>IF(ISERROR(MATCH(A315,'SegEnds_Xtal_Prot#'!B:B, 0)), "NoXtal", "Xtal")</f>
        <v>Xtal</v>
      </c>
      <c r="H315" s="4"/>
      <c r="J315" s="106" t="s">
        <v>25</v>
      </c>
      <c r="P315" s="2" t="s">
        <v>1323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S</v>
      </c>
      <c r="X315" s="49" t="str">
        <f>MID(VLOOKUP($A315,Seqs!$A:$B,2,FALSE),VLOOKUP($A315,'SegEnds_NonXtal_Prot#'!A:AL,10,FALSE)+7,1)</f>
        <v>V</v>
      </c>
      <c r="Y315" s="49" t="str">
        <f>MID(VLOOKUP($A315,Seqs!$A:$B,2,FALSE),VLOOKUP($A315,'SegEnds_NonXtal_Prot#'!A:AL,10,FALSE)+8,1)</f>
        <v>F</v>
      </c>
      <c r="Z315" s="49" t="str">
        <f>MID(VLOOKUP($A315,Seqs!$A:$B,2,FALSE),VLOOKUP($A315,'SegEnds_NonXtal_Prot#'!A:AL,10,FALSE)+9,1)</f>
        <v>I</v>
      </c>
      <c r="AA315" s="49" t="str">
        <f>MID(VLOOKUP($A315,Seqs!$A:$B,2,FALSE),VLOOKUP($A315,'SegEnds_NonXtal_Prot#'!A:AL,10,FALSE)+10,1)</f>
        <v>K</v>
      </c>
      <c r="AB315" s="28" t="str">
        <f>MID(VLOOKUP($A315,Seqs!$A:$B,2,FALSE),VLOOKUP($A315,'SegEnds_NonXtal_Prot#'!$A:$AL,22,FALSE)+6,1)</f>
        <v>F</v>
      </c>
      <c r="AC315" s="49" t="str">
        <f>MID(VLOOKUP($A315,Seqs!$A:$B,2,FALSE),VLOOKUP($A315,'SegEnds_NonXtal_Prot#'!$A:$AL,22,FALSE)+7,1)</f>
        <v>V</v>
      </c>
      <c r="AD315" s="49" t="str">
        <f>MID(VLOOKUP($A315,Seqs!$A:$B,2,FALSE),VLOOKUP($A315,'SegEnds_NonXtal_Prot#'!$A:$AL,22,FALSE)+8,1)</f>
        <v>I</v>
      </c>
      <c r="AE315" s="49" t="str">
        <f>MID(VLOOKUP($A315,Seqs!$A:$B,2,FALSE),VLOOKUP($A315,'SegEnds_NonXtal_Prot#'!$A:$AL,22,FALSE)+9,1)</f>
        <v>P</v>
      </c>
      <c r="AF315" s="49" t="str">
        <f>MID(VLOOKUP($A315,Seqs!$A:$B,2,FALSE),VLOOKUP($A315,'SegEnds_NonXtal_Prot#'!$A:$AL,22,FALSE)+10,1)</f>
        <v>W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A</v>
      </c>
    </row>
    <row r="316" spans="1:34" s="2" customFormat="1" x14ac:dyDescent="0.2">
      <c r="A316" s="2" t="s">
        <v>1176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F</v>
      </c>
      <c r="X316" s="49" t="str">
        <f>MID(VLOOKUP($A316,Seqs!$A:$B,2,FALSE),VLOOKUP($A316,'SegEnds_NonXtal_Prot#'!A:AL,10,FALSE)+7,1)</f>
        <v>T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V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1177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S</v>
      </c>
      <c r="X317" s="49" t="str">
        <f>MID(VLOOKUP($A317,Seqs!$A:$B,2,FALSE),VLOOKUP($A317,'SegEnds_NonXtal_Prot#'!A:AL,10,FALSE)+7,1)</f>
        <v>A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A</v>
      </c>
      <c r="AB317" s="28" t="str">
        <f>MID(VLOOKUP($A317,Seqs!$A:$B,2,FALSE),VLOOKUP($A317,'SegEnds_NonXtal_Prot#'!$A:$AL,22,FALSE)+6,1)</f>
        <v>I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1178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F</v>
      </c>
      <c r="W318" s="49" t="str">
        <f>MID(VLOOKUP($A318,Seqs!$A:$B,2,FALSE),VLOOKUP($A318,'SegEnds_NonXtal_Prot#'!A:AL,10,FALSE)+6,1)</f>
        <v>C</v>
      </c>
      <c r="X318" s="49" t="str">
        <f>MID(VLOOKUP($A318,Seqs!$A:$B,2,FALSE),VLOOKUP($A318,'SegEnds_NonXtal_Prot#'!A:AL,10,FALSE)+7,1)</f>
        <v>V</v>
      </c>
      <c r="Y318" s="49" t="str">
        <f>MID(VLOOKUP($A318,Seqs!$A:$B,2,FALSE),VLOOKUP($A318,'SegEnds_NonXtal_Prot#'!A:AL,10,FALSE)+8,1)</f>
        <v>V</v>
      </c>
      <c r="Z318" s="49" t="str">
        <f>MID(VLOOKUP($A318,Seqs!$A:$B,2,FALSE),VLOOKUP($A318,'SegEnds_NonXtal_Prot#'!A:AL,10,FALSE)+9,1)</f>
        <v>F</v>
      </c>
      <c r="AA318" s="49" t="str">
        <f>MID(VLOOKUP($A318,Seqs!$A:$B,2,FALSE),VLOOKUP($A318,'SegEnds_NonXtal_Prot#'!A:AL,10,FALSE)+10,1)</f>
        <v>V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C</v>
      </c>
      <c r="AD318" s="49" t="str">
        <f>MID(VLOOKUP($A318,Seqs!$A:$B,2,FALSE),VLOOKUP($A318,'SegEnds_NonXtal_Prot#'!$A:$AL,22,FALSE)+8,1)</f>
        <v>G</v>
      </c>
      <c r="AE318" s="49" t="str">
        <f>MID(VLOOKUP($A318,Seqs!$A:$B,2,FALSE),VLOOKUP($A318,'SegEnds_NonXtal_Prot#'!$A:$AL,22,FALSE)+9,1)</f>
        <v>I</v>
      </c>
      <c r="AF318" s="49" t="str">
        <f>MID(VLOOKUP($A318,Seqs!$A:$B,2,FALSE),VLOOKUP($A318,'SegEnds_NonXtal_Prot#'!$A:$AL,22,FALSE)+10,1)</f>
        <v>T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1179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V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I</v>
      </c>
    </row>
    <row r="320" spans="1:34" s="2" customFormat="1" x14ac:dyDescent="0.2">
      <c r="A320" s="2" t="s">
        <v>1180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I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I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V</v>
      </c>
      <c r="AA320" s="49" t="str">
        <f>MID(VLOOKUP($A320,Seqs!$A:$B,2,FALSE),VLOOKUP($A320,'SegEnds_NonXtal_Prot#'!A:AL,10,FALSE)+10,1)</f>
        <v>G</v>
      </c>
      <c r="AB320" s="28" t="str">
        <f>MID(VLOOKUP($A320,Seqs!$A:$B,2,FALSE),VLOOKUP($A320,'SegEnds_NonXtal_Prot#'!$A:$AL,22,FALSE)+6,1)</f>
        <v>V</v>
      </c>
      <c r="AC320" s="49" t="str">
        <f>MID(VLOOKUP($A320,Seqs!$A:$B,2,FALSE),VLOOKUP($A320,'SegEnds_NonXtal_Prot#'!$A:$AL,22,FALSE)+7,1)</f>
        <v>V</v>
      </c>
      <c r="AD320" s="49" t="str">
        <f>MID(VLOOKUP($A320,Seqs!$A:$B,2,FALSE),VLOOKUP($A320,'SegEnds_NonXtal_Prot#'!$A:$AL,22,FALSE)+8,1)</f>
        <v>A</v>
      </c>
      <c r="AE320" s="49" t="str">
        <f>MID(VLOOKUP($A320,Seqs!$A:$B,2,FALSE),VLOOKUP($A320,'SegEnds_NonXtal_Prot#'!$A:$AL,22,FALSE)+9,1)</f>
        <v>T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1181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V</v>
      </c>
      <c r="W321" s="49" t="str">
        <f>MID(VLOOKUP($A321,Seqs!$A:$B,2,FALSE),VLOOKUP($A321,'SegEnds_NonXtal_Prot#'!A:AL,10,FALSE)+6,1)</f>
        <v>L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L</v>
      </c>
      <c r="Z321" s="49" t="str">
        <f>MID(VLOOKUP($A321,Seqs!$A:$B,2,FALSE),VLOOKUP($A321,'SegEnds_NonXtal_Prot#'!A:AL,10,FALSE)+9,1)</f>
        <v>I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C</v>
      </c>
      <c r="AD321" s="49" t="str">
        <f>MID(VLOOKUP($A321,Seqs!$A:$B,2,FALSE),VLOOKUP($A321,'SegEnds_NonXtal_Prot#'!$A:$AL,22,FALSE)+8,1)</f>
        <v>I</v>
      </c>
      <c r="AE321" s="49" t="str">
        <f>MID(VLOOKUP($A321,Seqs!$A:$B,2,FALSE),VLOOKUP($A321,'SegEnds_NonXtal_Prot#'!$A:$AL,22,FALSE)+9,1)</f>
        <v>I</v>
      </c>
      <c r="AF321" s="49" t="str">
        <f>MID(VLOOKUP($A321,Seqs!$A:$B,2,FALSE),VLOOKUP($A321,'SegEnds_NonXtal_Prot#'!$A:$AL,22,FALSE)+10,1)</f>
        <v>S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1182</v>
      </c>
      <c r="B322" s="2" t="str">
        <f>LOWER(VLOOKUP(A322,Xtal_Templ!A:B,2,FALSE))</f>
        <v>crfr1_human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F</v>
      </c>
      <c r="X322" s="49" t="str">
        <f>MID(VLOOKUP($A322,Seqs!$A:$B,2,FALSE),VLOOKUP($A322,'SegEnds_NonXtal_Prot#'!A:AL,10,FALSE)+7,1)</f>
        <v>L</v>
      </c>
      <c r="Y322" s="49" t="str">
        <f>MID(VLOOKUP($A322,Seqs!$A:$B,2,FALSE),VLOOKUP($A322,'SegEnds_NonXtal_Prot#'!A:AL,10,FALSE)+8,1)</f>
        <v>M</v>
      </c>
      <c r="Z322" s="49" t="str">
        <f>MID(VLOOKUP($A322,Seqs!$A:$B,2,FALSE),VLOOKUP($A322,'SegEnds_NonXtal_Prot#'!A:AL,10,FALSE)+9,1)</f>
        <v>T</v>
      </c>
      <c r="AA322" s="49" t="str">
        <f>MID(VLOOKUP($A322,Seqs!$A:$B,2,FALSE),VLOOKUP($A322,'SegEnds_NonXtal_Prot#'!A:AL,10,FALSE)+10,1)</f>
        <v>S</v>
      </c>
      <c r="AB322" s="28" t="str">
        <f>MID(VLOOKUP($A322,Seqs!$A:$B,2,FALSE),VLOOKUP($A322,'SegEnds_NonXtal_Prot#'!$A:$AL,22,FALSE)+6,1)</f>
        <v>I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A</v>
      </c>
      <c r="AE322" s="49" t="str">
        <f>MID(VLOOKUP($A322,Seqs!$A:$B,2,FALSE),VLOOKUP($A322,'SegEnds_NonXtal_Prot#'!$A:$AL,22,FALSE)+9,1)</f>
        <v>V</v>
      </c>
      <c r="AF322" s="49" t="str">
        <f>MID(VLOOKUP($A322,Seqs!$A:$B,2,FALSE),VLOOKUP($A322,'SegEnds_NonXtal_Prot#'!$A:$AL,22,FALSE)+10,1)</f>
        <v>T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1183</v>
      </c>
      <c r="B323" s="2" t="str">
        <f>LOWER(VLOOKUP(A323,Xtal_Templ!A:B,2,FALSE))</f>
        <v>pth1r_human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A</v>
      </c>
      <c r="AA323" s="49" t="str">
        <f>MID(VLOOKUP($A323,Seqs!$A:$B,2,FALSE),VLOOKUP($A323,'SegEnds_NonXtal_Prot#'!A:AL,10,FALSE)+10,1)</f>
        <v>G</v>
      </c>
      <c r="AB323" s="28" t="str">
        <f>MID(VLOOKUP($A323,Seqs!$A:$B,2,FALSE),VLOOKUP($A323,'SegEnds_NonXtal_Prot#'!$A:$AL,22,FALSE)+6,1)</f>
        <v>V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V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V</v>
      </c>
    </row>
    <row r="324" spans="1:34" s="2" customFormat="1" x14ac:dyDescent="0.2">
      <c r="A324" s="2" t="s">
        <v>1184</v>
      </c>
      <c r="B324" s="2" t="str">
        <f>LOWER(VLOOKUP(A324,Xtal_Templ!A:B,2,FALSE))</f>
        <v>glp1r_human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A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1185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V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T</v>
      </c>
      <c r="AC325" s="49" t="str">
        <f>MID(VLOOKUP($A325,Seqs!$A:$B,2,FALSE),VLOOKUP($A325,'SegEnds_NonXtal_Prot#'!$A:$AL,22,FALSE)+7,1)</f>
        <v>V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I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1186</v>
      </c>
      <c r="B326" s="2" t="str">
        <f>LOWER(VLOOKUP(A326,Xtal_Templ!A:B,2,FALSE))</f>
        <v>calcr_human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L</v>
      </c>
      <c r="W326" s="49" t="str">
        <f>MID(VLOOKUP($A326,Seqs!$A:$B,2,FALSE),VLOOKUP($A326,'SegEnds_NonXtal_Prot#'!A:AL,10,FALSE)+6,1)</f>
        <v>L</v>
      </c>
      <c r="X326" s="49" t="str">
        <f>MID(VLOOKUP($A326,Seqs!$A:$B,2,FALSE),VLOOKUP($A326,'SegEnds_NonXtal_Prot#'!A:AL,10,FALSE)+7,1)</f>
        <v>F</v>
      </c>
      <c r="Y326" s="49" t="str">
        <f>MID(VLOOKUP($A326,Seqs!$A:$B,2,FALSE),VLOOKUP($A326,'SegEnds_NonXtal_Prot#'!A:AL,10,FALSE)+8,1)</f>
        <v>L</v>
      </c>
      <c r="Z326" s="49" t="str">
        <f>MID(VLOOKUP($A326,Seqs!$A:$B,2,FALSE),VLOOKUP($A326,'SegEnds_NonXtal_Prot#'!A:AL,10,FALSE)+9,1)</f>
        <v>T</v>
      </c>
      <c r="AA326" s="49" t="str">
        <f>MID(VLOOKUP($A326,Seqs!$A:$B,2,FALSE),VLOOKUP($A326,'SegEnds_NonXtal_Prot#'!A:AL,10,FALSE)+10,1)</f>
        <v>G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I</v>
      </c>
      <c r="AD326" s="49" t="str">
        <f>MID(VLOOKUP($A326,Seqs!$A:$B,2,FALSE),VLOOKUP($A326,'SegEnds_NonXtal_Prot#'!$A:$AL,22,FALSE)+8,1)</f>
        <v>A</v>
      </c>
      <c r="AE326" s="49" t="str">
        <f>MID(VLOOKUP($A326,Seqs!$A:$B,2,FALSE),VLOOKUP($A326,'SegEnds_NonXtal_Prot#'!$A:$AL,22,FALSE)+9,1)</f>
        <v>V</v>
      </c>
      <c r="AF326" s="49" t="str">
        <f>MID(VLOOKUP($A326,Seqs!$A:$B,2,FALSE),VLOOKUP($A326,'SegEnds_NonXtal_Prot#'!$A:$AL,22,FALSE)+10,1)</f>
        <v>S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1187</v>
      </c>
      <c r="B327" s="2" t="str">
        <f>LOWER(VLOOKUP(A327,Xtal_Templ!A:B,2,FALSE))</f>
        <v>pth1r_human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S</v>
      </c>
      <c r="AD327" s="49" t="str">
        <f>MID(VLOOKUP($A327,Seqs!$A:$B,2,FALSE),VLOOKUP($A327,'SegEnds_NonXtal_Prot#'!$A:$AL,22,FALSE)+8,1)</f>
        <v>V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1188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A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V</v>
      </c>
      <c r="Z328" s="49" t="str">
        <f>MID(VLOOKUP($A328,Seqs!$A:$B,2,FALSE),VLOOKUP($A328,'SegEnds_NonXtal_Prot#'!A:AL,10,FALSE)+9,1)</f>
        <v>W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I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A</v>
      </c>
      <c r="AE328" s="49" t="str">
        <f>MID(VLOOKUP($A328,Seqs!$A:$B,2,FALSE),VLOOKUP($A328,'SegEnds_NonXtal_Prot#'!$A:$AL,22,FALSE)+9,1)</f>
        <v>I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1189</v>
      </c>
      <c r="B329" s="2" t="str">
        <f>LOWER(VLOOKUP(A329,Xtal_Templ!A:B,2,FALSE))</f>
        <v>calrl_human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V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D</v>
      </c>
      <c r="Y329" s="49" t="str">
        <f>MID(VLOOKUP($A329,Seqs!$A:$B,2,FALSE),VLOOKUP($A329,'SegEnds_NonXtal_Prot#'!A:AL,10,FALSE)+8,1)</f>
        <v>T</v>
      </c>
      <c r="Z329" s="49" t="str">
        <f>MID(VLOOKUP($A329,Seqs!$A:$B,2,FALSE),VLOOKUP($A329,'SegEnds_NonXtal_Prot#'!A:AL,10,FALSE)+9,1)</f>
        <v>C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L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G</v>
      </c>
      <c r="AE329" s="49" t="str">
        <f>MID(VLOOKUP($A329,Seqs!$A:$B,2,FALSE),VLOOKUP($A329,'SegEnds_NonXtal_Prot#'!$A:$AL,22,FALSE)+9,1)</f>
        <v>V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1190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V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A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T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1191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A</v>
      </c>
      <c r="W331" s="49" t="str">
        <f>MID(VLOOKUP($A331,Seqs!$A:$B,2,FALSE),VLOOKUP($A331,'SegEnds_NonXtal_Prot#'!A:AL,10,FALSE)+6,1)</f>
        <v>A</v>
      </c>
      <c r="X331" s="49" t="str">
        <f>MID(VLOOKUP($A331,Seqs!$A:$B,2,FALSE),VLOOKUP($A331,'SegEnds_NonXtal_Prot#'!A:AL,10,FALSE)+7,1)</f>
        <v>N</v>
      </c>
      <c r="Y331" s="49" t="str">
        <f>MID(VLOOKUP($A331,Seqs!$A:$B,2,FALSE),VLOOKUP($A331,'SegEnds_NonXtal_Prot#'!A:AL,10,FALSE)+8,1)</f>
        <v>T</v>
      </c>
      <c r="Z331" s="49" t="str">
        <f>MID(VLOOKUP($A331,Seqs!$A:$B,2,FALSE),VLOOKUP($A331,'SegEnds_NonXtal_Prot#'!A:AL,10,FALSE)+9,1)</f>
        <v>W</v>
      </c>
      <c r="AA331" s="49" t="str">
        <f>MID(VLOOKUP($A331,Seqs!$A:$B,2,FALSE),VLOOKUP($A331,'SegEnds_NonXtal_Prot#'!A:AL,10,FALSE)+10,1)</f>
        <v>F</v>
      </c>
      <c r="AB331" s="28" t="str">
        <f>MID(VLOOKUP($A331,Seqs!$A:$B,2,FALSE),VLOOKUP($A331,'SegEnds_NonXtal_Prot#'!$A:$AL,22,FALSE)+6,1)</f>
        <v>I</v>
      </c>
      <c r="AC331" s="49" t="str">
        <f>MID(VLOOKUP($A331,Seqs!$A:$B,2,FALSE),VLOOKUP($A331,'SegEnds_NonXtal_Prot#'!$A:$AL,22,FALSE)+7,1)</f>
        <v>S</v>
      </c>
      <c r="AD331" s="49" t="str">
        <f>MID(VLOOKUP($A331,Seqs!$A:$B,2,FALSE),VLOOKUP($A331,'SegEnds_NonXtal_Prot#'!$A:$AL,22,FALSE)+8,1)</f>
        <v>V</v>
      </c>
      <c r="AE331" s="49" t="str">
        <f>MID(VLOOKUP($A331,Seqs!$A:$B,2,FALSE),VLOOKUP($A331,'SegEnds_NonXtal_Prot#'!$A:$AL,22,FALSE)+9,1)</f>
        <v>I</v>
      </c>
      <c r="AF331" s="49" t="str">
        <f>MID(VLOOKUP($A331,Seqs!$A:$B,2,FALSE),VLOOKUP($A331,'SegEnds_NonXtal_Prot#'!$A:$AL,22,FALSE)+10,1)</f>
        <v>T</v>
      </c>
      <c r="AG331" s="28" t="str">
        <f>MID(VLOOKUP($A331,Seqs!$A:$B,2,FALSE),VLOOKUP($A331,'SegEnds_NonXtal_Prot#'!$A:$AL,28,FALSE)-4,1)</f>
        <v>P</v>
      </c>
      <c r="AH331" s="49" t="str">
        <f>MID(VLOOKUP($A331,Seqs!$A:$B,2,FALSE),VLOOKUP($A331,'SegEnds_NonXtal_Prot#'!$A:$AL,28,FALSE),1)</f>
        <v>I</v>
      </c>
    </row>
    <row r="332" spans="1:34" s="2" customFormat="1" x14ac:dyDescent="0.2">
      <c r="A332" s="2" t="s">
        <v>1192</v>
      </c>
      <c r="B332" s="2" t="str">
        <f>LOWER(VLOOKUP(A332,Xtal_Templ!A:B,2,FALSE))</f>
        <v>crfr1_human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V</v>
      </c>
      <c r="W332" s="49" t="str">
        <f>MID(VLOOKUP($A332,Seqs!$A:$B,2,FALSE),VLOOKUP($A332,'SegEnds_NonXtal_Prot#'!A:AL,10,FALSE)+6,1)</f>
        <v>S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S</v>
      </c>
      <c r="AB332" s="28" t="str">
        <f>MID(VLOOKUP($A332,Seqs!$A:$B,2,FALSE),VLOOKUP($A332,'SegEnds_NonXtal_Prot#'!$A:$AL,22,FALSE)+6,1)</f>
        <v>L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L</v>
      </c>
      <c r="AF332" s="49" t="str">
        <f>MID(VLOOKUP($A332,Seqs!$A:$B,2,FALSE),VLOOKUP($A332,'SegEnds_NonXtal_Prot#'!$A:$AL,22,FALSE)+10,1)</f>
        <v>V</v>
      </c>
      <c r="AG332" s="28" t="str">
        <f>MID(VLOOKUP($A332,Seqs!$A:$B,2,FALSE),VLOOKUP($A332,'SegEnds_NonXtal_Prot#'!$A:$AL,28,FALSE)-4,1)</f>
        <v>L</v>
      </c>
      <c r="AH332" s="49" t="str">
        <f>MID(VLOOKUP($A332,Seqs!$A:$B,2,FALSE),VLOOKUP($A332,'SegEnds_NonXtal_Prot#'!$A:$AL,28,FALSE),1)</f>
        <v>V</v>
      </c>
    </row>
    <row r="333" spans="1:34" s="2" customFormat="1" x14ac:dyDescent="0.2">
      <c r="A333" s="2" t="s">
        <v>1193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V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L</v>
      </c>
      <c r="AA333" s="49" t="str">
        <f>MID(VLOOKUP($A333,Seqs!$A:$B,2,FALSE),VLOOKUP($A333,'SegEnds_NonXtal_Prot#'!A:AL,10,FALSE)+10,1)</f>
        <v>D</v>
      </c>
      <c r="AB333" s="28" t="str">
        <f>MID(VLOOKUP($A333,Seqs!$A:$B,2,FALSE),VLOOKUP($A333,'SegEnds_NonXtal_Prot#'!$A:$AL,22,FALSE)+6,1)</f>
        <v>V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T</v>
      </c>
      <c r="AE333" s="49" t="str">
        <f>MID(VLOOKUP($A333,Seqs!$A:$B,2,FALSE),VLOOKUP($A333,'SegEnds_NonXtal_Prot#'!$A:$AL,22,FALSE)+9,1)</f>
        <v>I</v>
      </c>
      <c r="AF333" s="49" t="str">
        <f>MID(VLOOKUP($A333,Seqs!$A:$B,2,FALSE),VLOOKUP($A333,'SegEnds_NonXtal_Prot#'!$A:$AL,22,FALSE)+10,1)</f>
        <v>I</v>
      </c>
      <c r="AG333" s="28" t="str">
        <f>MID(VLOOKUP($A333,Seqs!$A:$B,2,FALSE),VLOOKUP($A333,'SegEnds_NonXtal_Prot#'!$A:$AL,28,FALSE)-4,1)</f>
        <v>Y</v>
      </c>
      <c r="AH333" s="49" t="str">
        <f>MID(VLOOKUP($A333,Seqs!$A:$B,2,FALSE),VLOOKUP($A333,'SegEnds_NonXtal_Prot#'!$A:$AL,28,FALSE),1)</f>
        <v>I</v>
      </c>
    </row>
    <row r="334" spans="1:34" s="2" customFormat="1" x14ac:dyDescent="0.2">
      <c r="A334" s="2" t="s">
        <v>1194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A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V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I</v>
      </c>
      <c r="AE334" s="49" t="str">
        <f>MID(VLOOKUP($A334,Seqs!$A:$B,2,FALSE),VLOOKUP($A334,'SegEnds_NonXtal_Prot#'!$A:$AL,22,FALSE)+9,1)</f>
        <v>G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T</v>
      </c>
      <c r="AH334" s="49" t="str">
        <f>MID(VLOOKUP($A334,Seqs!$A:$B,2,FALSE),VLOOKUP($A334,'SegEnds_NonXtal_Prot#'!$A:$AL,28,FALSE),1)</f>
        <v>Y</v>
      </c>
    </row>
    <row r="335" spans="1:34" s="2" customFormat="1" x14ac:dyDescent="0.2">
      <c r="A335" s="2" t="s">
        <v>1195</v>
      </c>
      <c r="B335" s="2" t="str">
        <f>LOWER(VLOOKUP(A335,Xtal_Templ!A:B,2,FALSE))</f>
        <v>crfr1_human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L</v>
      </c>
      <c r="W335" s="49" t="str">
        <f>MID(VLOOKUP($A335,Seqs!$A:$B,2,FALSE),VLOOKUP($A335,'SegEnds_NonXtal_Prot#'!A:AL,10,FALSE)+6,1)</f>
        <v>V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I</v>
      </c>
      <c r="AA335" s="49" t="str">
        <f>MID(VLOOKUP($A335,Seqs!$A:$B,2,FALSE),VLOOKUP($A335,'SegEnds_NonXtal_Prot#'!A:AL,10,FALSE)+10,1)</f>
        <v>N</v>
      </c>
      <c r="AB335" s="28" t="str">
        <f>MID(VLOOKUP($A335,Seqs!$A:$B,2,FALSE),VLOOKUP($A335,'SegEnds_NonXtal_Prot#'!$A:$AL,22,FALSE)+6,1)</f>
        <v>M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A</v>
      </c>
      <c r="AE335" s="49" t="str">
        <f>MID(VLOOKUP($A335,Seqs!$A:$B,2,FALSE),VLOOKUP($A335,'SegEnds_NonXtal_Prot#'!$A:$AL,22,FALSE)+9,1)</f>
        <v>I</v>
      </c>
      <c r="AF335" s="49" t="str">
        <f>MID(VLOOKUP($A335,Seqs!$A:$B,2,FALSE),VLOOKUP($A335,'SegEnds_NonXtal_Prot#'!$A:$AL,22,FALSE)+10,1)</f>
        <v>T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I</v>
      </c>
    </row>
    <row r="336" spans="1:34" s="2" customFormat="1" x14ac:dyDescent="0.2">
      <c r="A336" s="2" t="s">
        <v>1196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V</v>
      </c>
      <c r="W336" s="49" t="str">
        <f>MID(VLOOKUP($A336,Seqs!$A:$B,2,FALSE),VLOOKUP($A336,'SegEnds_NonXtal_Prot#'!A:AL,10,FALSE)+6,1)</f>
        <v>A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L</v>
      </c>
      <c r="Z336" s="49" t="str">
        <f>MID(VLOOKUP($A336,Seqs!$A:$B,2,FALSE),VLOOKUP($A336,'SegEnds_NonXtal_Prot#'!A:AL,10,FALSE)+9,1)</f>
        <v>L</v>
      </c>
      <c r="AA336" s="49" t="str">
        <f>MID(VLOOKUP($A336,Seqs!$A:$B,2,FALSE),VLOOKUP($A336,'SegEnds_NonXtal_Prot#'!A:AL,10,FALSE)+10,1)</f>
        <v>S</v>
      </c>
      <c r="AB336" s="28" t="str">
        <f>MID(VLOOKUP($A336,Seqs!$A:$B,2,FALSE),VLOOKUP($A336,'SegEnds_NonXtal_Prot#'!$A:$AL,22,FALSE)+6,1)</f>
        <v>L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L</v>
      </c>
      <c r="AE336" s="49" t="str">
        <f>MID(VLOOKUP($A336,Seqs!$A:$B,2,FALSE),VLOOKUP($A336,'SegEnds_NonXtal_Prot#'!$A:$AL,22,FALSE)+9,1)</f>
        <v>L</v>
      </c>
      <c r="AF336" s="49" t="str">
        <f>MID(VLOOKUP($A336,Seqs!$A:$B,2,FALSE),VLOOKUP($A336,'SegEnds_NonXtal_Prot#'!$A:$AL,22,FALSE)+10,1)</f>
        <v>S</v>
      </c>
      <c r="AG336" s="28" t="str">
        <f>MID(VLOOKUP($A336,Seqs!$A:$B,2,FALSE),VLOOKUP($A336,'SegEnds_NonXtal_Prot#'!$A:$AL,28,FALSE)-4,1)</f>
        <v>Y</v>
      </c>
      <c r="AH336" s="49" t="str">
        <f>MID(VLOOKUP($A336,Seqs!$A:$B,2,FALSE),VLOOKUP($A336,'SegEnds_NonXtal_Prot#'!$A:$AL,28,FALSE),1)</f>
        <v>T</v>
      </c>
    </row>
    <row r="337" spans="1:34" s="2" customFormat="1" x14ac:dyDescent="0.2">
      <c r="A337" s="2" t="s">
        <v>1197</v>
      </c>
      <c r="B337" s="2" t="str">
        <f>LOWER(VLOOKUP(A337,Xtal_Templ!A:B,2,FALSE))</f>
        <v>pth1r_human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M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V</v>
      </c>
      <c r="Z337" s="49" t="str">
        <f>MID(VLOOKUP($A337,Seqs!$A:$B,2,FALSE),VLOOKUP($A337,'SegEnds_NonXtal_Prot#'!A:AL,10,FALSE)+9,1)</f>
        <v>F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A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T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I</v>
      </c>
    </row>
    <row r="338" spans="1:34" s="2" customFormat="1" x14ac:dyDescent="0.2">
      <c r="A338" s="2" t="s">
        <v>1198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L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V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I</v>
      </c>
      <c r="AF338" s="49" t="str">
        <f>MID(VLOOKUP($A338,Seqs!$A:$B,2,FALSE),VLOOKUP($A338,'SegEnds_NonXtal_Prot#'!$A:$AL,22,FALSE)+10,1)</f>
        <v>A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V</v>
      </c>
    </row>
    <row r="339" spans="1:34" s="2" customFormat="1" x14ac:dyDescent="0.2">
      <c r="A339" s="2" t="s">
        <v>1199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I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V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G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1200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L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I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I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A</v>
      </c>
      <c r="AE340" s="49" t="str">
        <f>MID(VLOOKUP($A340,Seqs!$A:$B,2,FALSE),VLOOKUP($A340,'SegEnds_NonXtal_Prot#'!$A:$AL,22,FALSE)+9,1)</f>
        <v>V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1201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L</v>
      </c>
      <c r="W341" s="49" t="str">
        <f>MID(VLOOKUP($A341,Seqs!$A:$B,2,FALSE),VLOOKUP($A341,'SegEnds_NonXtal_Prot#'!A:AL,10,FALSE)+6,1)</f>
        <v>V</v>
      </c>
      <c r="X341" s="49" t="str">
        <f>MID(VLOOKUP($A341,Seqs!$A:$B,2,FALSE),VLOOKUP($A341,'SegEnds_NonXtal_Prot#'!A:AL,10,FALSE)+7,1)</f>
        <v>F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V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G</v>
      </c>
      <c r="AE341" s="49" t="str">
        <f>MID(VLOOKUP($A341,Seqs!$A:$B,2,FALSE),VLOOKUP($A341,'SegEnds_NonXtal_Prot#'!$A:$AL,22,FALSE)+9,1)</f>
        <v>F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I</v>
      </c>
    </row>
    <row r="342" spans="1:34" s="2" customFormat="1" x14ac:dyDescent="0.2">
      <c r="A342" s="2" t="s">
        <v>414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I</v>
      </c>
      <c r="W342" s="49" t="str">
        <f>MID(VLOOKUP($A342,Seqs!$A:$B,2,FALSE),VLOOKUP($A342,'SegEnds_NonXtal_Prot#'!A:AL,10,FALSE)+6,1)</f>
        <v>L</v>
      </c>
      <c r="X342" s="49" t="str">
        <f>MID(VLOOKUP($A342,Seqs!$A:$B,2,FALSE),VLOOKUP($A342,'SegEnds_NonXtal_Prot#'!A:AL,10,FALSE)+7,1)</f>
        <v>I</v>
      </c>
      <c r="Y342" s="49" t="str">
        <f>MID(VLOOKUP($A342,Seqs!$A:$B,2,FALSE),VLOOKUP($A342,'SegEnds_NonXtal_Prot#'!A:AL,10,FALSE)+8,1)</f>
        <v>L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V</v>
      </c>
      <c r="AD342" s="49" t="str">
        <f>MID(VLOOKUP($A342,Seqs!$A:$B,2,FALSE),VLOOKUP($A342,'SegEnds_NonXtal_Prot#'!$A:$AL,22,FALSE)+8,1)</f>
        <v>A</v>
      </c>
      <c r="AE342" s="49" t="str">
        <f>MID(VLOOKUP($A342,Seqs!$A:$B,2,FALSE),VLOOKUP($A342,'SegEnds_NonXtal_Prot#'!$A:$AL,22,FALSE)+9,1)</f>
        <v>I</v>
      </c>
      <c r="AF342" s="49" t="str">
        <f>MID(VLOOKUP($A342,Seqs!$A:$B,2,FALSE),VLOOKUP($A342,'SegEnds_NonXtal_Prot#'!$A:$AL,22,FALSE)+10,1)</f>
        <v>S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418</v>
      </c>
      <c r="B343" s="2" t="str">
        <f>LOWER(VLOOKUP(A343,Xtal_Templ!A:B,2,FALSE))</f>
        <v>calcr_human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V</v>
      </c>
      <c r="Z343" s="49" t="str">
        <f>MID(VLOOKUP($A343,Seqs!$A:$B,2,FALSE),VLOOKUP($A343,'SegEnds_NonXtal_Prot#'!A:AL,10,FALSE)+9,1)</f>
        <v>I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V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V</v>
      </c>
    </row>
    <row r="344" spans="1:34" s="2" customFormat="1" x14ac:dyDescent="0.2">
      <c r="A344" s="2" t="s">
        <v>419</v>
      </c>
      <c r="B344" s="2" t="str">
        <f>LOWER(VLOOKUP(A344,Xtal_Templ!A:B,2,FALSE))</f>
        <v>calrl_human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V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G</v>
      </c>
      <c r="AB344" s="28" t="str">
        <f>MID(VLOOKUP($A344,Seqs!$A:$B,2,FALSE),VLOOKUP($A344,'SegEnds_NonXtal_Prot#'!$A:$AL,22,FALSE)+6,1)</f>
        <v>I</v>
      </c>
      <c r="AC344" s="49" t="str">
        <f>MID(VLOOKUP($A344,Seqs!$A:$B,2,FALSE),VLOOKUP($A344,'SegEnds_NonXtal_Prot#'!$A:$AL,22,FALSE)+7,1)</f>
        <v>T</v>
      </c>
      <c r="AD344" s="49" t="str">
        <f>MID(VLOOKUP($A344,Seqs!$A:$B,2,FALSE),VLOOKUP($A344,'SegEnds_NonXtal_Prot#'!$A:$AL,22,FALSE)+8,1)</f>
        <v>G</v>
      </c>
      <c r="AE344" s="49" t="str">
        <f>MID(VLOOKUP($A344,Seqs!$A:$B,2,FALSE),VLOOKUP($A344,'SegEnds_NonXtal_Prot#'!$A:$AL,22,FALSE)+9,1)</f>
        <v>L</v>
      </c>
      <c r="AF344" s="49" t="str">
        <f>MID(VLOOKUP($A344,Seqs!$A:$B,2,FALSE),VLOOKUP($A344,'SegEnds_NonXtal_Prot#'!$A:$AL,22,FALSE)+10,1)</f>
        <v>A</v>
      </c>
      <c r="AG344" s="28" t="str">
        <f>MID(VLOOKUP($A344,Seqs!$A:$B,2,FALSE),VLOOKUP($A344,'SegEnds_NonXtal_Prot#'!$A:$AL,28,FALSE)-4,1)</f>
        <v>P</v>
      </c>
      <c r="AH344" s="49" t="str">
        <f>MID(VLOOKUP($A344,Seqs!$A:$B,2,FALSE),VLOOKUP($A344,'SegEnds_NonXtal_Prot#'!$A:$AL,28,FALSE),1)</f>
        <v>A</v>
      </c>
    </row>
    <row r="345" spans="1:34" s="2" customFormat="1" x14ac:dyDescent="0.2">
      <c r="A345" s="2" t="s">
        <v>1413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L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L</v>
      </c>
      <c r="AA345" s="49" t="str">
        <f>MID(VLOOKUP($A345,Seqs!$A:$B,2,FALSE),VLOOKUP($A345,'SegEnds_NonXtal_Prot#'!A:AL,10,FALSE)+10,1)</f>
        <v>D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S</v>
      </c>
      <c r="AE345" s="49" t="str">
        <f>MID(VLOOKUP($A345,Seqs!$A:$B,2,FALSE),VLOOKUP($A345,'SegEnds_NonXtal_Prot#'!$A:$AL,22,FALSE)+9,1)</f>
        <v>V</v>
      </c>
      <c r="AF345" s="49" t="str">
        <f>MID(VLOOKUP($A345,Seqs!$A:$B,2,FALSE),VLOOKUP($A345,'SegEnds_NonXtal_Prot#'!$A:$AL,22,FALSE)+10,1)</f>
        <v>V</v>
      </c>
      <c r="AG345" s="28" t="str">
        <f>MID(VLOOKUP($A345,Seqs!$A:$B,2,FALSE),VLOOKUP($A345,'SegEnds_NonXtal_Prot#'!$A:$AL,28,FALSE)-4,1)</f>
        <v>Y</v>
      </c>
      <c r="AH345" s="49" t="str">
        <f>MID(VLOOKUP($A345,Seqs!$A:$B,2,FALSE),VLOOKUP($A345,'SegEnds_NonXtal_Prot#'!$A:$AL,28,FALSE),1)</f>
        <v>M</v>
      </c>
    </row>
    <row r="346" spans="1:34" s="2" customFormat="1" x14ac:dyDescent="0.2">
      <c r="A346" s="2" t="s">
        <v>442</v>
      </c>
      <c r="B346" s="2" t="str">
        <f>LOWER(VLOOKUP(A346,Xtal_Templ!A:B,2,FALSE))</f>
        <v>crfr1_human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S</v>
      </c>
      <c r="W346" s="49" t="str">
        <f>MID(VLOOKUP($A346,Seqs!$A:$B,2,FALSE),VLOOKUP($A346,'SegEnds_NonXtal_Prot#'!A:AL,10,FALSE)+6,1)</f>
        <v>L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S</v>
      </c>
      <c r="AB346" s="28" t="str">
        <f>MID(VLOOKUP($A346,Seqs!$A:$B,2,FALSE),VLOOKUP($A346,'SegEnds_NonXtal_Prot#'!$A:$AL,22,FALSE)+6,1)</f>
        <v>V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I</v>
      </c>
      <c r="AE346" s="49" t="str">
        <f>MID(VLOOKUP($A346,Seqs!$A:$B,2,FALSE),VLOOKUP($A346,'SegEnds_NonXtal_Prot#'!$A:$AL,22,FALSE)+9,1)</f>
        <v>L</v>
      </c>
      <c r="AF346" s="49" t="str">
        <f>MID(VLOOKUP($A346,Seqs!$A:$B,2,FALSE),VLOOKUP($A346,'SegEnds_NonXtal_Prot#'!$A:$AL,22,FALSE)+10,1)</f>
        <v>L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L</v>
      </c>
    </row>
    <row r="347" spans="1:34" s="2" customFormat="1" x14ac:dyDescent="0.2">
      <c r="A347" s="2" t="s">
        <v>417</v>
      </c>
      <c r="B347" s="2" t="str">
        <f>LOWER(VLOOKUP(A347,Xtal_Templ!A:B,2,FALSE))</f>
        <v>glp1r_human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I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A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I</v>
      </c>
      <c r="AC347" s="49" t="str">
        <f>MID(VLOOKUP($A347,Seqs!$A:$B,2,FALSE),VLOOKUP($A347,'SegEnds_NonXtal_Prot#'!$A:$AL,22,FALSE)+7,1)</f>
        <v>V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V</v>
      </c>
      <c r="AF347" s="49" t="str">
        <f>MID(VLOOKUP($A347,Seqs!$A:$B,2,FALSE),VLOOKUP($A347,'SegEnds_NonXtal_Prot#'!$A:$AL,22,FALSE)+10,1)</f>
        <v>S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I</v>
      </c>
    </row>
    <row r="348" spans="1:34" s="2" customFormat="1" x14ac:dyDescent="0.2">
      <c r="A348" s="2" t="s">
        <v>420</v>
      </c>
      <c r="B348" s="2" t="str">
        <f>LOWER(VLOOKUP(A348,Xtal_Templ!A:B,2,FALSE))</f>
        <v>crfr1_human</v>
      </c>
      <c r="C348" s="2" t="str">
        <f>VLOOKUP(A348,Classification!A:D,2,FALSE)</f>
        <v>B2</v>
      </c>
      <c r="D348" s="2" t="str">
        <f>IF(ISERROR(MATCH(A348,'SegEnds_Xtal_Prot#'!B:B, 0)), "NoXtal", "Xtal")</f>
        <v>NoXtal</v>
      </c>
      <c r="H348" s="4"/>
      <c r="J348" s="106" t="s">
        <v>25</v>
      </c>
      <c r="T348" s="4" t="s">
        <v>12</v>
      </c>
      <c r="V348" s="28" t="str">
        <f>MID(VLOOKUP($A348,Seqs!$A:$B,2,FALSE),VLOOKUP($A348,'SegEnds_NonXtal_Prot#'!A:AL,10,FALSE),1)</f>
        <v>L</v>
      </c>
      <c r="W348" s="49" t="str">
        <f>MID(VLOOKUP($A348,Seqs!$A:$B,2,FALSE),VLOOKUP($A348,'SegEnds_NonXtal_Prot#'!A:AL,10,FALSE)+6,1)</f>
        <v>L</v>
      </c>
      <c r="X348" s="49" t="str">
        <f>MID(VLOOKUP($A348,Seqs!$A:$B,2,FALSE),VLOOKUP($A348,'SegEnds_NonXtal_Prot#'!A:AL,10,FALSE)+7,1)</f>
        <v>F</v>
      </c>
      <c r="Y348" s="49" t="str">
        <f>MID(VLOOKUP($A348,Seqs!$A:$B,2,FALSE),VLOOKUP($A348,'SegEnds_NonXtal_Prot#'!A:AL,10,FALSE)+8,1)</f>
        <v>L</v>
      </c>
      <c r="Z348" s="49" t="str">
        <f>MID(VLOOKUP($A348,Seqs!$A:$B,2,FALSE),VLOOKUP($A348,'SegEnds_NonXtal_Prot#'!A:AL,10,FALSE)+9,1)</f>
        <v>L</v>
      </c>
      <c r="AA348" s="49" t="str">
        <f>MID(VLOOKUP($A348,Seqs!$A:$B,2,FALSE),VLOOKUP($A348,'SegEnds_NonXtal_Prot#'!A:AL,10,FALSE)+10,1)</f>
        <v>G</v>
      </c>
      <c r="AB348" s="28" t="str">
        <f>MID(VLOOKUP($A348,Seqs!$A:$B,2,FALSE),VLOOKUP($A348,'SegEnds_NonXtal_Prot#'!$A:$AL,22,FALSE)+6,1)</f>
        <v>L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G</v>
      </c>
      <c r="AE348" s="49" t="str">
        <f>MID(VLOOKUP($A348,Seqs!$A:$B,2,FALSE),VLOOKUP($A348,'SegEnds_NonXtal_Prot#'!$A:$AL,22,FALSE)+9,1)</f>
        <v>L</v>
      </c>
      <c r="AF348" s="49" t="str">
        <f>MID(VLOOKUP($A348,Seqs!$A:$B,2,FALSE),VLOOKUP($A348,'SegEnds_NonXtal_Prot#'!$A:$AL,22,FALSE)+10,1)</f>
        <v>A</v>
      </c>
      <c r="AG348" s="28" t="str">
        <f>MID(VLOOKUP($A348,Seqs!$A:$B,2,FALSE),VLOOKUP($A348,'SegEnds_NonXtal_Prot#'!$A:$AL,28,FALSE)-4,1)</f>
        <v>P</v>
      </c>
      <c r="AH348" s="49" t="str">
        <f>MID(VLOOKUP($A348,Seqs!$A:$B,2,FALSE),VLOOKUP($A348,'SegEnds_NonXtal_Prot#'!$A:$AL,28,FALSE),1)</f>
        <v>V</v>
      </c>
    </row>
    <row r="349" spans="1:34" s="2" customFormat="1" x14ac:dyDescent="0.2">
      <c r="A349" s="2" t="s">
        <v>106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1324</v>
      </c>
      <c r="V349" s="28" t="str">
        <f>MID(VLOOKUP($A349,Seqs!$A:$B,2,FALSE),VLOOKUP($A349,'SegEnds_NonXtal_Prot#'!A:AL,10,FALSE),1)</f>
        <v>C</v>
      </c>
      <c r="W349" s="49" t="str">
        <f>MID(VLOOKUP($A349,Seqs!$A:$B,2,FALSE),VLOOKUP($A349,'SegEnds_NonXtal_Prot#'!A:AL,10,FALSE)+6,1)</f>
        <v>A</v>
      </c>
      <c r="X349" s="49" t="str">
        <f>MID(VLOOKUP($A349,Seqs!$A:$B,2,FALSE),VLOOKUP($A349,'SegEnds_NonXtal_Prot#'!A:AL,10,FALSE)+7,1)</f>
        <v>V</v>
      </c>
      <c r="Y349" s="49" t="str">
        <f>MID(VLOOKUP($A349,Seqs!$A:$B,2,FALSE),VLOOKUP($A349,'SegEnds_NonXtal_Prot#'!A:AL,10,FALSE)+8,1)</f>
        <v>F</v>
      </c>
      <c r="Z349" s="49" t="str">
        <f>MID(VLOOKUP($A349,Seqs!$A:$B,2,FALSE),VLOOKUP($A349,'SegEnds_NonXtal_Prot#'!A:AL,10,FALSE)+9,1)</f>
        <v>P</v>
      </c>
      <c r="AA349" s="49" t="str">
        <f>MID(VLOOKUP($A349,Seqs!$A:$B,2,FALSE),VLOOKUP($A349,'SegEnds_NonXtal_Prot#'!A:AL,10,FALSE)+10,1)</f>
        <v>L</v>
      </c>
      <c r="AB349" s="28" t="str">
        <f>MID(VLOOKUP($A349,Seqs!$A:$B,2,FALSE),VLOOKUP($A349,'SegEnds_NonXtal_Prot#'!$A:$AL,22,FALSE)+6,1)</f>
        <v>T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A</v>
      </c>
      <c r="AE349" s="49" t="str">
        <f>MID(VLOOKUP($A349,Seqs!$A:$B,2,FALSE),VLOOKUP($A349,'SegEnds_NonXtal_Prot#'!$A:$AL,22,FALSE)+9,1)</f>
        <v>I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Y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108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1324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S</v>
      </c>
      <c r="X350" s="49" t="str">
        <f>MID(VLOOKUP($A350,Seqs!$A:$B,2,FALSE),VLOOKUP($A350,'SegEnds_NonXtal_Prot#'!A:AL,10,FALSE)+7,1)</f>
        <v>A</v>
      </c>
      <c r="Y350" s="49" t="str">
        <f>MID(VLOOKUP($A350,Seqs!$A:$B,2,FALSE),VLOOKUP($A350,'SegEnds_NonXtal_Prot#'!A:AL,10,FALSE)+8,1)</f>
        <v>Y</v>
      </c>
      <c r="Z350" s="49" t="str">
        <f>MID(VLOOKUP($A350,Seqs!$A:$B,2,FALSE),VLOOKUP($A350,'SegEnds_NonXtal_Prot#'!A:AL,10,FALSE)+9,1)</f>
        <v>L</v>
      </c>
      <c r="AA350" s="49" t="str">
        <f>MID(VLOOKUP($A350,Seqs!$A:$B,2,FALSE),VLOOKUP($A350,'SegEnds_NonXtal_Prot#'!A:AL,10,FALSE)+10,1)</f>
        <v>F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L</v>
      </c>
      <c r="AD350" s="49" t="str">
        <f>MID(VLOOKUP($A350,Seqs!$A:$B,2,FALSE),VLOOKUP($A350,'SegEnds_NonXtal_Prot#'!$A:$AL,22,FALSE)+8,1)</f>
        <v>M</v>
      </c>
      <c r="AE350" s="49" t="str">
        <f>MID(VLOOKUP($A350,Seqs!$A:$B,2,FALSE),VLOOKUP($A350,'SegEnds_NonXtal_Prot#'!$A:$AL,22,FALSE)+9,1)</f>
        <v>T</v>
      </c>
      <c r="AF350" s="49" t="str">
        <f>MID(VLOOKUP($A350,Seqs!$A:$B,2,FALSE),VLOOKUP($A350,'SegEnds_NonXtal_Prot#'!$A:$AL,22,FALSE)+10,1)</f>
        <v>W</v>
      </c>
      <c r="AG350" s="28" t="str">
        <f>MID(VLOOKUP($A350,Seqs!$A:$B,2,FALSE),VLOOKUP($A350,'SegEnds_NonXtal_Prot#'!$A:$AL,28,FALSE)-4,1)</f>
        <v>C</v>
      </c>
      <c r="AH350" s="49" t="str">
        <f>MID(VLOOKUP($A350,Seqs!$A:$B,2,FALSE),VLOOKUP($A350,'SegEnds_NonXtal_Prot#'!$A:$AL,28,FALSE),1)</f>
        <v>L</v>
      </c>
    </row>
    <row r="351" spans="1:34" s="2" customFormat="1" x14ac:dyDescent="0.2">
      <c r="A351" s="2" t="s">
        <v>109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1324</v>
      </c>
      <c r="V351" s="28" t="str">
        <f>MID(VLOOKUP($A351,Seqs!$A:$B,2,FALSE),VLOOKUP($A351,'SegEnds_NonXtal_Prot#'!A:AL,10,FALSE),1)</f>
        <v>S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V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A</v>
      </c>
      <c r="AD351" s="49" t="str">
        <f>MID(VLOOKUP($A351,Seqs!$A:$B,2,FALSE),VLOOKUP($A351,'SegEnds_NonXtal_Prot#'!$A:$AL,22,FALSE)+8,1)</f>
        <v>V</v>
      </c>
      <c r="AE351" s="49" t="str">
        <f>MID(VLOOKUP($A351,Seqs!$A:$B,2,FALSE),VLOOKUP($A351,'SegEnds_NonXtal_Prot#'!$A:$AL,22,FALSE)+9,1)</f>
        <v>I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F</v>
      </c>
    </row>
    <row r="352" spans="1:34" s="2" customFormat="1" x14ac:dyDescent="0.2">
      <c r="A352" s="2" t="s">
        <v>110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1324</v>
      </c>
      <c r="V352" s="28" t="str">
        <f>MID(VLOOKUP($A352,Seqs!$A:$B,2,FALSE),VLOOKUP($A352,'SegEnds_NonXtal_Prot#'!A:AL,10,FALSE),1)</f>
        <v>F</v>
      </c>
      <c r="W352" s="49" t="str">
        <f>MID(VLOOKUP($A352,Seqs!$A:$B,2,FALSE),VLOOKUP($A352,'SegEnds_NonXtal_Prot#'!A:AL,10,FALSE)+6,1)</f>
        <v>P</v>
      </c>
      <c r="X352" s="49" t="str">
        <f>MID(VLOOKUP($A352,Seqs!$A:$B,2,FALSE),VLOOKUP($A352,'SegEnds_NonXtal_Prot#'!A:AL,10,FALSE)+7,1)</f>
        <v>V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I</v>
      </c>
      <c r="AA352" s="49" t="str">
        <f>MID(VLOOKUP($A352,Seqs!$A:$B,2,FALSE),VLOOKUP($A352,'SegEnds_NonXtal_Prot#'!A:AL,10,FALSE)+10,1)</f>
        <v>L</v>
      </c>
      <c r="AB352" s="28" t="str">
        <f>MID(VLOOKUP($A352,Seqs!$A:$B,2,FALSE),VLOOKUP($A352,'SegEnds_NonXtal_Prot#'!$A:$AL,22,FALSE)+6,1)</f>
        <v>L</v>
      </c>
      <c r="AC352" s="49" t="str">
        <f>MID(VLOOKUP($A352,Seqs!$A:$B,2,FALSE),VLOOKUP($A352,'SegEnds_NonXtal_Prot#'!$A:$AL,22,FALSE)+7,1)</f>
        <v>G</v>
      </c>
      <c r="AD352" s="49" t="str">
        <f>MID(VLOOKUP($A352,Seqs!$A:$B,2,FALSE),VLOOKUP($A352,'SegEnds_NonXtal_Prot#'!$A:$AL,22,FALSE)+8,1)</f>
        <v>L</v>
      </c>
      <c r="AE352" s="49" t="str">
        <f>MID(VLOOKUP($A352,Seqs!$A:$B,2,FALSE),VLOOKUP($A352,'SegEnds_NonXtal_Prot#'!$A:$AL,22,FALSE)+9,1)</f>
        <v>L</v>
      </c>
      <c r="AF352" s="49" t="str">
        <f>MID(VLOOKUP($A352,Seqs!$A:$B,2,FALSE),VLOOKUP($A352,'SegEnds_NonXtal_Prot#'!$A:$AL,22,FALSE)+10,1)</f>
        <v>L</v>
      </c>
      <c r="AG352" s="28" t="str">
        <f>MID(VLOOKUP($A352,Seqs!$A:$B,2,FALSE),VLOOKUP($A352,'SegEnds_NonXtal_Prot#'!$A:$AL,28,FALSE)-4,1)</f>
        <v>A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111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1324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T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F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A</v>
      </c>
      <c r="AD353" s="49" t="str">
        <f>MID(VLOOKUP($A353,Seqs!$A:$B,2,FALSE),VLOOKUP($A353,'SegEnds_NonXtal_Prot#'!$A:$AL,22,FALSE)+8,1)</f>
        <v>V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112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1324</v>
      </c>
      <c r="V354" s="28" t="str">
        <f>MID(VLOOKUP($A354,Seqs!$A:$B,2,FALSE),VLOOKUP($A354,'SegEnds_NonXtal_Prot#'!A:AL,10,FALSE),1)</f>
        <v>T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V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C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N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W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113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1324</v>
      </c>
      <c r="V355" s="28" t="str">
        <f>MID(VLOOKUP($A355,Seqs!$A:$B,2,FALSE),VLOOKUP($A355,'SegEnds_NonXtal_Prot#'!A:AL,10,FALSE),1)</f>
        <v>V</v>
      </c>
      <c r="W355" s="49" t="str">
        <f>MID(VLOOKUP($A355,Seqs!$A:$B,2,FALSE),VLOOKUP($A355,'SegEnds_NonXtal_Prot#'!A:AL,10,FALSE)+6,1)</f>
        <v>L</v>
      </c>
      <c r="X355" s="49" t="str">
        <f>MID(VLOOKUP($A355,Seqs!$A:$B,2,FALSE),VLOOKUP($A355,'SegEnds_NonXtal_Prot#'!A:AL,10,FALSE)+7,1)</f>
        <v>A</v>
      </c>
      <c r="Y355" s="49" t="str">
        <f>MID(VLOOKUP($A355,Seqs!$A:$B,2,FALSE),VLOOKUP($A355,'SegEnds_NonXtal_Prot#'!A:AL,10,FALSE)+8,1)</f>
        <v>F</v>
      </c>
      <c r="Z355" s="49" t="str">
        <f>MID(VLOOKUP($A355,Seqs!$A:$B,2,FALSE),VLOOKUP($A355,'SegEnds_NonXtal_Prot#'!A:AL,10,FALSE)+9,1)</f>
        <v>A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A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E</v>
      </c>
      <c r="AF355" s="49" t="str">
        <f>MID(VLOOKUP($A355,Seqs!$A:$B,2,FALSE),VLOOKUP($A355,'SegEnds_NonXtal_Prot#'!$A:$AL,22,FALSE)+10,1)</f>
        <v>Y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114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H356" s="4"/>
      <c r="U356" s="2" t="s">
        <v>1324</v>
      </c>
      <c r="V356" s="28" t="str">
        <f>MID(VLOOKUP($A356,Seqs!$A:$B,2,FALSE),VLOOKUP($A356,'SegEnds_NonXtal_Prot#'!A:AL,10,FALSE),1)</f>
        <v>H</v>
      </c>
      <c r="W356" s="49" t="str">
        <f>MID(VLOOKUP($A356,Seqs!$A:$B,2,FALSE),VLOOKUP($A356,'SegEnds_NonXtal_Prot#'!A:AL,10,FALSE)+6,1)</f>
        <v>S</v>
      </c>
      <c r="X356" s="49" t="str">
        <f>MID(VLOOKUP($A356,Seqs!$A:$B,2,FALSE),VLOOKUP($A356,'SegEnds_NonXtal_Prot#'!A:AL,10,FALSE)+7,1)</f>
        <v>T</v>
      </c>
      <c r="Y356" s="49" t="str">
        <f>MID(VLOOKUP($A356,Seqs!$A:$B,2,FALSE),VLOOKUP($A356,'SegEnds_NonXtal_Prot#'!A:AL,10,FALSE)+8,1)</f>
        <v>S</v>
      </c>
      <c r="Z356" s="49" t="str">
        <f>MID(VLOOKUP($A356,Seqs!$A:$B,2,FALSE),VLOOKUP($A356,'SegEnds_NonXtal_Prot#'!A:AL,10,FALSE)+9,1)</f>
        <v>F</v>
      </c>
      <c r="AA356" s="49" t="str">
        <f>MID(VLOOKUP($A356,Seqs!$A:$B,2,FALSE),VLOOKUP($A356,'SegEnds_NonXtal_Prot#'!A:AL,10,FALSE)+10,1)</f>
        <v>F</v>
      </c>
      <c r="AB356" s="28" t="str">
        <f>MID(VLOOKUP($A356,Seqs!$A:$B,2,FALSE),VLOOKUP($A356,'SegEnds_NonXtal_Prot#'!$A:$AL,22,FALSE)+6,1)</f>
        <v>I</v>
      </c>
      <c r="AC356" s="49" t="str">
        <f>MID(VLOOKUP($A356,Seqs!$A:$B,2,FALSE),VLOOKUP($A356,'SegEnds_NonXtal_Prot#'!$A:$AL,22,FALSE)+7,1)</f>
        <v>C</v>
      </c>
      <c r="AD356" s="49" t="str">
        <f>MID(VLOOKUP($A356,Seqs!$A:$B,2,FALSE),VLOOKUP($A356,'SegEnds_NonXtal_Prot#'!$A:$AL,22,FALSE)+8,1)</f>
        <v>T</v>
      </c>
      <c r="AE356" s="49" t="str">
        <f>MID(VLOOKUP($A356,Seqs!$A:$B,2,FALSE),VLOOKUP($A356,'SegEnds_NonXtal_Prot#'!$A:$AL,22,FALSE)+9,1)</f>
        <v>L</v>
      </c>
      <c r="AF356" s="49" t="str">
        <f>MID(VLOOKUP($A356,Seqs!$A:$B,2,FALSE),VLOOKUP($A356,'SegEnds_NonXtal_Prot#'!$A:$AL,22,FALSE)+10,1)</f>
        <v>W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40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Xtal</v>
      </c>
      <c r="H357" s="4"/>
      <c r="U357" s="2" t="s">
        <v>1324</v>
      </c>
      <c r="V357" s="28" t="str">
        <f>MID(VLOOKUP($A357,Seqs!$A:$B,2,FALSE),VLOOKUP($A357,'SegEnds_NonXtal_Prot#'!A:AL,10,FALSE),1)</f>
        <v>I</v>
      </c>
      <c r="W357" s="49" t="str">
        <f>MID(VLOOKUP($A357,Seqs!$A:$B,2,FALSE),VLOOKUP($A357,'SegEnds_NonXtal_Prot#'!A:AL,10,FALSE)+6,1)</f>
        <v>C</v>
      </c>
      <c r="X357" s="49" t="str">
        <f>MID(VLOOKUP($A357,Seqs!$A:$B,2,FALSE),VLOOKUP($A357,'SegEnds_NonXtal_Prot#'!A:AL,10,FALSE)+7,1)</f>
        <v>P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T</v>
      </c>
      <c r="AA357" s="49" t="str">
        <f>MID(VLOOKUP($A357,Seqs!$A:$B,2,FALSE),VLOOKUP($A357,'SegEnds_NonXtal_Prot#'!A:AL,10,FALSE)+10,1)</f>
        <v>L</v>
      </c>
      <c r="AB357" s="28" t="str">
        <f>MID(VLOOKUP($A357,Seqs!$A:$B,2,FALSE),VLOOKUP($A357,'SegEnds_NonXtal_Prot#'!$A:$AL,22,FALSE)+6,1)</f>
        <v>L</v>
      </c>
      <c r="AC357" s="49" t="str">
        <f>MID(VLOOKUP($A357,Seqs!$A:$B,2,FALSE),VLOOKUP($A357,'SegEnds_NonXtal_Prot#'!$A:$AL,22,FALSE)+7,1)</f>
        <v>V</v>
      </c>
      <c r="AD357" s="49" t="str">
        <f>MID(VLOOKUP($A357,Seqs!$A:$B,2,FALSE),VLOOKUP($A357,'SegEnds_NonXtal_Prot#'!$A:$AL,22,FALSE)+8,1)</f>
        <v>V</v>
      </c>
      <c r="AE357" s="49" t="str">
        <f>MID(VLOOKUP($A357,Seqs!$A:$B,2,FALSE),VLOOKUP($A357,'SegEnds_NonXtal_Prot#'!$A:$AL,22,FALSE)+9,1)</f>
        <v>T</v>
      </c>
      <c r="AF357" s="49" t="str">
        <f>MID(VLOOKUP($A357,Seqs!$A:$B,2,FALSE),VLOOKUP($A357,'SegEnds_NonXtal_Prot#'!$A:$AL,22,FALSE)+10,1)</f>
        <v>L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121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1324</v>
      </c>
      <c r="V358" s="28" t="str">
        <f>MID(VLOOKUP($A358,Seqs!$A:$B,2,FALSE),VLOOKUP($A358,'SegEnds_NonXtal_Prot#'!A:AL,10,FALSE),1)</f>
        <v>V</v>
      </c>
      <c r="W358" s="49" t="str">
        <f>MID(VLOOKUP($A358,Seqs!$A:$B,2,FALSE),VLOOKUP($A358,'SegEnds_NonXtal_Prot#'!A:AL,10,FALSE)+6,1)</f>
        <v>L</v>
      </c>
      <c r="X358" s="49" t="str">
        <f>MID(VLOOKUP($A358,Seqs!$A:$B,2,FALSE),VLOOKUP($A358,'SegEnds_NonXtal_Prot#'!A:AL,10,FALSE)+7,1)</f>
        <v>T</v>
      </c>
      <c r="Y358" s="49" t="str">
        <f>MID(VLOOKUP($A358,Seqs!$A:$B,2,FALSE),VLOOKUP($A358,'SegEnds_NonXtal_Prot#'!A:AL,10,FALSE)+8,1)</f>
        <v>F</v>
      </c>
      <c r="Z358" s="49" t="str">
        <f>MID(VLOOKUP($A358,Seqs!$A:$B,2,FALSE),VLOOKUP($A358,'SegEnds_NonXtal_Prot#'!A:AL,10,FALSE)+9,1)</f>
        <v>A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A</v>
      </c>
      <c r="AD358" s="49" t="str">
        <f>MID(VLOOKUP($A358,Seqs!$A:$B,2,FALSE),VLOOKUP($A358,'SegEnds_NonXtal_Prot#'!$A:$AL,22,FALSE)+8,1)</f>
        <v>I</v>
      </c>
      <c r="AE358" s="49" t="str">
        <f>MID(VLOOKUP($A358,Seqs!$A:$B,2,FALSE),VLOOKUP($A358,'SegEnds_NonXtal_Prot#'!$A:$AL,22,FALSE)+9,1)</f>
        <v>E</v>
      </c>
      <c r="AF358" s="49" t="str">
        <f>MID(VLOOKUP($A358,Seqs!$A:$B,2,FALSE),VLOOKUP($A358,'SegEnds_NonXtal_Prot#'!$A:$AL,22,FALSE)+10,1)</f>
        <v>Y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122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1324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S</v>
      </c>
      <c r="X359" s="49" t="str">
        <f>MID(VLOOKUP($A359,Seqs!$A:$B,2,FALSE),VLOOKUP($A359,'SegEnds_NonXtal_Prot#'!A:AL,10,FALSE)+7,1)</f>
        <v>L</v>
      </c>
      <c r="Y359" s="49" t="str">
        <f>MID(VLOOKUP($A359,Seqs!$A:$B,2,FALSE),VLOOKUP($A359,'SegEnds_NonXtal_Prot#'!A:AL,10,FALSE)+8,1)</f>
        <v>Y</v>
      </c>
      <c r="Z359" s="49" t="str">
        <f>MID(VLOOKUP($A359,Seqs!$A:$B,2,FALSE),VLOOKUP($A359,'SegEnds_NonXtal_Prot#'!A:AL,10,FALSE)+9,1)</f>
        <v>G</v>
      </c>
      <c r="AA359" s="49" t="str">
        <f>MID(VLOOKUP($A359,Seqs!$A:$B,2,FALSE),VLOOKUP($A359,'SegEnds_NonXtal_Prot#'!A:AL,10,FALSE)+10,1)</f>
        <v>F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C</v>
      </c>
      <c r="AD359" s="49" t="str">
        <f>MID(VLOOKUP($A359,Seqs!$A:$B,2,FALSE),VLOOKUP($A359,'SegEnds_NonXtal_Prot#'!$A:$AL,22,FALSE)+8,1)</f>
        <v>L</v>
      </c>
      <c r="AE359" s="49" t="str">
        <f>MID(VLOOKUP($A359,Seqs!$A:$B,2,FALSE),VLOOKUP($A359,'SegEnds_NonXtal_Prot#'!$A:$AL,22,FALSE)+9,1)</f>
        <v>T</v>
      </c>
      <c r="AF359" s="49" t="str">
        <f>MID(VLOOKUP($A359,Seqs!$A:$B,2,FALSE),VLOOKUP($A359,'SegEnds_NonXtal_Prot#'!$A:$AL,22,FALSE)+10,1)</f>
        <v>W</v>
      </c>
      <c r="AG359" s="28" t="str">
        <f>MID(VLOOKUP($A359,Seqs!$A:$B,2,FALSE),VLOOKUP($A359,'SegEnds_NonXtal_Prot#'!$A:$AL,28,FALSE)-4,1)</f>
        <v>Y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123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1324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V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P</v>
      </c>
      <c r="Z360" s="49" t="str">
        <f>MID(VLOOKUP($A360,Seqs!$A:$B,2,FALSE),VLOOKUP($A360,'SegEnds_NonXtal_Prot#'!A:AL,10,FALSE)+9,1)</f>
        <v>V</v>
      </c>
      <c r="AA360" s="49" t="str">
        <f>MID(VLOOKUP($A360,Seqs!$A:$B,2,FALSE),VLOOKUP($A360,'SegEnds_NonXtal_Prot#'!A:AL,10,FALSE)+10,1)</f>
        <v>Y</v>
      </c>
      <c r="AB360" s="28" t="str">
        <f>MID(VLOOKUP($A360,Seqs!$A:$B,2,FALSE),VLOOKUP($A360,'SegEnds_NonXtal_Prot#'!$A:$AL,22,FALSE)+6,1)</f>
        <v>I</v>
      </c>
      <c r="AC360" s="49" t="str">
        <f>MID(VLOOKUP($A360,Seqs!$A:$B,2,FALSE),VLOOKUP($A360,'SegEnds_NonXtal_Prot#'!$A:$AL,22,FALSE)+7,1)</f>
        <v>V</v>
      </c>
      <c r="AD360" s="49" t="str">
        <f>MID(VLOOKUP($A360,Seqs!$A:$B,2,FALSE),VLOOKUP($A360,'SegEnds_NonXtal_Prot#'!$A:$AL,22,FALSE)+8,1)</f>
        <v>V</v>
      </c>
      <c r="AE360" s="49" t="str">
        <f>MID(VLOOKUP($A360,Seqs!$A:$B,2,FALSE),VLOOKUP($A360,'SegEnds_NonXtal_Prot#'!$A:$AL,22,FALSE)+9,1)</f>
        <v>I</v>
      </c>
      <c r="AF360" s="49" t="str">
        <f>MID(VLOOKUP($A360,Seqs!$A:$B,2,FALSE),VLOOKUP($A360,'SegEnds_NonXtal_Prot#'!$A:$AL,22,FALSE)+10,1)</f>
        <v>G</v>
      </c>
      <c r="AG360" s="28" t="str">
        <f>MID(VLOOKUP($A360,Seqs!$A:$B,2,FALSE),VLOOKUP($A360,'SegEnds_NonXtal_Prot#'!$A:$AL,28,FALSE)-4,1)</f>
        <v>L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124</v>
      </c>
      <c r="B361" s="2" t="str">
        <f>LOWER(VLOOKUP(A361,Xtal_Templ!A:B,2,FALSE))</f>
        <v>grm1_human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1324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V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L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L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T</v>
      </c>
      <c r="AE361" s="49" t="str">
        <f>MID(VLOOKUP($A361,Seqs!$A:$B,2,FALSE),VLOOKUP($A361,'SegEnds_NonXtal_Prot#'!$A:$AL,22,FALSE)+9,1)</f>
        <v>W</v>
      </c>
      <c r="AF361" s="49" t="str">
        <f>MID(VLOOKUP($A361,Seqs!$A:$B,2,FALSE),VLOOKUP($A361,'SegEnds_NonXtal_Prot#'!$A:$AL,22,FALSE)+10,1)</f>
        <v>Y</v>
      </c>
      <c r="AG361" s="28" t="str">
        <f>MID(VLOOKUP($A361,Seqs!$A:$B,2,FALSE),VLOOKUP($A361,'SegEnds_NonXtal_Prot#'!$A:$AL,28,FALSE)-4,1)</f>
        <v>T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105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1324</v>
      </c>
      <c r="V362" s="28" t="str">
        <f>MID(VLOOKUP($A362,Seqs!$A:$B,2,FALSE),VLOOKUP($A362,'SegEnds_NonXtal_Prot#'!A:AL,10,FALSE),1)</f>
        <v>L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S</v>
      </c>
      <c r="Y362" s="49" t="str">
        <f>MID(VLOOKUP($A362,Seqs!$A:$B,2,FALSE),VLOOKUP($A362,'SegEnds_NonXtal_Prot#'!A:AL,10,FALSE)+8,1)</f>
        <v>L</v>
      </c>
      <c r="Z362" s="49" t="str">
        <f>MID(VLOOKUP($A362,Seqs!$A:$B,2,FALSE),VLOOKUP($A362,'SegEnds_NonXtal_Prot#'!A:AL,10,FALSE)+9,1)</f>
        <v>F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C</v>
      </c>
      <c r="AD362" s="49" t="str">
        <f>MID(VLOOKUP($A362,Seqs!$A:$B,2,FALSE),VLOOKUP($A362,'SegEnds_NonXtal_Prot#'!$A:$AL,22,FALSE)+8,1)</f>
        <v>V</v>
      </c>
      <c r="AE362" s="49" t="str">
        <f>MID(VLOOKUP($A362,Seqs!$A:$B,2,FALSE),VLOOKUP($A362,'SegEnds_NonXtal_Prot#'!$A:$AL,22,FALSE)+9,1)</f>
        <v>I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107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1324</v>
      </c>
      <c r="V363" s="28" t="str">
        <f>MID(VLOOKUP($A363,Seqs!$A:$B,2,FALSE),VLOOKUP($A363,'SegEnds_NonXtal_Prot#'!A:AL,10,FALSE),1)</f>
        <v>G</v>
      </c>
      <c r="W363" s="49" t="str">
        <f>MID(VLOOKUP($A363,Seqs!$A:$B,2,FALSE),VLOOKUP($A363,'SegEnds_NonXtal_Prot#'!A:AL,10,FALSE)+6,1)</f>
        <v>S</v>
      </c>
      <c r="X363" s="49" t="str">
        <f>MID(VLOOKUP($A363,Seqs!$A:$B,2,FALSE),VLOOKUP($A363,'SegEnds_NonXtal_Prot#'!A:AL,10,FALSE)+7,1)</f>
        <v>I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L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L</v>
      </c>
      <c r="AD363" s="49" t="str">
        <f>MID(VLOOKUP($A363,Seqs!$A:$B,2,FALSE),VLOOKUP($A363,'SegEnds_NonXtal_Prot#'!$A:$AL,22,FALSE)+8,1)</f>
        <v>I</v>
      </c>
      <c r="AE363" s="49" t="str">
        <f>MID(VLOOKUP($A363,Seqs!$A:$B,2,FALSE),VLOOKUP($A363,'SegEnds_NonXtal_Prot#'!$A:$AL,22,FALSE)+9,1)</f>
        <v>C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115</v>
      </c>
      <c r="B364" s="2" t="str">
        <f>LOWER(VLOOKUP(A364,Xtal_Templ!A:B,2,FALSE))</f>
        <v>grm1_human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1324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I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I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V</v>
      </c>
      <c r="AE364" s="49" t="str">
        <f>MID(VLOOKUP($A364,Seqs!$A:$B,2,FALSE),VLOOKUP($A364,'SegEnds_NonXtal_Prot#'!$A:$AL,22,FALSE)+9,1)</f>
        <v>A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116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1324</v>
      </c>
      <c r="V365" s="28" t="str">
        <f>MID(VLOOKUP($A365,Seqs!$A:$B,2,FALSE),VLOOKUP($A365,'SegEnds_NonXtal_Prot#'!A:AL,10,FALSE),1)</f>
        <v>V</v>
      </c>
      <c r="W365" s="49" t="str">
        <f>MID(VLOOKUP($A365,Seqs!$A:$B,2,FALSE),VLOOKUP($A365,'SegEnds_NonXtal_Prot#'!A:AL,10,FALSE)+6,1)</f>
        <v>M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F</v>
      </c>
      <c r="AA365" s="49" t="str">
        <f>MID(VLOOKUP($A365,Seqs!$A:$B,2,FALSE),VLOOKUP($A365,'SegEnds_NonXtal_Prot#'!A:AL,10,FALSE)+10,1)</f>
        <v>F</v>
      </c>
      <c r="AB365" s="28" t="str">
        <f>MID(VLOOKUP($A365,Seqs!$A:$B,2,FALSE),VLOOKUP($A365,'SegEnds_NonXtal_Prot#'!$A:$AL,22,FALSE)+6,1)</f>
        <v>M</v>
      </c>
      <c r="AC365" s="49" t="str">
        <f>MID(VLOOKUP($A365,Seqs!$A:$B,2,FALSE),VLOOKUP($A365,'SegEnds_NonXtal_Prot#'!$A:$AL,22,FALSE)+7,1)</f>
        <v>V</v>
      </c>
      <c r="AD365" s="49" t="str">
        <f>MID(VLOOKUP($A365,Seqs!$A:$B,2,FALSE),VLOOKUP($A365,'SegEnds_NonXtal_Prot#'!$A:$AL,22,FALSE)+8,1)</f>
        <v>S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117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H366" s="4"/>
      <c r="U366" s="2" t="s">
        <v>1324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T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L</v>
      </c>
      <c r="AA366" s="49" t="str">
        <f>MID(VLOOKUP($A366,Seqs!$A:$B,2,FALSE),VLOOKUP($A366,'SegEnds_NonXtal_Prot#'!A:AL,10,FALSE)+10,1)</f>
        <v>M</v>
      </c>
      <c r="AB366" s="28" t="str">
        <f>MID(VLOOKUP($A366,Seqs!$A:$B,2,FALSE),VLOOKUP($A366,'SegEnds_NonXtal_Prot#'!$A:$AL,22,FALSE)+6,1)</f>
        <v>G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C</v>
      </c>
      <c r="AE366" s="49" t="str">
        <f>MID(VLOOKUP($A366,Seqs!$A:$B,2,FALSE),VLOOKUP($A366,'SegEnds_NonXtal_Prot#'!$A:$AL,22,FALSE)+9,1)</f>
        <v>V</v>
      </c>
      <c r="AF366" s="49" t="str">
        <f>MID(VLOOKUP($A366,Seqs!$A:$B,2,FALSE),VLOOKUP($A366,'SegEnds_NonXtal_Prot#'!$A:$AL,22,FALSE)+10,1)</f>
        <v>W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41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Xtal</v>
      </c>
      <c r="H367" s="4"/>
      <c r="U367" s="2" t="s">
        <v>1324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C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C</v>
      </c>
      <c r="AA367" s="49" t="str">
        <f>MID(VLOOKUP($A367,Seqs!$A:$B,2,FALSE),VLOOKUP($A367,'SegEnds_NonXtal_Prot#'!A:AL,10,FALSE)+10,1)</f>
        <v>L</v>
      </c>
      <c r="AB367" s="28" t="str">
        <f>MID(VLOOKUP($A367,Seqs!$A:$B,2,FALSE),VLOOKUP($A367,'SegEnds_NonXtal_Prot#'!$A:$AL,22,FALSE)+6,1)</f>
        <v>I</v>
      </c>
      <c r="AC367" s="49" t="str">
        <f>MID(VLOOKUP($A367,Seqs!$A:$B,2,FALSE),VLOOKUP($A367,'SegEnds_NonXtal_Prot#'!$A:$AL,22,FALSE)+7,1)</f>
        <v>I</v>
      </c>
      <c r="AD367" s="49" t="str">
        <f>MID(VLOOKUP($A367,Seqs!$A:$B,2,FALSE),VLOOKUP($A367,'SegEnds_NonXtal_Prot#'!$A:$AL,22,FALSE)+8,1)</f>
        <v>V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L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x14ac:dyDescent="0.2">
      <c r="A368" s="2" t="s">
        <v>118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1324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M</v>
      </c>
      <c r="AD368" s="49" t="str">
        <f>MID(VLOOKUP($A368,Seqs!$A:$B,2,FALSE),VLOOKUP($A368,'SegEnds_NonXtal_Prot#'!$A:$AL,22,FALSE)+8,1)</f>
        <v>I</v>
      </c>
      <c r="AE368" s="49" t="str">
        <f>MID(VLOOKUP($A368,Seqs!$A:$B,2,FALSE),VLOOKUP($A368,'SegEnds_NonXtal_Prot#'!$A:$AL,22,FALSE)+9,1)</f>
        <v>A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ht="17" customHeight="1" x14ac:dyDescent="0.2">
      <c r="A369" s="2" t="s">
        <v>119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1324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I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120</v>
      </c>
      <c r="B370" s="2" t="str">
        <f>LOWER(VLOOKUP(A370,Xtal_Templ!A:B,2,FALSE))</f>
        <v>grm5_human</v>
      </c>
      <c r="C370" s="2" t="str">
        <f>VLOOKUP(A370,Classification!A:D,2,FALSE)</f>
        <v>C</v>
      </c>
      <c r="D370" s="2" t="str">
        <f>IF(ISERROR(MATCH(A370,'SegEnds_Xtal_Prot#'!B:B, 0)), "NoXtal", "Xtal")</f>
        <v>NoXtal</v>
      </c>
      <c r="H370" s="4"/>
      <c r="U370" s="2" t="s">
        <v>1324</v>
      </c>
      <c r="V370" s="28" t="str">
        <f>MID(VLOOKUP($A370,Seqs!$A:$B,2,FALSE),VLOOKUP($A370,'SegEnds_NonXtal_Prot#'!A:AL,10,FALSE),1)</f>
        <v>I</v>
      </c>
      <c r="W370" s="49" t="str">
        <f>MID(VLOOKUP($A370,Seqs!$A:$B,2,FALSE),VLOOKUP($A370,'SegEnds_NonXtal_Prot#'!A:AL,10,FALSE)+6,1)</f>
        <v>I</v>
      </c>
      <c r="X370" s="49" t="str">
        <f>MID(VLOOKUP($A370,Seqs!$A:$B,2,FALSE),VLOOKUP($A370,'SegEnds_NonXtal_Prot#'!A:AL,10,FALSE)+7,1)</f>
        <v>T</v>
      </c>
      <c r="Y370" s="49" t="str">
        <f>MID(VLOOKUP($A370,Seqs!$A:$B,2,FALSE),VLOOKUP($A370,'SegEnds_NonXtal_Prot#'!A:AL,10,FALSE)+8,1)</f>
        <v>F</v>
      </c>
      <c r="Z370" s="49" t="str">
        <f>MID(VLOOKUP($A370,Seqs!$A:$B,2,FALSE),VLOOKUP($A370,'SegEnds_NonXtal_Prot#'!A:AL,10,FALSE)+9,1)</f>
        <v>L</v>
      </c>
      <c r="AA370" s="49" t="str">
        <f>MID(VLOOKUP($A370,Seqs!$A:$B,2,FALSE),VLOOKUP($A370,'SegEnds_NonXtal_Prot#'!A:AL,10,FALSE)+10,1)</f>
        <v>M</v>
      </c>
      <c r="AB370" s="28" t="str">
        <f>MID(VLOOKUP($A370,Seqs!$A:$B,2,FALSE),VLOOKUP($A370,'SegEnds_NonXtal_Prot#'!$A:$AL,22,FALSE)+6,1)</f>
        <v>G</v>
      </c>
      <c r="AC370" s="49" t="str">
        <f>MID(VLOOKUP($A370,Seqs!$A:$B,2,FALSE),VLOOKUP($A370,'SegEnds_NonXtal_Prot#'!$A:$AL,22,FALSE)+7,1)</f>
        <v>V</v>
      </c>
      <c r="AD370" s="49" t="str">
        <f>MID(VLOOKUP($A370,Seqs!$A:$B,2,FALSE),VLOOKUP($A370,'SegEnds_NonXtal_Prot#'!$A:$AL,22,FALSE)+8,1)</f>
        <v>F</v>
      </c>
      <c r="AE370" s="49" t="str">
        <f>MID(VLOOKUP($A370,Seqs!$A:$B,2,FALSE),VLOOKUP($A370,'SegEnds_NonXtal_Prot#'!$A:$AL,22,FALSE)+9,1)</f>
        <v>V</v>
      </c>
      <c r="AF370" s="49" t="str">
        <f>MID(VLOOKUP($A370,Seqs!$A:$B,2,FALSE),VLOOKUP($A370,'SegEnds_NonXtal_Prot#'!$A:$AL,22,FALSE)+10,1)</f>
        <v>W</v>
      </c>
      <c r="AG370" s="28" t="str">
        <f>MID(VLOOKUP($A370,Seqs!$A:$B,2,FALSE),VLOOKUP($A370,'SegEnds_NonXtal_Prot#'!$A:$AL,28,FALSE)-4,1)</f>
        <v>Y</v>
      </c>
      <c r="AH370" s="49" t="str">
        <f>MID(VLOOKUP($A370,Seqs!$A:$B,2,FALSE),VLOOKUP($A370,'SegEnds_NonXtal_Prot#'!$A:$AL,28,FALSE),1)</f>
        <v>L</v>
      </c>
    </row>
    <row r="371" spans="1:34" s="2" customFormat="1" x14ac:dyDescent="0.2">
      <c r="A371" s="2" t="s">
        <v>446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1323</v>
      </c>
      <c r="V371" s="28" t="str">
        <f>MID(VLOOKUP($A371,Seqs!$A:$B,2,FALSE),VLOOKUP($A371,'SegEnds_NonXtal_Prot#'!A:AL,10,FALSE),1)</f>
        <v>G</v>
      </c>
      <c r="W371" s="49" t="str">
        <f>MID(VLOOKUP($A371,Seqs!$A:$B,2,FALSE),VLOOKUP($A371,'SegEnds_NonXtal_Prot#'!A:AL,10,FALSE)+6,1)</f>
        <v>A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A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I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T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447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1323</v>
      </c>
      <c r="V372" s="28" t="str">
        <f>MID(VLOOKUP($A372,Seqs!$A:$B,2,FALSE),VLOOKUP($A372,'SegEnds_NonXtal_Prot#'!A:AL,10,FALSE),1)</f>
        <v>M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G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L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L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448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1323</v>
      </c>
      <c r="V373" s="28" t="str">
        <f>MID(VLOOKUP($A373,Seqs!$A:$B,2,FALSE),VLOOKUP($A373,'SegEnds_NonXtal_Prot#'!A:AL,10,FALSE),1)</f>
        <v>G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V</v>
      </c>
      <c r="Y373" s="49" t="str">
        <f>MID(VLOOKUP($A373,Seqs!$A:$B,2,FALSE),VLOOKUP($A373,'SegEnds_NonXtal_Prot#'!A:AL,10,FALSE)+8,1)</f>
        <v>A</v>
      </c>
      <c r="Z373" s="49" t="str">
        <f>MID(VLOOKUP($A373,Seqs!$A:$B,2,FALSE),VLOOKUP($A373,'SegEnds_NonXtal_Prot#'!A:AL,10,FALSE)+9,1)</f>
        <v>Y</v>
      </c>
      <c r="AA373" s="49" t="str">
        <f>MID(VLOOKUP($A373,Seqs!$A:$B,2,FALSE),VLOOKUP($A373,'SegEnds_NonXtal_Prot#'!A:AL,10,FALSE)+10,1)</f>
        <v>I</v>
      </c>
      <c r="AB373" s="28" t="str">
        <f>MID(VLOOKUP($A373,Seqs!$A:$B,2,FALSE),VLOOKUP($A373,'SegEnds_NonXtal_Prot#'!$A:$AL,22,FALSE)+6,1)</f>
        <v>K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T</v>
      </c>
      <c r="AF373" s="49" t="str">
        <f>MID(VLOOKUP($A373,Seqs!$A:$B,2,FALSE),VLOOKUP($A373,'SegEnds_NonXtal_Prot#'!$A:$AL,22,FALSE)+10,1)</f>
        <v>I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449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1323</v>
      </c>
      <c r="V374" s="28" t="str">
        <f>MID(VLOOKUP($A374,Seqs!$A:$B,2,FALSE),VLOOKUP($A374,'SegEnds_NonXtal_Prot#'!A:AL,10,FALSE),1)</f>
        <v>V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L</v>
      </c>
      <c r="Y374" s="49" t="str">
        <f>MID(VLOOKUP($A374,Seqs!$A:$B,2,FALSE),VLOOKUP($A374,'SegEnds_NonXtal_Prot#'!A:AL,10,FALSE)+8,1)</f>
        <v>I</v>
      </c>
      <c r="Z374" s="49" t="str">
        <f>MID(VLOOKUP($A374,Seqs!$A:$B,2,FALSE),VLOOKUP($A374,'SegEnds_NonXtal_Prot#'!A:AL,10,FALSE)+9,1)</f>
        <v>F</v>
      </c>
      <c r="AA374" s="49" t="str">
        <f>MID(VLOOKUP($A374,Seqs!$A:$B,2,FALSE),VLOOKUP($A374,'SegEnds_NonXtal_Prot#'!A:AL,10,FALSE)+10,1)</f>
        <v>F</v>
      </c>
      <c r="AB374" s="28" t="str">
        <f>MID(VLOOKUP($A374,Seqs!$A:$B,2,FALSE),VLOOKUP($A374,'SegEnds_NonXtal_Prot#'!$A:$AL,22,FALSE)+6,1)</f>
        <v>L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I</v>
      </c>
      <c r="AF374" s="49" t="str">
        <f>MID(VLOOKUP($A374,Seqs!$A:$B,2,FALSE),VLOOKUP($A374,'SegEnds_NonXtal_Prot#'!$A:$AL,22,FALSE)+10,1)</f>
        <v>L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450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Xtal</v>
      </c>
      <c r="H375" s="4"/>
      <c r="P375" s="2" t="s">
        <v>1323</v>
      </c>
      <c r="V375" s="28" t="str">
        <f>MID(VLOOKUP($A375,Seqs!$A:$B,2,FALSE),VLOOKUP($A375,'SegEnds_NonXtal_Prot#'!A:AL,10,FALSE),1)</f>
        <v>M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I</v>
      </c>
      <c r="Y375" s="49" t="str">
        <f>MID(VLOOKUP($A375,Seqs!$A:$B,2,FALSE),VLOOKUP($A375,'SegEnds_NonXtal_Prot#'!A:AL,10,FALSE)+8,1)</f>
        <v>A</v>
      </c>
      <c r="Z375" s="49" t="str">
        <f>MID(VLOOKUP($A375,Seqs!$A:$B,2,FALSE),VLOOKUP($A375,'SegEnds_NonXtal_Prot#'!A:AL,10,FALSE)+9,1)</f>
        <v>Y</v>
      </c>
      <c r="AA375" s="49" t="str">
        <f>MID(VLOOKUP($A375,Seqs!$A:$B,2,FALSE),VLOOKUP($A375,'SegEnds_NonXtal_Prot#'!A:AL,10,FALSE)+10,1)</f>
        <v>I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T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V</v>
      </c>
      <c r="AF375" s="49" t="str">
        <f>MID(VLOOKUP($A375,Seqs!$A:$B,2,FALSE),VLOOKUP($A375,'SegEnds_NonXtal_Prot#'!$A:$AL,22,FALSE)+10,1)</f>
        <v>I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451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1323</v>
      </c>
      <c r="V376" s="28" t="str">
        <f>MID(VLOOKUP($A376,Seqs!$A:$B,2,FALSE),VLOOKUP($A376,'SegEnds_NonXtal_Prot#'!A:AL,10,FALSE),1)</f>
        <v>A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G</v>
      </c>
      <c r="Z376" s="49" t="str">
        <f>MID(VLOOKUP($A376,Seqs!$A:$B,2,FALSE),VLOOKUP($A376,'SegEnds_NonXtal_Prot#'!A:AL,10,FALSE)+9,1)</f>
        <v>F</v>
      </c>
      <c r="AA376" s="49" t="str">
        <f>MID(VLOOKUP($A376,Seqs!$A:$B,2,FALSE),VLOOKUP($A376,'SegEnds_NonXtal_Prot#'!A:AL,10,FALSE)+10,1)</f>
        <v>L</v>
      </c>
      <c r="AB376" s="28" t="str">
        <f>MID(VLOOKUP($A376,Seqs!$A:$B,2,FALSE),VLOOKUP($A376,'SegEnds_NonXtal_Prot#'!$A:$AL,22,FALSE)+6,1)</f>
        <v>K</v>
      </c>
      <c r="AC376" s="49" t="str">
        <f>MID(VLOOKUP($A376,Seqs!$A:$B,2,FALSE),VLOOKUP($A376,'SegEnds_NonXtal_Prot#'!$A:$AL,22,FALSE)+7,1)</f>
        <v>S</v>
      </c>
      <c r="AD376" s="49" t="str">
        <f>MID(VLOOKUP($A376,Seqs!$A:$B,2,FALSE),VLOOKUP($A376,'SegEnds_NonXtal_Prot#'!$A:$AL,22,FALSE)+8,1)</f>
        <v>I</v>
      </c>
      <c r="AE376" s="49" t="str">
        <f>MID(VLOOKUP($A376,Seqs!$A:$B,2,FALSE),VLOOKUP($A376,'SegEnds_NonXtal_Prot#'!$A:$AL,22,FALSE)+9,1)</f>
        <v>T</v>
      </c>
      <c r="AF376" s="49" t="str">
        <f>MID(VLOOKUP($A376,Seqs!$A:$B,2,FALSE),VLOOKUP($A376,'SegEnds_NonXtal_Prot#'!$A:$AL,22,FALSE)+10,1)</f>
        <v>A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Y</v>
      </c>
    </row>
    <row r="377" spans="1:34" s="2" customFormat="1" x14ac:dyDescent="0.2">
      <c r="A377" s="2" t="s">
        <v>452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1323</v>
      </c>
      <c r="V377" s="28" t="str">
        <f>MID(VLOOKUP($A377,Seqs!$A:$B,2,FALSE),VLOOKUP($A377,'SegEnds_NonXtal_Prot#'!A:AL,10,FALSE),1)</f>
        <v>V</v>
      </c>
      <c r="W377" s="49" t="str">
        <f>MID(VLOOKUP($A377,Seqs!$A:$B,2,FALSE),VLOOKUP($A377,'SegEnds_NonXtal_Prot#'!A:AL,10,FALSE)+6,1)</f>
        <v>S</v>
      </c>
      <c r="X377" s="49" t="str">
        <f>MID(VLOOKUP($A377,Seqs!$A:$B,2,FALSE),VLOOKUP($A377,'SegEnds_NonXtal_Prot#'!A:AL,10,FALSE)+7,1)</f>
        <v>L</v>
      </c>
      <c r="Y377" s="49" t="str">
        <f>MID(VLOOKUP($A377,Seqs!$A:$B,2,FALSE),VLOOKUP($A377,'SegEnds_NonXtal_Prot#'!A:AL,10,FALSE)+8,1)</f>
        <v>M</v>
      </c>
      <c r="Z377" s="49" t="str">
        <f>MID(VLOOKUP($A377,Seqs!$A:$B,2,FALSE),VLOOKUP($A377,'SegEnds_NonXtal_Prot#'!A:AL,10,FALSE)+9,1)</f>
        <v>Y</v>
      </c>
      <c r="AA377" s="49" t="str">
        <f>MID(VLOOKUP($A377,Seqs!$A:$B,2,FALSE),VLOOKUP($A377,'SegEnds_NonXtal_Prot#'!A:AL,10,FALSE)+10,1)</f>
        <v>F</v>
      </c>
      <c r="AB377" s="28" t="str">
        <f>MID(VLOOKUP($A377,Seqs!$A:$B,2,FALSE),VLOOKUP($A377,'SegEnds_NonXtal_Prot#'!$A:$AL,22,FALSE)+6,1)</f>
        <v>L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V</v>
      </c>
      <c r="AE377" s="49" t="str">
        <f>MID(VLOOKUP($A377,Seqs!$A:$B,2,FALSE),VLOOKUP($A377,'SegEnds_NonXtal_Prot#'!$A:$AL,22,FALSE)+9,1)</f>
        <v>M</v>
      </c>
      <c r="AF377" s="49" t="str">
        <f>MID(VLOOKUP($A377,Seqs!$A:$B,2,FALSE),VLOOKUP($A377,'SegEnds_NonXtal_Prot#'!$A:$AL,22,FALSE)+10,1)</f>
        <v>L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C</v>
      </c>
    </row>
    <row r="378" spans="1:34" s="2" customFormat="1" x14ac:dyDescent="0.2">
      <c r="A378" s="2" t="s">
        <v>453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1323</v>
      </c>
      <c r="V378" s="28" t="str">
        <f>MID(VLOOKUP($A378,Seqs!$A:$B,2,FALSE),VLOOKUP($A378,'SegEnds_NonXtal_Prot#'!A:AL,10,FALSE),1)</f>
        <v>G</v>
      </c>
      <c r="W378" s="49" t="str">
        <f>MID(VLOOKUP($A378,Seqs!$A:$B,2,FALSE),VLOOKUP($A378,'SegEnds_NonXtal_Prot#'!A:AL,10,FALSE)+6,1)</f>
        <v>A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A</v>
      </c>
      <c r="Z378" s="49" t="str">
        <f>MID(VLOOKUP($A378,Seqs!$A:$B,2,FALSE),VLOOKUP($A378,'SegEnds_NonXtal_Prot#'!A:AL,10,FALSE)+9,1)</f>
        <v>H</v>
      </c>
      <c r="AA378" s="49" t="str">
        <f>MID(VLOOKUP($A378,Seqs!$A:$B,2,FALSE),VLOOKUP($A378,'SegEnds_NonXtal_Prot#'!A:AL,10,FALSE)+10,1)</f>
        <v>V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T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T</v>
      </c>
      <c r="AF378" s="49" t="str">
        <f>MID(VLOOKUP($A378,Seqs!$A:$B,2,FALSE),VLOOKUP($A378,'SegEnds_NonXtal_Prot#'!$A:$AL,22,FALSE)+10,1)</f>
        <v>I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454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1323</v>
      </c>
      <c r="V379" s="28" t="str">
        <f>MID(VLOOKUP($A379,Seqs!$A:$B,2,FALSE),VLOOKUP($A379,'SegEnds_NonXtal_Prot#'!A:AL,10,FALSE),1)</f>
        <v>A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V</v>
      </c>
      <c r="Y379" s="49" t="str">
        <f>MID(VLOOKUP($A379,Seqs!$A:$B,2,FALSE),VLOOKUP($A379,'SegEnds_NonXtal_Prot#'!A:AL,10,FALSE)+8,1)</f>
        <v>G</v>
      </c>
      <c r="Z379" s="49" t="str">
        <f>MID(VLOOKUP($A379,Seqs!$A:$B,2,FALSE),VLOOKUP($A379,'SegEnds_NonXtal_Prot#'!A:AL,10,FALSE)+9,1)</f>
        <v>Y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S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A</v>
      </c>
      <c r="AF379" s="49" t="str">
        <f>MID(VLOOKUP($A379,Seqs!$A:$B,2,FALSE),VLOOKUP($A379,'SegEnds_NonXtal_Prot#'!$A:$AL,22,FALSE)+10,1)</f>
        <v>V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455</v>
      </c>
      <c r="B380" s="2" t="str">
        <f>LOWER(VLOOKUP(A380,Xtal_Templ!A:B,2,FALSE))</f>
        <v>fzd4_human</v>
      </c>
      <c r="C380" s="2" t="str">
        <f>VLOOKUP(A380,Classification!A:D,2,FALSE)</f>
        <v>F</v>
      </c>
      <c r="D380" s="2" t="str">
        <f>IF(ISERROR(MATCH(A380,'SegEnds_Xtal_Prot#'!B:B, 0)), "NoXtal", "Xtal")</f>
        <v>NoXtal</v>
      </c>
      <c r="H380" s="4"/>
      <c r="P380" s="2" t="s">
        <v>1323</v>
      </c>
      <c r="V380" s="28" t="str">
        <f>MID(VLOOKUP($A380,Seqs!$A:$B,2,FALSE),VLOOKUP($A380,'SegEnds_NonXtal_Prot#'!A:AL,10,FALSE),1)</f>
        <v>M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L</v>
      </c>
      <c r="Y380" s="49" t="str">
        <f>MID(VLOOKUP($A380,Seqs!$A:$B,2,FALSE),VLOOKUP($A380,'SegEnds_NonXtal_Prot#'!A:AL,10,FALSE)+8,1)</f>
        <v>A</v>
      </c>
      <c r="Z380" s="49" t="str">
        <f>MID(VLOOKUP($A380,Seqs!$A:$B,2,FALSE),VLOOKUP($A380,'SegEnds_NonXtal_Prot#'!A:AL,10,FALSE)+9,1)</f>
        <v>F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K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I</v>
      </c>
      <c r="AE380" s="49" t="str">
        <f>MID(VLOOKUP($A380,Seqs!$A:$B,2,FALSE),VLOOKUP($A380,'SegEnds_NonXtal_Prot#'!$A:$AL,22,FALSE)+9,1)</f>
        <v>V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Y</v>
      </c>
    </row>
    <row r="381" spans="1:34" s="2" customFormat="1" x14ac:dyDescent="0.2">
      <c r="A381" s="2" t="s">
        <v>33</v>
      </c>
      <c r="B381" s="2" t="str">
        <f>LOWER(VLOOKUP(A381,Xtal_Templ!A:B,2,FALSE))</f>
        <v>smo_human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1323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1594</v>
      </c>
      <c r="B382" s="2" t="str">
        <f>LOWER(VLOOKUP(A382,Xtal_Templ!A:B,2,FALSE))</f>
        <v>smo_mouse</v>
      </c>
      <c r="C382" s="2" t="str">
        <f>VLOOKUP(A382,Classification!A:D,2,FALSE)</f>
        <v>F</v>
      </c>
      <c r="D382" s="2" t="str">
        <f>IF(ISERROR(MATCH(A382,'SegEnds_Xtal_Prot#'!B:B, 0)), "NoXtal", "Xtal")</f>
        <v>Xtal</v>
      </c>
      <c r="H382" s="4"/>
      <c r="P382" s="2" t="s">
        <v>1323</v>
      </c>
      <c r="V382" s="28" t="str">
        <f>MID(VLOOKUP($A382,Seqs!$A:$B,2,FALSE),VLOOKUP($A382,'SegEnds_NonXtal_Prot#'!A:AL,10,FALSE),1)</f>
        <v>A</v>
      </c>
      <c r="W382" s="49" t="str">
        <f>MID(VLOOKUP($A382,Seqs!$A:$B,2,FALSE),VLOOKUP($A382,'SegEnds_NonXtal_Prot#'!A:AL,10,FALSE)+6,1)</f>
        <v>S</v>
      </c>
      <c r="X382" s="49" t="str">
        <f>MID(VLOOKUP($A382,Seqs!$A:$B,2,FALSE),VLOOKUP($A382,'SegEnds_NonXtal_Prot#'!A:AL,10,FALSE)+7,1)</f>
        <v>I</v>
      </c>
      <c r="Y382" s="49" t="str">
        <f>MID(VLOOKUP($A382,Seqs!$A:$B,2,FALSE),VLOOKUP($A382,'SegEnds_NonXtal_Prot#'!A:AL,10,FALSE)+8,1)</f>
        <v>G</v>
      </c>
      <c r="Z382" s="49" t="str">
        <f>MID(VLOOKUP($A382,Seqs!$A:$B,2,FALSE),VLOOKUP($A382,'SegEnds_NonXtal_Prot#'!A:AL,10,FALSE)+9,1)</f>
        <v>W</v>
      </c>
      <c r="AA382" s="49" t="str">
        <f>MID(VLOOKUP($A382,Seqs!$A:$B,2,FALSE),VLOOKUP($A382,'SegEnds_NonXtal_Prot#'!A:AL,10,FALSE)+10,1)</f>
        <v>L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T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A</v>
      </c>
      <c r="AF382" s="49" t="str">
        <f>MID(VLOOKUP($A382,Seqs!$A:$B,2,FALSE),VLOOKUP($A382,'SegEnds_NonXtal_Prot#'!$A:$AL,22,FALSE)+10,1)</f>
        <v>I</v>
      </c>
      <c r="AG382" s="28" t="str">
        <f>MID(VLOOKUP($A382,Seqs!$A:$B,2,FALSE),VLOOKUP($A382,'SegEnds_NonXtal_Prot#'!$A:$AL,28,FALSE)-4,1)</f>
        <v>P</v>
      </c>
      <c r="AH382" s="49" t="str">
        <f>MID(VLOOKUP($A382,Seqs!$A:$B,2,FALSE),VLOOKUP($A382,'SegEnds_NonXtal_Prot#'!$A:$AL,28,FALSE),1)</f>
        <v>V</v>
      </c>
    </row>
    <row r="383" spans="1:34" s="2" customFormat="1" x14ac:dyDescent="0.2">
      <c r="A383" s="2" t="s">
        <v>1495</v>
      </c>
      <c r="B383" s="2" t="str">
        <f>LOWER(VLOOKUP(A383,Xtal_Templ!A:B,2,FALSE))</f>
        <v>q98sw5_xenla</v>
      </c>
      <c r="C383" s="2" t="str">
        <f>VLOOKUP(A383,Classification!A:D,2,FALSE)</f>
        <v>F</v>
      </c>
      <c r="D383" s="2" t="str">
        <f>IF(ISERROR(MATCH(A383,'SegEnds_Xtal_Prot#'!B:B, 0)), "NoXtal", "Xtal")</f>
        <v>Xtal</v>
      </c>
      <c r="H383" s="4"/>
      <c r="P383" s="2" t="s">
        <v>1323</v>
      </c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S</v>
      </c>
      <c r="X383" s="49" t="str">
        <f>MID(VLOOKUP($A383,Seqs!$A:$B,2,FALSE),VLOOKUP($A383,'SegEnds_NonXtal_Prot#'!A:AL,10,FALSE)+7,1)</f>
        <v>I</v>
      </c>
      <c r="Y383" s="49" t="str">
        <f>MID(VLOOKUP($A383,Seqs!$A:$B,2,FALSE),VLOOKUP($A383,'SegEnds_NonXtal_Prot#'!A:AL,10,FALSE)+8,1)</f>
        <v>G</v>
      </c>
      <c r="Z383" s="49" t="str">
        <f>MID(VLOOKUP($A383,Seqs!$A:$B,2,FALSE),VLOOKUP($A383,'SegEnds_NonXtal_Prot#'!A:AL,10,FALSE)+9,1)</f>
        <v>W</v>
      </c>
      <c r="AA383" s="49" t="str">
        <f>MID(VLOOKUP($A383,Seqs!$A:$B,2,FALSE),VLOOKUP($A383,'SegEnds_NonXtal_Prot#'!A:AL,10,FALSE)+10,1)</f>
        <v>L</v>
      </c>
      <c r="AB383" s="28" t="str">
        <f>MID(VLOOKUP($A383,Seqs!$A:$B,2,FALSE),VLOOKUP($A383,'SegEnds_NonXtal_Prot#'!$A:$AL,22,FALSE)+6,1)</f>
        <v>L</v>
      </c>
      <c r="AC383" s="49" t="str">
        <f>MID(VLOOKUP($A383,Seqs!$A:$B,2,FALSE),VLOOKUP($A383,'SegEnds_NonXtal_Prot#'!$A:$AL,22,FALSE)+7,1)</f>
        <v>T</v>
      </c>
      <c r="AD383" s="49" t="str">
        <f>MID(VLOOKUP($A383,Seqs!$A:$B,2,FALSE),VLOOKUP($A383,'SegEnds_NonXtal_Prot#'!$A:$AL,22,FALSE)+8,1)</f>
        <v>V</v>
      </c>
      <c r="AE383" s="49" t="str">
        <f>MID(VLOOKUP($A383,Seqs!$A:$B,2,FALSE),VLOOKUP($A383,'SegEnds_NonXtal_Prot#'!$A:$AL,22,FALSE)+9,1)</f>
        <v>A</v>
      </c>
      <c r="AF383" s="49" t="str">
        <f>MID(VLOOKUP($A383,Seqs!$A:$B,2,FALSE),VLOOKUP($A383,'SegEnds_NonXtal_Prot#'!$A:$AL,22,FALSE)+10,1)</f>
        <v>I</v>
      </c>
      <c r="AG383" s="28" t="str">
        <f>MID(VLOOKUP($A383,Seqs!$A:$B,2,FALSE),VLOOKUP($A383,'SegEnds_NonXtal_Prot#'!$A:$AL,28,FALSE)-4,1)</f>
        <v>P</v>
      </c>
      <c r="AH383" s="49" t="str">
        <f>MID(VLOOKUP($A383,Seqs!$A:$B,2,FALSE),VLOOKUP($A383,'SegEnds_NonXtal_Prot#'!$A:$AL,28,FALSE),1)</f>
        <v>V</v>
      </c>
    </row>
    <row r="384" spans="1:34" s="2" customFormat="1" x14ac:dyDescent="0.2">
      <c r="A384" s="2" t="s">
        <v>485</v>
      </c>
      <c r="B384" s="2" t="str">
        <f>LOWER(VLOOKUP(A384,Xtal_Templ!A:B,2,FALSE))</f>
        <v>aa2ar_human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D</v>
      </c>
      <c r="W384" s="49" t="str">
        <f>MID(VLOOKUP($A384,Seqs!$A:$B,2,FALSE),VLOOKUP($A384,'SegEnds_NonXtal_Prot#'!A:AL,10,FALSE)+6,1)</f>
        <v>G</v>
      </c>
      <c r="X384" s="49" t="str">
        <f>MID(VLOOKUP($A384,Seqs!$A:$B,2,FALSE),VLOOKUP($A384,'SegEnds_NonXtal_Prot#'!A:AL,10,FALSE)+7,1)</f>
        <v>M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I</v>
      </c>
      <c r="AA384" s="49" t="str">
        <f>MID(VLOOKUP($A384,Seqs!$A:$B,2,FALSE),VLOOKUP($A384,'SegEnds_NonXtal_Prot#'!A:AL,10,FALSE)+10,1)</f>
        <v>R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C</v>
      </c>
      <c r="AD384" s="49" t="str">
        <f>MID(VLOOKUP($A384,Seqs!$A:$B,2,FALSE),VLOOKUP($A384,'SegEnds_NonXtal_Prot#'!$A:$AL,22,FALSE)+8,1)</f>
        <v>V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G</v>
      </c>
      <c r="AG384" s="28" t="str">
        <f>MID(VLOOKUP($A384,Seqs!$A:$B,2,FALSE),VLOOKUP($A384,'SegEnds_NonXtal_Prot#'!$A:$AL,28,FALSE)-4,1)</f>
        <v>T</v>
      </c>
      <c r="AH384" s="49" t="str">
        <f>MID(VLOOKUP($A384,Seqs!$A:$B,2,FALSE),VLOOKUP($A384,'SegEnds_NonXtal_Prot#'!$A:$AL,28,FALSE),1)</f>
        <v>P</v>
      </c>
    </row>
    <row r="385" spans="1:34" s="2" customFormat="1" x14ac:dyDescent="0.2">
      <c r="A385" s="2" t="s">
        <v>481</v>
      </c>
      <c r="B385" s="2" t="str">
        <f>LOWER(VLOOKUP(A385,Xtal_Templ!A:B,2,FALSE))</f>
        <v>agtr1_human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A</v>
      </c>
      <c r="W385" s="49" t="str">
        <f>MID(VLOOKUP($A385,Seqs!$A:$B,2,FALSE),VLOOKUP($A385,'SegEnds_NonXtal_Prot#'!A:AL,10,FALSE)+6,1)</f>
        <v>F</v>
      </c>
      <c r="X385" s="49" t="str">
        <f>MID(VLOOKUP($A385,Seqs!$A:$B,2,FALSE),VLOOKUP($A385,'SegEnds_NonXtal_Prot#'!A:AL,10,FALSE)+7,1)</f>
        <v>S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F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A</v>
      </c>
      <c r="AD385" s="49" t="str">
        <f>MID(VLOOKUP($A385,Seqs!$A:$B,2,FALSE),VLOOKUP($A385,'SegEnds_NonXtal_Prot#'!$A:$AL,22,FALSE)+8,1)</f>
        <v>C</v>
      </c>
      <c r="AE385" s="49" t="str">
        <f>MID(VLOOKUP($A385,Seqs!$A:$B,2,FALSE),VLOOKUP($A385,'SegEnds_NonXtal_Prot#'!$A:$AL,22,FALSE)+9,1)</f>
        <v>L</v>
      </c>
      <c r="AF385" s="49" t="str">
        <f>MID(VLOOKUP($A385,Seqs!$A:$B,2,FALSE),VLOOKUP($A385,'SegEnds_NonXtal_Prot#'!$A:$AL,22,FALSE)+10,1)</f>
        <v>C</v>
      </c>
      <c r="AG385" s="28" t="str">
        <f>MID(VLOOKUP($A385,Seqs!$A:$B,2,FALSE),VLOOKUP($A385,'SegEnds_NonXtal_Prot#'!$A:$AL,28,FALSE)-4,1)</f>
        <v>L</v>
      </c>
      <c r="AH385" s="49" t="str">
        <f>MID(VLOOKUP($A385,Seqs!$A:$B,2,FALSE),VLOOKUP($A385,'SegEnds_NonXtal_Prot#'!$A:$AL,28,FALSE),1)</f>
        <v>L</v>
      </c>
    </row>
    <row r="386" spans="1:34" s="2" customFormat="1" x14ac:dyDescent="0.2">
      <c r="A386" s="2" t="s">
        <v>484</v>
      </c>
      <c r="B386" s="2" t="str">
        <f>LOWER(VLOOKUP(A386,Xtal_Templ!A:B,2,FALSE))</f>
        <v>pe2r4_human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A</v>
      </c>
      <c r="W386" s="49" t="str">
        <f>MID(VLOOKUP($A386,Seqs!$A:$B,2,FALSE),VLOOKUP($A386,'SegEnds_NonXtal_Prot#'!A:AL,10,FALSE)+6,1)</f>
        <v>M</v>
      </c>
      <c r="X386" s="49" t="str">
        <f>MID(VLOOKUP($A386,Seqs!$A:$B,2,FALSE),VLOOKUP($A386,'SegEnds_NonXtal_Prot#'!A:AL,10,FALSE)+7,1)</f>
        <v>T</v>
      </c>
      <c r="Y386" s="49" t="str">
        <f>MID(VLOOKUP($A386,Seqs!$A:$B,2,FALSE),VLOOKUP($A386,'SegEnds_NonXtal_Prot#'!A:AL,10,FALSE)+8,1)</f>
        <v>V</v>
      </c>
      <c r="Z386" s="49" t="str">
        <f>MID(VLOOKUP($A386,Seqs!$A:$B,2,FALSE),VLOOKUP($A386,'SegEnds_NonXtal_Prot#'!A:AL,10,FALSE)+9,1)</f>
        <v>S</v>
      </c>
      <c r="AA386" s="49" t="str">
        <f>MID(VLOOKUP($A386,Seqs!$A:$B,2,FALSE),VLOOKUP($A386,'SegEnds_NonXtal_Prot#'!A:AL,10,FALSE)+10,1)</f>
        <v>T</v>
      </c>
      <c r="AB386" s="28" t="str">
        <f>MID(VLOOKUP($A386,Seqs!$A:$B,2,FALSE),VLOOKUP($A386,'SegEnds_NonXtal_Prot#'!$A:$AL,22,FALSE)+6,1)</f>
        <v>L</v>
      </c>
      <c r="AC386" s="49" t="str">
        <f>MID(VLOOKUP($A386,Seqs!$A:$B,2,FALSE),VLOOKUP($A386,'SegEnds_NonXtal_Prot#'!$A:$AL,22,FALSE)+7,1)</f>
        <v>S</v>
      </c>
      <c r="AD386" s="49" t="str">
        <f>MID(VLOOKUP($A386,Seqs!$A:$B,2,FALSE),VLOOKUP($A386,'SegEnds_NonXtal_Prot#'!$A:$AL,22,FALSE)+8,1)</f>
        <v>A</v>
      </c>
      <c r="AE386" s="49" t="str">
        <f>MID(VLOOKUP($A386,Seqs!$A:$B,2,FALSE),VLOOKUP($A386,'SegEnds_NonXtal_Prot#'!$A:$AL,22,FALSE)+9,1)</f>
        <v>E</v>
      </c>
      <c r="AF386" s="49" t="str">
        <f>MID(VLOOKUP($A386,Seqs!$A:$B,2,FALSE),VLOOKUP($A386,'SegEnds_NonXtal_Prot#'!$A:$AL,22,FALSE)+10,1)</f>
        <v>D</v>
      </c>
      <c r="AG386" s="28" t="str">
        <f>MID(VLOOKUP($A386,Seqs!$A:$B,2,FALSE),VLOOKUP($A386,'SegEnds_NonXtal_Prot#'!$A:$AL,28,FALSE)-4,1)</f>
        <v>F</v>
      </c>
      <c r="AH386" s="49" t="str">
        <f>MID(VLOOKUP($A386,Seqs!$A:$B,2,FALSE),VLOOKUP($A386,'SegEnds_NonXtal_Prot#'!$A:$AL,28,FALSE),1)</f>
        <v>S</v>
      </c>
    </row>
    <row r="387" spans="1:34" s="2" customFormat="1" x14ac:dyDescent="0.2">
      <c r="A387" s="2" t="s">
        <v>486</v>
      </c>
      <c r="B387" s="2" t="str">
        <f>LOWER(VLOOKUP(A387,Xtal_Templ!A:B,2,FALSE))</f>
        <v>5ht2c_human</v>
      </c>
      <c r="C387" s="2" t="str">
        <f>VLOOKUP(A387,Classification!A:D,2,FALSE)</f>
        <v>O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D</v>
      </c>
      <c r="W387" s="49" t="str">
        <f>MID(VLOOKUP($A387,Seqs!$A:$B,2,FALSE),VLOOKUP($A387,'SegEnds_NonXtal_Prot#'!A:AL,10,FALSE)+6,1)</f>
        <v>S</v>
      </c>
      <c r="X387" s="49" t="str">
        <f>MID(VLOOKUP($A387,Seqs!$A:$B,2,FALSE),VLOOKUP($A387,'SegEnds_NonXtal_Prot#'!A:AL,10,FALSE)+7,1)</f>
        <v>Y</v>
      </c>
      <c r="Y387" s="49" t="str">
        <f>MID(VLOOKUP($A387,Seqs!$A:$B,2,FALSE),VLOOKUP($A387,'SegEnds_NonXtal_Prot#'!A:AL,10,FALSE)+8,1)</f>
        <v>F</v>
      </c>
      <c r="Z387" s="49" t="str">
        <f>MID(VLOOKUP($A387,Seqs!$A:$B,2,FALSE),VLOOKUP($A387,'SegEnds_NonXtal_Prot#'!A:AL,10,FALSE)+9,1)</f>
        <v>Y</v>
      </c>
      <c r="AA387" s="49" t="str">
        <f>MID(VLOOKUP($A387,Seqs!$A:$B,2,FALSE),VLOOKUP($A387,'SegEnds_NonXtal_Prot#'!A:AL,10,FALSE)+10,1)</f>
        <v>G</v>
      </c>
      <c r="AB387" s="28" t="str">
        <f>MID(VLOOKUP($A387,Seqs!$A:$B,2,FALSE),VLOOKUP($A387,'SegEnds_NonXtal_Prot#'!$A:$AL,22,FALSE)+6,1)</f>
        <v>A</v>
      </c>
      <c r="AC387" s="49" t="str">
        <f>MID(VLOOKUP($A387,Seqs!$A:$B,2,FALSE),VLOOKUP($A387,'SegEnds_NonXtal_Prot#'!$A:$AL,22,FALSE)+7,1)</f>
        <v>L</v>
      </c>
      <c r="AD387" s="49" t="str">
        <f>MID(VLOOKUP($A387,Seqs!$A:$B,2,FALSE),VLOOKUP($A387,'SegEnds_NonXtal_Prot#'!$A:$AL,22,FALSE)+8,1)</f>
        <v>K</v>
      </c>
      <c r="AE387" s="49" t="str">
        <f>MID(VLOOKUP($A387,Seqs!$A:$B,2,FALSE),VLOOKUP($A387,'SegEnds_NonXtal_Prot#'!$A:$AL,22,FALSE)+9,1)</f>
        <v>K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D</v>
      </c>
      <c r="AH387" s="49" t="str">
        <f>MID(VLOOKUP($A387,Seqs!$A:$B,2,FALSE),VLOOKUP($A387,'SegEnds_NonXtal_Prot#'!$A:$AL,28,FALSE),1)</f>
        <v>K</v>
      </c>
    </row>
    <row r="388" spans="1:34" s="2" customFormat="1" x14ac:dyDescent="0.2">
      <c r="A388" s="2" t="s">
        <v>482</v>
      </c>
      <c r="B388" s="2" t="str">
        <f>LOWER(VLOOKUP(A388,Xtal_Templ!A:B,2,FALSE))</f>
        <v>ccr9_human</v>
      </c>
      <c r="C388" s="2" t="str">
        <f>VLOOKUP(A388,Classification!A:D,2,FALSE)</f>
        <v>O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W</v>
      </c>
      <c r="W388" s="49" t="str">
        <f>MID(VLOOKUP($A388,Seqs!$A:$B,2,FALSE),VLOOKUP($A388,'SegEnds_NonXtal_Prot#'!A:AL,10,FALSE)+6,1)</f>
        <v>K</v>
      </c>
      <c r="X388" s="49" t="str">
        <f>MID(VLOOKUP($A388,Seqs!$A:$B,2,FALSE),VLOOKUP($A388,'SegEnds_NonXtal_Prot#'!A:AL,10,FALSE)+7,1)</f>
        <v>R</v>
      </c>
      <c r="Y388" s="49" t="str">
        <f>MID(VLOOKUP($A388,Seqs!$A:$B,2,FALSE),VLOOKUP($A388,'SegEnds_NonXtal_Prot#'!A:AL,10,FALSE)+8,1)</f>
        <v>R</v>
      </c>
      <c r="Z388" s="49" t="str">
        <f>MID(VLOOKUP($A388,Seqs!$A:$B,2,FALSE),VLOOKUP($A388,'SegEnds_NonXtal_Prot#'!A:AL,10,FALSE)+9,1)</f>
        <v>N</v>
      </c>
      <c r="AA388" s="49" t="str">
        <f>MID(VLOOKUP($A388,Seqs!$A:$B,2,FALSE),VLOOKUP($A388,'SegEnds_NonXtal_Prot#'!A:AL,10,FALSE)+10,1)</f>
        <v>D</v>
      </c>
      <c r="AB388" s="28" t="str">
        <f>MID(VLOOKUP($A388,Seqs!$A:$B,2,FALSE),VLOOKUP($A388,'SegEnds_NonXtal_Prot#'!$A:$AL,22,FALSE)+6,1)</f>
        <v>Y</v>
      </c>
      <c r="AC388" s="49" t="str">
        <f>MID(VLOOKUP($A388,Seqs!$A:$B,2,FALSE),VLOOKUP($A388,'SegEnds_NonXtal_Prot#'!$A:$AL,22,FALSE)+7,1)</f>
        <v>G</v>
      </c>
      <c r="AD388" s="49" t="str">
        <f>MID(VLOOKUP($A388,Seqs!$A:$B,2,FALSE),VLOOKUP($A388,'SegEnds_NonXtal_Prot#'!$A:$AL,22,FALSE)+8,1)</f>
        <v>L</v>
      </c>
      <c r="AE388" s="49" t="str">
        <f>MID(VLOOKUP($A388,Seqs!$A:$B,2,FALSE),VLOOKUP($A388,'SegEnds_NonXtal_Prot#'!$A:$AL,22,FALSE)+9,1)</f>
        <v>W</v>
      </c>
      <c r="AF388" s="49" t="str">
        <f>MID(VLOOKUP($A388,Seqs!$A:$B,2,FALSE),VLOOKUP($A388,'SegEnds_NonXtal_Prot#'!$A:$AL,22,FALSE)+10,1)</f>
        <v>K</v>
      </c>
      <c r="AG388" s="28" t="str">
        <f>MID(VLOOKUP($A388,Seqs!$A:$B,2,FALSE),VLOOKUP($A388,'SegEnds_NonXtal_Prot#'!$A:$AL,28,FALSE)-4,1)</f>
        <v>A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472</v>
      </c>
      <c r="B389" s="2" t="str">
        <f>LOWER(VLOOKUP(A389,Xtal_Templ!A:B,2,FALSE))</f>
        <v>oprk_human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V</v>
      </c>
      <c r="X389" s="49" t="str">
        <f>MID(VLOOKUP($A389,Seqs!$A:$B,2,FALSE),VLOOKUP($A389,'SegEnds_NonXtal_Prot#'!A:AL,10,FALSE)+7,1)</f>
        <v>V</v>
      </c>
      <c r="Y389" s="49" t="str">
        <f>MID(VLOOKUP($A389,Seqs!$A:$B,2,FALSE),VLOOKUP($A389,'SegEnds_NonXtal_Prot#'!A:AL,10,FALSE)+8,1)</f>
        <v>M</v>
      </c>
      <c r="Z389" s="49" t="str">
        <f>MID(VLOOKUP($A389,Seqs!$A:$B,2,FALSE),VLOOKUP($A389,'SegEnds_NonXtal_Prot#'!A:AL,10,FALSE)+9,1)</f>
        <v>G</v>
      </c>
      <c r="AA389" s="49" t="str">
        <f>MID(VLOOKUP($A389,Seqs!$A:$B,2,FALSE),VLOOKUP($A389,'SegEnds_NonXtal_Prot#'!A:AL,10,FALSE)+10,1)</f>
        <v>K</v>
      </c>
      <c r="AB389" s="28" t="str">
        <f>MID(VLOOKUP($A389,Seqs!$A:$B,2,FALSE),VLOOKUP($A389,'SegEnds_NonXtal_Prot#'!$A:$AL,22,FALSE)+6,1)</f>
        <v>S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I</v>
      </c>
      <c r="AG389" s="28" t="str">
        <f>MID(VLOOKUP($A389,Seqs!$A:$B,2,FALSE),VLOOKUP($A389,'SegEnds_NonXtal_Prot#'!$A:$AL,28,FALSE)-4,1)</f>
        <v>T</v>
      </c>
      <c r="AH389" s="49" t="str">
        <f>MID(VLOOKUP($A389,Seqs!$A:$B,2,FALSE),VLOOKUP($A389,'SegEnds_NonXtal_Prot#'!$A:$AL,28,FALSE),1)</f>
        <v>P</v>
      </c>
    </row>
    <row r="390" spans="1:34" s="2" customFormat="1" x14ac:dyDescent="0.2">
      <c r="A390" s="2" t="s">
        <v>457</v>
      </c>
      <c r="B390" s="2" t="str">
        <f>LOWER(VLOOKUP(A390,Xtal_Templ!A:B,2,FALSE))</f>
        <v>5ht2a_human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E</v>
      </c>
      <c r="X390" s="49" t="str">
        <f>MID(VLOOKUP($A390,Seqs!$A:$B,2,FALSE),VLOOKUP($A390,'SegEnds_NonXtal_Prot#'!A:AL,10,FALSE)+7,1)</f>
        <v>I</v>
      </c>
      <c r="Y390" s="49" t="str">
        <f>MID(VLOOKUP($A390,Seqs!$A:$B,2,FALSE),VLOOKUP($A390,'SegEnds_NonXtal_Prot#'!A:AL,10,FALSE)+8,1)</f>
        <v>L</v>
      </c>
      <c r="Z390" s="49" t="str">
        <f>MID(VLOOKUP($A390,Seqs!$A:$B,2,FALSE),VLOOKUP($A390,'SegEnds_NonXtal_Prot#'!A:AL,10,FALSE)+9,1)</f>
        <v>V</v>
      </c>
      <c r="AA390" s="49" t="str">
        <f>MID(VLOOKUP($A390,Seqs!$A:$B,2,FALSE),VLOOKUP($A390,'SegEnds_NonXtal_Prot#'!A:AL,10,FALSE)+10,1)</f>
        <v>S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L</v>
      </c>
      <c r="AD390" s="49" t="str">
        <f>MID(VLOOKUP($A390,Seqs!$A:$B,2,FALSE),VLOOKUP($A390,'SegEnds_NonXtal_Prot#'!$A:$AL,22,FALSE)+8,1)</f>
        <v>N</v>
      </c>
      <c r="AE390" s="49" t="str">
        <f>MID(VLOOKUP($A390,Seqs!$A:$B,2,FALSE),VLOOKUP($A390,'SegEnds_NonXtal_Prot#'!$A:$AL,22,FALSE)+9,1)</f>
        <v>L</v>
      </c>
      <c r="AF390" s="49" t="str">
        <f>MID(VLOOKUP($A390,Seqs!$A:$B,2,FALSE),VLOOKUP($A390,'SegEnds_NonXtal_Prot#'!$A:$AL,22,FALSE)+10,1)</f>
        <v>I</v>
      </c>
      <c r="AG390" s="28" t="str">
        <f>MID(VLOOKUP($A390,Seqs!$A:$B,2,FALSE),VLOOKUP($A390,'SegEnds_NonXtal_Prot#'!$A:$AL,28,FALSE)-4,1)</f>
        <v>F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476</v>
      </c>
      <c r="B391" s="2" t="str">
        <f>LOWER(VLOOKUP(A391,Xtal_Templ!A:B,2,FALSE))</f>
        <v>5ht1b_human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L</v>
      </c>
      <c r="X391" s="49" t="str">
        <f>MID(VLOOKUP($A391,Seqs!$A:$B,2,FALSE),VLOOKUP($A391,'SegEnds_NonXtal_Prot#'!A:AL,10,FALSE)+7,1)</f>
        <v>F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V</v>
      </c>
      <c r="AA391" s="49" t="str">
        <f>MID(VLOOKUP($A391,Seqs!$A:$B,2,FALSE),VLOOKUP($A391,'SegEnds_NonXtal_Prot#'!A:AL,10,FALSE)+10,1)</f>
        <v>N</v>
      </c>
      <c r="AB391" s="28" t="str">
        <f>MID(VLOOKUP($A391,Seqs!$A:$B,2,FALSE),VLOOKUP($A391,'SegEnds_NonXtal_Prot#'!$A:$AL,22,FALSE)+6,1)</f>
        <v>A</v>
      </c>
      <c r="AC391" s="49" t="str">
        <f>MID(VLOOKUP($A391,Seqs!$A:$B,2,FALSE),VLOOKUP($A391,'SegEnds_NonXtal_Prot#'!$A:$AL,22,FALSE)+7,1)</f>
        <v>F</v>
      </c>
      <c r="AD391" s="49" t="str">
        <f>MID(VLOOKUP($A391,Seqs!$A:$B,2,FALSE),VLOOKUP($A391,'SegEnds_NonXtal_Prot#'!$A:$AL,22,FALSE)+8,1)</f>
        <v>T</v>
      </c>
      <c r="AE391" s="49" t="str">
        <f>MID(VLOOKUP($A391,Seqs!$A:$B,2,FALSE),VLOOKUP($A391,'SegEnds_NonXtal_Prot#'!$A:$AL,22,FALSE)+9,1)</f>
        <v>T</v>
      </c>
      <c r="AF391" s="49" t="str">
        <f>MID(VLOOKUP($A391,Seqs!$A:$B,2,FALSE),VLOOKUP($A391,'SegEnds_NonXtal_Prot#'!$A:$AL,22,FALSE)+10,1)</f>
        <v>C</v>
      </c>
      <c r="AG391" s="28" t="str">
        <f>MID(VLOOKUP($A391,Seqs!$A:$B,2,FALSE),VLOOKUP($A391,'SegEnds_NonXtal_Prot#'!$A:$AL,28,FALSE)-4,1)</f>
        <v>S</v>
      </c>
      <c r="AH391" s="49" t="str">
        <f>MID(VLOOKUP($A391,Seqs!$A:$B,2,FALSE),VLOOKUP($A391,'SegEnds_NonXtal_Prot#'!$A:$AL,28,FALSE),1)</f>
        <v>Q</v>
      </c>
    </row>
    <row r="392" spans="1:34" s="2" customFormat="1" x14ac:dyDescent="0.2">
      <c r="A392" s="2" t="s">
        <v>465</v>
      </c>
      <c r="B392" s="2" t="str">
        <f>LOWER(VLOOKUP(A392,Xtal_Templ!A:B,2,FALSE))</f>
        <v>agtr1_human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L</v>
      </c>
      <c r="X392" s="49" t="str">
        <f>MID(VLOOKUP($A392,Seqs!$A:$B,2,FALSE),VLOOKUP($A392,'SegEnds_NonXtal_Prot#'!A:AL,10,FALSE)+7,1)</f>
        <v>M</v>
      </c>
      <c r="Y392" s="49" t="str">
        <f>MID(VLOOKUP($A392,Seqs!$A:$B,2,FALSE),VLOOKUP($A392,'SegEnds_NonXtal_Prot#'!A:AL,10,FALSE)+8,1)</f>
        <v>M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E</v>
      </c>
      <c r="AB392" s="28" t="str">
        <f>MID(VLOOKUP($A392,Seqs!$A:$B,2,FALSE),VLOOKUP($A392,'SegEnds_NonXtal_Prot#'!$A:$AL,22,FALSE)+6,1)</f>
        <v>F</v>
      </c>
      <c r="AC392" s="49" t="str">
        <f>MID(VLOOKUP($A392,Seqs!$A:$B,2,FALSE),VLOOKUP($A392,'SegEnds_NonXtal_Prot#'!$A:$AL,22,FALSE)+7,1)</f>
        <v>S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S</v>
      </c>
      <c r="AF392" s="49" t="str">
        <f>MID(VLOOKUP($A392,Seqs!$A:$B,2,FALSE),VLOOKUP($A392,'SegEnds_NonXtal_Prot#'!$A:$AL,22,FALSE)+10,1)</f>
        <v>M</v>
      </c>
      <c r="AG392" s="28" t="str">
        <f>MID(VLOOKUP($A392,Seqs!$A:$B,2,FALSE),VLOOKUP($A392,'SegEnds_NonXtal_Prot#'!$A:$AL,28,FALSE)-4,1)</f>
        <v>G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460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M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F</v>
      </c>
      <c r="AA393" s="49" t="str">
        <f>MID(VLOOKUP($A393,Seqs!$A:$B,2,FALSE),VLOOKUP($A393,'SegEnds_NonXtal_Prot#'!A:AL,10,FALSE)+10,1)</f>
        <v>L</v>
      </c>
      <c r="AB393" s="28" t="str">
        <f>MID(VLOOKUP($A393,Seqs!$A:$B,2,FALSE),VLOOKUP($A393,'SegEnds_NonXtal_Prot#'!$A:$AL,22,FALSE)+6,1)</f>
        <v>I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N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A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461</v>
      </c>
      <c r="B394" s="2" t="str">
        <f>LOWER(VLOOKUP(A394,Xtal_Templ!A:B,2,FALSE))</f>
        <v>5ht2c_human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I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H</v>
      </c>
      <c r="AB394" s="28" t="str">
        <f>MID(VLOOKUP($A394,Seqs!$A:$B,2,FALSE),VLOOKUP($A394,'SegEnds_NonXtal_Prot#'!$A:$AL,22,FALSE)+6,1)</f>
        <v>V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H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V</v>
      </c>
      <c r="AG394" s="28" t="str">
        <f>MID(VLOOKUP($A394,Seqs!$A:$B,2,FALSE),VLOOKUP($A394,'SegEnds_NonXtal_Prot#'!$A:$AL,28,FALSE)-4,1)</f>
        <v>A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462</v>
      </c>
      <c r="B395" s="2" t="str">
        <f>LOWER(VLOOKUP(A395,Xtal_Templ!A:B,2,FALSE))</f>
        <v>5ht2c_human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V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L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H</v>
      </c>
      <c r="AB395" s="28" t="str">
        <f>MID(VLOOKUP($A395,Seqs!$A:$B,2,FALSE),VLOOKUP($A395,'SegEnds_NonXtal_Prot#'!$A:$AL,22,FALSE)+6,1)</f>
        <v>V</v>
      </c>
      <c r="AC395" s="49" t="str">
        <f>MID(VLOOKUP($A395,Seqs!$A:$B,2,FALSE),VLOOKUP($A395,'SegEnds_NonXtal_Prot#'!$A:$AL,22,FALSE)+7,1)</f>
        <v>C</v>
      </c>
      <c r="AD395" s="49" t="str">
        <f>MID(VLOOKUP($A395,Seqs!$A:$B,2,FALSE),VLOOKUP($A395,'SegEnds_NonXtal_Prot#'!$A:$AL,22,FALSE)+8,1)</f>
        <v>H</v>
      </c>
      <c r="AE395" s="49" t="str">
        <f>MID(VLOOKUP($A395,Seqs!$A:$B,2,FALSE),VLOOKUP($A395,'SegEnds_NonXtal_Prot#'!$A:$AL,22,FALSE)+9,1)</f>
        <v>L</v>
      </c>
      <c r="AF395" s="49" t="str">
        <f>MID(VLOOKUP($A395,Seqs!$A:$B,2,FALSE),VLOOKUP($A395,'SegEnds_NonXtal_Prot#'!$A:$AL,22,FALSE)+10,1)</f>
        <v>F</v>
      </c>
      <c r="AG395" s="28" t="str">
        <f>MID(VLOOKUP($A395,Seqs!$A:$B,2,FALSE),VLOOKUP($A395,'SegEnds_NonXtal_Prot#'!$A:$AL,28,FALSE)-4,1)</f>
        <v>A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463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L</v>
      </c>
      <c r="Y396" s="49" t="str">
        <f>MID(VLOOKUP($A396,Seqs!$A:$B,2,FALSE),VLOOKUP($A396,'SegEnds_NonXtal_Prot#'!A:AL,10,FALSE)+8,1)</f>
        <v>L</v>
      </c>
      <c r="Z396" s="49" t="str">
        <f>MID(VLOOKUP($A396,Seqs!$A:$B,2,FALSE),VLOOKUP($A396,'SegEnds_NonXtal_Prot#'!A:AL,10,FALSE)+9,1)</f>
        <v>L</v>
      </c>
      <c r="AA396" s="49" t="str">
        <f>MID(VLOOKUP($A396,Seqs!$A:$B,2,FALSE),VLOOKUP($A396,'SegEnds_NonXtal_Prot#'!A:AL,10,FALSE)+10,1)</f>
        <v>N</v>
      </c>
      <c r="AB396" s="28" t="str">
        <f>MID(VLOOKUP($A396,Seqs!$A:$B,2,FALSE),VLOOKUP($A396,'SegEnds_NonXtal_Prot#'!$A:$AL,22,FALSE)+6,1)</f>
        <v>A</v>
      </c>
      <c r="AC396" s="49" t="str">
        <f>MID(VLOOKUP($A396,Seqs!$A:$B,2,FALSE),VLOOKUP($A396,'SegEnds_NonXtal_Prot#'!$A:$AL,22,FALSE)+7,1)</f>
        <v>C</v>
      </c>
      <c r="AD396" s="49" t="str">
        <f>MID(VLOOKUP($A396,Seqs!$A:$B,2,FALSE),VLOOKUP($A396,'SegEnds_NonXtal_Prot#'!$A:$AL,22,FALSE)+8,1)</f>
        <v>Q</v>
      </c>
      <c r="AE396" s="49" t="str">
        <f>MID(VLOOKUP($A396,Seqs!$A:$B,2,FALSE),VLOOKUP($A396,'SegEnds_NonXtal_Prot#'!$A:$AL,22,FALSE)+9,1)</f>
        <v>L</v>
      </c>
      <c r="AF396" s="49" t="str">
        <f>MID(VLOOKUP($A396,Seqs!$A:$B,2,FALSE),VLOOKUP($A396,'SegEnds_NonXtal_Prot#'!$A:$AL,22,FALSE)+10,1)</f>
        <v>F</v>
      </c>
      <c r="AG396" s="28" t="str">
        <f>MID(VLOOKUP($A396,Seqs!$A:$B,2,FALSE),VLOOKUP($A396,'SegEnds_NonXtal_Prot#'!$A:$AL,28,FALSE)-4,1)</f>
        <v>G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464</v>
      </c>
      <c r="B397" s="2" t="str">
        <f>LOWER(VLOOKUP(A397,Xtal_Templ!A:B,2,FALSE))</f>
        <v>agtr1_human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R</v>
      </c>
      <c r="W397" s="49" t="str">
        <f>MID(VLOOKUP($A397,Seqs!$A:$B,2,FALSE),VLOOKUP($A397,'SegEnds_NonXtal_Prot#'!A:AL,10,FALSE)+6,1)</f>
        <v>L</v>
      </c>
      <c r="X397" s="49" t="str">
        <f>MID(VLOOKUP($A397,Seqs!$A:$B,2,FALSE),VLOOKUP($A397,'SegEnds_NonXtal_Prot#'!A:AL,10,FALSE)+7,1)</f>
        <v>L</v>
      </c>
      <c r="Y397" s="49" t="str">
        <f>MID(VLOOKUP($A397,Seqs!$A:$B,2,FALSE),VLOOKUP($A397,'SegEnds_NonXtal_Prot#'!A:AL,10,FALSE)+8,1)</f>
        <v>F</v>
      </c>
      <c r="Z397" s="49" t="str">
        <f>MID(VLOOKUP($A397,Seqs!$A:$B,2,FALSE),VLOOKUP($A397,'SegEnds_NonXtal_Prot#'!A:AL,10,FALSE)+9,1)</f>
        <v>L</v>
      </c>
      <c r="AA397" s="49" t="str">
        <f>MID(VLOOKUP($A397,Seqs!$A:$B,2,FALSE),VLOOKUP($A397,'SegEnds_NonXtal_Prot#'!A:AL,10,FALSE)+10,1)</f>
        <v>S</v>
      </c>
      <c r="AB397" s="28" t="str">
        <f>MID(VLOOKUP($A397,Seqs!$A:$B,2,FALSE),VLOOKUP($A397,'SegEnds_NonXtal_Prot#'!$A:$AL,22,FALSE)+6,1)</f>
        <v>C</v>
      </c>
      <c r="AC397" s="49" t="str">
        <f>MID(VLOOKUP($A397,Seqs!$A:$B,2,FALSE),VLOOKUP($A397,'SegEnds_NonXtal_Prot#'!$A:$AL,22,FALSE)+7,1)</f>
        <v>I</v>
      </c>
      <c r="AD397" s="49" t="str">
        <f>MID(VLOOKUP($A397,Seqs!$A:$B,2,FALSE),VLOOKUP($A397,'SegEnds_NonXtal_Prot#'!$A:$AL,22,FALSE)+8,1)</f>
        <v>C</v>
      </c>
      <c r="AE397" s="49" t="str">
        <f>MID(VLOOKUP($A397,Seqs!$A:$B,2,FALSE),VLOOKUP($A397,'SegEnds_NonXtal_Prot#'!$A:$AL,22,FALSE)+9,1)</f>
        <v>T</v>
      </c>
      <c r="AF397" s="49" t="str">
        <f>MID(VLOOKUP($A397,Seqs!$A:$B,2,FALSE),VLOOKUP($A397,'SegEnds_NonXtal_Prot#'!$A:$AL,22,FALSE)+10,1)</f>
        <v>V</v>
      </c>
      <c r="AG397" s="28" t="str">
        <f>MID(VLOOKUP($A397,Seqs!$A:$B,2,FALSE),VLOOKUP($A397,'SegEnds_NonXtal_Prot#'!$A:$AL,28,FALSE)-4,1)</f>
        <v>W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467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G</v>
      </c>
      <c r="Y398" s="49" t="str">
        <f>MID(VLOOKUP($A398,Seqs!$A:$B,2,FALSE),VLOOKUP($A398,'SegEnds_NonXtal_Prot#'!A:AL,10,FALSE)+8,1)</f>
        <v>T</v>
      </c>
      <c r="Z398" s="49" t="str">
        <f>MID(VLOOKUP($A398,Seqs!$A:$B,2,FALSE),VLOOKUP($A398,'SegEnds_NonXtal_Prot#'!A:AL,10,FALSE)+9,1)</f>
        <v>V</v>
      </c>
      <c r="AA398" s="49" t="str">
        <f>MID(VLOOKUP($A398,Seqs!$A:$B,2,FALSE),VLOOKUP($A398,'SegEnds_NonXtal_Prot#'!A:AL,10,FALSE)+10,1)</f>
        <v>H</v>
      </c>
      <c r="AB398" s="28" t="str">
        <f>MID(VLOOKUP($A398,Seqs!$A:$B,2,FALSE),VLOOKUP($A398,'SegEnds_NonXtal_Prot#'!$A:$AL,22,FALSE)+6,1)</f>
        <v>F</v>
      </c>
      <c r="AC398" s="49" t="str">
        <f>MID(VLOOKUP($A398,Seqs!$A:$B,2,FALSE),VLOOKUP($A398,'SegEnds_NonXtal_Prot#'!$A:$AL,22,FALSE)+7,1)</f>
        <v>I</v>
      </c>
      <c r="AD398" s="49" t="str">
        <f>MID(VLOOKUP($A398,Seqs!$A:$B,2,FALSE),VLOOKUP($A398,'SegEnds_NonXtal_Prot#'!$A:$AL,22,FALSE)+8,1)</f>
        <v>I</v>
      </c>
      <c r="AE398" s="49" t="str">
        <f>MID(VLOOKUP($A398,Seqs!$A:$B,2,FALSE),VLOOKUP($A398,'SegEnds_NonXtal_Prot#'!$A:$AL,22,FALSE)+9,1)</f>
        <v>T</v>
      </c>
      <c r="AF398" s="49" t="str">
        <f>MID(VLOOKUP($A398,Seqs!$A:$B,2,FALSE),VLOOKUP($A398,'SegEnds_NonXtal_Prot#'!$A:$AL,22,FALSE)+10,1)</f>
        <v>L</v>
      </c>
      <c r="AG398" s="28" t="str">
        <f>MID(VLOOKUP($A398,Seqs!$A:$B,2,FALSE),VLOOKUP($A398,'SegEnds_NonXtal_Prot#'!$A:$AL,28,FALSE)-4,1)</f>
        <v>I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468</v>
      </c>
      <c r="B399" s="2" t="str">
        <f>LOWER(VLOOKUP(A399,Xtal_Templ!A:B,2,FALSE))</f>
        <v>hrh1_human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T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I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F</v>
      </c>
      <c r="AA399" s="49" t="str">
        <f>MID(VLOOKUP($A399,Seqs!$A:$B,2,FALSE),VLOOKUP($A399,'SegEnds_NonXtal_Prot#'!A:AL,10,FALSE)+10,1)</f>
        <v>D</v>
      </c>
      <c r="AB399" s="28" t="str">
        <f>MID(VLOOKUP($A399,Seqs!$A:$B,2,FALSE),VLOOKUP($A399,'SegEnds_NonXtal_Prot#'!$A:$AL,22,FALSE)+6,1)</f>
        <v>I</v>
      </c>
      <c r="AC399" s="49" t="str">
        <f>MID(VLOOKUP($A399,Seqs!$A:$B,2,FALSE),VLOOKUP($A399,'SegEnds_NonXtal_Prot#'!$A:$AL,22,FALSE)+7,1)</f>
        <v>F</v>
      </c>
      <c r="AD399" s="49" t="str">
        <f>MID(VLOOKUP($A399,Seqs!$A:$B,2,FALSE),VLOOKUP($A399,'SegEnds_NonXtal_Prot#'!$A:$AL,22,FALSE)+8,1)</f>
        <v>D</v>
      </c>
      <c r="AE399" s="49" t="str">
        <f>MID(VLOOKUP($A399,Seqs!$A:$B,2,FALSE),VLOOKUP($A399,'SegEnds_NonXtal_Prot#'!$A:$AL,22,FALSE)+9,1)</f>
        <v>S</v>
      </c>
      <c r="AF399" s="49" t="str">
        <f>MID(VLOOKUP($A399,Seqs!$A:$B,2,FALSE),VLOOKUP($A399,'SegEnds_NonXtal_Prot#'!$A:$AL,22,FALSE)+10,1)</f>
        <v>L</v>
      </c>
      <c r="AG399" s="28" t="str">
        <f>MID(VLOOKUP($A399,Seqs!$A:$B,2,FALSE),VLOOKUP($A399,'SegEnds_NonXtal_Prot#'!$A:$AL,28,FALSE)-4,1)</f>
        <v>T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469</v>
      </c>
      <c r="B400" s="2" t="str">
        <f>LOWER(VLOOKUP(A400,Xtal_Templ!A:B,2,FALSE))</f>
        <v>drd2_human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L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A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929</v>
      </c>
      <c r="B401" s="2" t="str">
        <f>LOWER(VLOOKUP(A401,Xtal_Templ!A:B,2,FALSE))</f>
        <v>5ht2c_human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V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A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F</v>
      </c>
      <c r="AG401" s="28" t="str">
        <f>MID(VLOOKUP($A401,Seqs!$A:$B,2,FALSE),VLOOKUP($A401,'SegEnds_NonXtal_Prot#'!$A:$AL,28,FALSE)-4,1)</f>
        <v>A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470</v>
      </c>
      <c r="B402" s="2" t="str">
        <f>LOWER(VLOOKUP(A402,Xtal_Templ!A:B,2,FALSE))</f>
        <v>5ht2c_human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V</v>
      </c>
      <c r="X402" s="49" t="str">
        <f>MID(VLOOKUP($A402,Seqs!$A:$B,2,FALSE),VLOOKUP($A402,'SegEnds_NonXtal_Prot#'!A:AL,10,FALSE)+7,1)</f>
        <v>L</v>
      </c>
      <c r="Y402" s="49" t="str">
        <f>MID(VLOOKUP($A402,Seqs!$A:$B,2,FALSE),VLOOKUP($A402,'SegEnds_NonXtal_Prot#'!A:AL,10,FALSE)+8,1)</f>
        <v>V</v>
      </c>
      <c r="Z402" s="49" t="str">
        <f>MID(VLOOKUP($A402,Seqs!$A:$B,2,FALSE),VLOOKUP($A402,'SegEnds_NonXtal_Prot#'!A:AL,10,FALSE)+9,1)</f>
        <v>L</v>
      </c>
      <c r="AA402" s="49" t="str">
        <f>MID(VLOOKUP($A402,Seqs!$A:$B,2,FALSE),VLOOKUP($A402,'SegEnds_NonXtal_Prot#'!A:AL,10,FALSE)+10,1)</f>
        <v>N</v>
      </c>
      <c r="AB402" s="28" t="str">
        <f>MID(VLOOKUP($A402,Seqs!$A:$B,2,FALSE),VLOOKUP($A402,'SegEnds_NonXtal_Prot#'!$A:$AL,22,FALSE)+6,1)</f>
        <v>V</v>
      </c>
      <c r="AC402" s="49" t="str">
        <f>MID(VLOOKUP($A402,Seqs!$A:$B,2,FALSE),VLOOKUP($A402,'SegEnds_NonXtal_Prot#'!$A:$AL,22,FALSE)+7,1)</f>
        <v>C</v>
      </c>
      <c r="AD402" s="49" t="str">
        <f>MID(VLOOKUP($A402,Seqs!$A:$B,2,FALSE),VLOOKUP($A402,'SegEnds_NonXtal_Prot#'!$A:$AL,22,FALSE)+8,1)</f>
        <v>H</v>
      </c>
      <c r="AE402" s="49" t="str">
        <f>MID(VLOOKUP($A402,Seqs!$A:$B,2,FALSE),VLOOKUP($A402,'SegEnds_NonXtal_Prot#'!$A:$AL,22,FALSE)+9,1)</f>
        <v>L</v>
      </c>
      <c r="AF402" s="49" t="str">
        <f>MID(VLOOKUP($A402,Seqs!$A:$B,2,FALSE),VLOOKUP($A402,'SegEnds_NonXtal_Prot#'!$A:$AL,22,FALSE)+10,1)</f>
        <v>F</v>
      </c>
      <c r="AG402" s="28" t="str">
        <f>MID(VLOOKUP($A402,Seqs!$A:$B,2,FALSE),VLOOKUP($A402,'SegEnds_NonXtal_Prot#'!$A:$AL,28,FALSE)-4,1)</f>
        <v>A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471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A</v>
      </c>
      <c r="X403" s="49" t="str">
        <f>MID(VLOOKUP($A403,Seqs!$A:$B,2,FALSE),VLOOKUP($A403,'SegEnds_NonXtal_Prot#'!A:AL,10,FALSE)+7,1)</f>
        <v>L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N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C</v>
      </c>
      <c r="AD403" s="49" t="str">
        <f>MID(VLOOKUP($A403,Seqs!$A:$B,2,FALSE),VLOOKUP($A403,'SegEnds_NonXtal_Prot#'!$A:$AL,22,FALSE)+8,1)</f>
        <v>H</v>
      </c>
      <c r="AE403" s="49" t="str">
        <f>MID(VLOOKUP($A403,Seqs!$A:$B,2,FALSE),VLOOKUP($A403,'SegEnds_NonXtal_Prot#'!$A:$AL,22,FALSE)+9,1)</f>
        <v>L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W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475</v>
      </c>
      <c r="B404" s="2" t="str">
        <f>LOWER(VLOOKUP(A404,Xtal_Templ!A:B,2,FALSE))</f>
        <v>agtr1_human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I</v>
      </c>
      <c r="X404" s="49" t="str">
        <f>MID(VLOOKUP($A404,Seqs!$A:$B,2,FALSE),VLOOKUP($A404,'SegEnds_NonXtal_Prot#'!A:AL,10,FALSE)+7,1)</f>
        <v>I</v>
      </c>
      <c r="Y404" s="49" t="str">
        <f>MID(VLOOKUP($A404,Seqs!$A:$B,2,FALSE),VLOOKUP($A404,'SegEnds_NonXtal_Prot#'!A:AL,10,FALSE)+8,1)</f>
        <v>L</v>
      </c>
      <c r="Z404" s="49" t="str">
        <f>MID(VLOOKUP($A404,Seqs!$A:$B,2,FALSE),VLOOKUP($A404,'SegEnds_NonXtal_Prot#'!A:AL,10,FALSE)+9,1)</f>
        <v>T</v>
      </c>
      <c r="AA404" s="49" t="str">
        <f>MID(VLOOKUP($A404,Seqs!$A:$B,2,FALSE),VLOOKUP($A404,'SegEnds_NonXtal_Prot#'!A:AL,10,FALSE)+10,1)</f>
        <v>D</v>
      </c>
      <c r="AB404" s="28" t="str">
        <f>MID(VLOOKUP($A404,Seqs!$A:$B,2,FALSE),VLOOKUP($A404,'SegEnds_NonXtal_Prot#'!$A:$AL,22,FALSE)+6,1)</f>
        <v>C</v>
      </c>
      <c r="AC404" s="49" t="str">
        <f>MID(VLOOKUP($A404,Seqs!$A:$B,2,FALSE),VLOOKUP($A404,'SegEnds_NonXtal_Prot#'!$A:$AL,22,FALSE)+7,1)</f>
        <v>G</v>
      </c>
      <c r="AD404" s="49" t="str">
        <f>MID(VLOOKUP($A404,Seqs!$A:$B,2,FALSE),VLOOKUP($A404,'SegEnds_NonXtal_Prot#'!$A:$AL,22,FALSE)+8,1)</f>
        <v>S</v>
      </c>
      <c r="AE404" s="49" t="str">
        <f>MID(VLOOKUP($A404,Seqs!$A:$B,2,FALSE),VLOOKUP($A404,'SegEnds_NonXtal_Prot#'!$A:$AL,22,FALSE)+9,1)</f>
        <v>T</v>
      </c>
      <c r="AF404" s="49" t="str">
        <f>MID(VLOOKUP($A404,Seqs!$A:$B,2,FALSE),VLOOKUP($A404,'SegEnds_NonXtal_Prot#'!$A:$AL,22,FALSE)+10,1)</f>
        <v>A</v>
      </c>
      <c r="AG404" s="28" t="str">
        <f>MID(VLOOKUP($A404,Seqs!$A:$B,2,FALSE),VLOOKUP($A404,'SegEnds_NonXtal_Prot#'!$A:$AL,28,FALSE)-4,1)</f>
        <v>W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478</v>
      </c>
      <c r="B405" s="2" t="str">
        <f>LOWER(VLOOKUP(A405,Xtal_Templ!A:B,2,FALSE))</f>
        <v>drd2_human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L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V</v>
      </c>
      <c r="AC405" s="49" t="str">
        <f>MID(VLOOKUP($A405,Seqs!$A:$B,2,FALSE),VLOOKUP($A405,'SegEnds_NonXtal_Prot#'!$A:$AL,22,FALSE)+7,1)</f>
        <v>F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L</v>
      </c>
      <c r="AG405" s="28" t="str">
        <f>MID(VLOOKUP($A405,Seqs!$A:$B,2,FALSE),VLOOKUP($A405,'SegEnds_NonXtal_Prot#'!$A:$AL,28,FALSE)-4,1)</f>
        <v>A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479</v>
      </c>
      <c r="B406" s="2" t="str">
        <f>LOWER(VLOOKUP(A406,Xtal_Templ!A:B,2,FALSE))</f>
        <v>drd2_human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V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V</v>
      </c>
      <c r="Z406" s="49" t="str">
        <f>MID(VLOOKUP($A406,Seqs!$A:$B,2,FALSE),VLOOKUP($A406,'SegEnds_NonXtal_Prot#'!A:AL,10,FALSE)+9,1)</f>
        <v>V</v>
      </c>
      <c r="AA406" s="49" t="str">
        <f>MID(VLOOKUP($A406,Seqs!$A:$B,2,FALSE),VLOOKUP($A406,'SegEnds_NonXtal_Prot#'!A:AL,10,FALSE)+10,1)</f>
        <v>N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L</v>
      </c>
      <c r="AD406" s="49" t="str">
        <f>MID(VLOOKUP($A406,Seqs!$A:$B,2,FALSE),VLOOKUP($A406,'SegEnds_NonXtal_Prot#'!$A:$AL,22,FALSE)+8,1)</f>
        <v>V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L</v>
      </c>
      <c r="AG406" s="28" t="str">
        <f>MID(VLOOKUP($A406,Seqs!$A:$B,2,FALSE),VLOOKUP($A406,'SegEnds_NonXtal_Prot#'!$A:$AL,28,FALSE)-4,1)</f>
        <v>F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480</v>
      </c>
      <c r="B407" s="2" t="str">
        <f>LOWER(VLOOKUP(A407,Xtal_Templ!A:B,2,FALSE))</f>
        <v>agtr1_human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V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S</v>
      </c>
      <c r="Z407" s="49" t="str">
        <f>MID(VLOOKUP($A407,Seqs!$A:$B,2,FALSE),VLOOKUP($A407,'SegEnds_NonXtal_Prot#'!A:AL,10,FALSE)+9,1)</f>
        <v>L</v>
      </c>
      <c r="AA407" s="49" t="str">
        <f>MID(VLOOKUP($A407,Seqs!$A:$B,2,FALSE),VLOOKUP($A407,'SegEnds_NonXtal_Prot#'!A:AL,10,FALSE)+10,1)</f>
        <v>D</v>
      </c>
      <c r="AB407" s="28" t="str">
        <f>MID(VLOOKUP($A407,Seqs!$A:$B,2,FALSE),VLOOKUP($A407,'SegEnds_NonXtal_Prot#'!$A:$AL,22,FALSE)+6,1)</f>
        <v>L</v>
      </c>
      <c r="AC407" s="49" t="str">
        <f>MID(VLOOKUP($A407,Seqs!$A:$B,2,FALSE),VLOOKUP($A407,'SegEnds_NonXtal_Prot#'!$A:$AL,22,FALSE)+7,1)</f>
        <v>I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S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G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466</v>
      </c>
      <c r="B408" s="2" t="str">
        <f>LOWER(VLOOKUP(A408,Xtal_Templ!A:B,2,FALSE))</f>
        <v>5ht2a_human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W</v>
      </c>
      <c r="X408" s="49" t="str">
        <f>MID(VLOOKUP($A408,Seqs!$A:$B,2,FALSE),VLOOKUP($A408,'SegEnds_NonXtal_Prot#'!A:AL,10,FALSE)+7,1)</f>
        <v>M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E</v>
      </c>
      <c r="AB408" s="28" t="str">
        <f>MID(VLOOKUP($A408,Seqs!$A:$B,2,FALSE),VLOOKUP($A408,'SegEnds_NonXtal_Prot#'!$A:$AL,22,FALSE)+6,1)</f>
        <v>L</v>
      </c>
      <c r="AC408" s="49" t="str">
        <f>MID(VLOOKUP($A408,Seqs!$A:$B,2,FALSE),VLOOKUP($A408,'SegEnds_NonXtal_Prot#'!$A:$AL,22,FALSE)+7,1)</f>
        <v>S</v>
      </c>
      <c r="AD408" s="49" t="str">
        <f>MID(VLOOKUP($A408,Seqs!$A:$B,2,FALSE),VLOOKUP($A408,'SegEnds_NonXtal_Prot#'!$A:$AL,22,FALSE)+8,1)</f>
        <v>F</v>
      </c>
      <c r="AE408" s="49" t="str">
        <f>MID(VLOOKUP($A408,Seqs!$A:$B,2,FALSE),VLOOKUP($A408,'SegEnds_NonXtal_Prot#'!$A:$AL,22,FALSE)+9,1)</f>
        <v>S</v>
      </c>
      <c r="AF408" s="49" t="str">
        <f>MID(VLOOKUP($A408,Seqs!$A:$B,2,FALSE),VLOOKUP($A408,'SegEnds_NonXtal_Prot#'!$A:$AL,22,FALSE)+10,1)</f>
        <v>F</v>
      </c>
      <c r="AG408" s="28" t="str">
        <f>MID(VLOOKUP($A408,Seqs!$A:$B,2,FALSE),VLOOKUP($A408,'SegEnds_NonXtal_Prot#'!$A:$AL,28,FALSE)-4,1)</f>
        <v>G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474</v>
      </c>
      <c r="B409" s="2" t="str">
        <f>LOWER(VLOOKUP(A409,Xtal_Templ!A:B,2,FALSE))</f>
        <v>cxcr4_human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F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Y</v>
      </c>
      <c r="AA409" s="49" t="str">
        <f>MID(VLOOKUP($A409,Seqs!$A:$B,2,FALSE),VLOOKUP($A409,'SegEnds_NonXtal_Prot#'!A:AL,10,FALSE)+10,1)</f>
        <v>V</v>
      </c>
      <c r="AB409" s="28" t="str">
        <f>MID(VLOOKUP($A409,Seqs!$A:$B,2,FALSE),VLOOKUP($A409,'SegEnds_NonXtal_Prot#'!$A:$AL,22,FALSE)+6,1)</f>
        <v>S</v>
      </c>
      <c r="AC409" s="49" t="str">
        <f>MID(VLOOKUP($A409,Seqs!$A:$B,2,FALSE),VLOOKUP($A409,'SegEnds_NonXtal_Prot#'!$A:$AL,22,FALSE)+7,1)</f>
        <v>M</v>
      </c>
      <c r="AD409" s="49" t="str">
        <f>MID(VLOOKUP($A409,Seqs!$A:$B,2,FALSE),VLOOKUP($A409,'SegEnds_NonXtal_Prot#'!$A:$AL,22,FALSE)+8,1)</f>
        <v>I</v>
      </c>
      <c r="AE409" s="49" t="str">
        <f>MID(VLOOKUP($A409,Seqs!$A:$B,2,FALSE),VLOOKUP($A409,'SegEnds_NonXtal_Prot#'!$A:$AL,22,FALSE)+9,1)</f>
        <v>C</v>
      </c>
      <c r="AF409" s="49" t="str">
        <f>MID(VLOOKUP($A409,Seqs!$A:$B,2,FALSE),VLOOKUP($A409,'SegEnds_NonXtal_Prot#'!$A:$AL,22,FALSE)+10,1)</f>
        <v>V</v>
      </c>
      <c r="AG409" s="28" t="str">
        <f>MID(VLOOKUP($A409,Seqs!$A:$B,2,FALSE),VLOOKUP($A409,'SegEnds_NonXtal_Prot#'!$A:$AL,28,FALSE)-4,1)</f>
        <v>E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459</v>
      </c>
      <c r="B410" s="2" t="str">
        <f>LOWER(VLOOKUP(A410,Xtal_Templ!A:B,2,FALSE))</f>
        <v>pd2r2_human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A</v>
      </c>
      <c r="X410" s="49" t="str">
        <f>MID(VLOOKUP($A410,Seqs!$A:$B,2,FALSE),VLOOKUP($A410,'SegEnds_NonXtal_Prot#'!A:AL,10,FALSE)+7,1)</f>
        <v>S</v>
      </c>
      <c r="Y410" s="49" t="str">
        <f>MID(VLOOKUP($A410,Seqs!$A:$B,2,FALSE),VLOOKUP($A410,'SegEnds_NonXtal_Prot#'!A:AL,10,FALSE)+8,1)</f>
        <v>M</v>
      </c>
      <c r="Z410" s="49" t="str">
        <f>MID(VLOOKUP($A410,Seqs!$A:$B,2,FALSE),VLOOKUP($A410,'SegEnds_NonXtal_Prot#'!A:AL,10,FALSE)+9,1)</f>
        <v>L</v>
      </c>
      <c r="AA410" s="49" t="str">
        <f>MID(VLOOKUP($A410,Seqs!$A:$B,2,FALSE),VLOOKUP($A410,'SegEnds_NonXtal_Prot#'!A:AL,10,FALSE)+10,1)</f>
        <v>N</v>
      </c>
      <c r="AB410" s="28" t="str">
        <f>MID(VLOOKUP($A410,Seqs!$A:$B,2,FALSE),VLOOKUP($A410,'SegEnds_NonXtal_Prot#'!$A:$AL,22,FALSE)+6,1)</f>
        <v>C</v>
      </c>
      <c r="AC410" s="49" t="str">
        <f>MID(VLOOKUP($A410,Seqs!$A:$B,2,FALSE),VLOOKUP($A410,'SegEnds_NonXtal_Prot#'!$A:$AL,22,FALSE)+7,1)</f>
        <v>V</v>
      </c>
      <c r="AD410" s="49" t="str">
        <f>MID(VLOOKUP($A410,Seqs!$A:$B,2,FALSE),VLOOKUP($A410,'SegEnds_NonXtal_Prot#'!$A:$AL,22,FALSE)+8,1)</f>
        <v>T</v>
      </c>
      <c r="AE410" s="49" t="str">
        <f>MID(VLOOKUP($A410,Seqs!$A:$B,2,FALSE),VLOOKUP($A410,'SegEnds_NonXtal_Prot#'!$A:$AL,22,FALSE)+9,1)</f>
        <v>I</v>
      </c>
      <c r="AF410" s="49" t="str">
        <f>MID(VLOOKUP($A410,Seqs!$A:$B,2,FALSE),VLOOKUP($A410,'SegEnds_NonXtal_Prot#'!$A:$AL,22,FALSE)+10,1)</f>
        <v>I</v>
      </c>
      <c r="AG410" s="28" t="str">
        <f>MID(VLOOKUP($A410,Seqs!$A:$B,2,FALSE),VLOOKUP($A410,'SegEnds_NonXtal_Prot#'!$A:$AL,28,FALSE)-4,1)</f>
        <v>A</v>
      </c>
      <c r="AH410" s="49" t="str">
        <f>MID(VLOOKUP($A410,Seqs!$A:$B,2,FALSE),VLOOKUP($A410,'SegEnds_NonXtal_Prot#'!$A:$AL,28,FALSE),1)</f>
        <v>P</v>
      </c>
    </row>
    <row r="411" spans="1:34" s="2" customFormat="1" x14ac:dyDescent="0.2">
      <c r="A411" s="2" t="s">
        <v>458</v>
      </c>
      <c r="B411" s="2" t="str">
        <f>LOWER(VLOOKUP(A411,Xtal_Templ!A:B,2,FALSE))</f>
        <v>5ht2c_human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F</v>
      </c>
      <c r="Z411" s="49" t="str">
        <f>MID(VLOOKUP($A411,Seqs!$A:$B,2,FALSE),VLOOKUP($A411,'SegEnds_NonXtal_Prot#'!A:AL,10,FALSE)+9,1)</f>
        <v>G</v>
      </c>
      <c r="AA411" s="49" t="str">
        <f>MID(VLOOKUP($A411,Seqs!$A:$B,2,FALSE),VLOOKUP($A411,'SegEnds_NonXtal_Prot#'!A:AL,10,FALSE)+10,1)</f>
        <v>S</v>
      </c>
      <c r="AB411" s="28" t="str">
        <f>MID(VLOOKUP($A411,Seqs!$A:$B,2,FALSE),VLOOKUP($A411,'SegEnds_NonXtal_Prot#'!$A:$AL,22,FALSE)+6,1)</f>
        <v>F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N</v>
      </c>
      <c r="AE411" s="49" t="str">
        <f>MID(VLOOKUP($A411,Seqs!$A:$B,2,FALSE),VLOOKUP($A411,'SegEnds_NonXtal_Prot#'!$A:$AL,22,FALSE)+9,1)</f>
        <v>I</v>
      </c>
      <c r="AF411" s="49" t="str">
        <f>MID(VLOOKUP($A411,Seqs!$A:$B,2,FALSE),VLOOKUP($A411,'SegEnds_NonXtal_Prot#'!$A:$AL,22,FALSE)+10,1)</f>
        <v>A</v>
      </c>
      <c r="AG411" s="28" t="str">
        <f>MID(VLOOKUP($A411,Seqs!$A:$B,2,FALSE),VLOOKUP($A411,'SegEnds_NonXtal_Prot#'!$A:$AL,28,FALSE)-4,1)</f>
        <v>F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A412" s="2" t="s">
        <v>456</v>
      </c>
      <c r="B412" s="2" t="str">
        <f>LOWER(VLOOKUP(A412,Xtal_Templ!A:B,2,FALSE))</f>
        <v>drd2_human</v>
      </c>
      <c r="C412" s="2" t="str">
        <f>VLOOKUP(A412,Classification!A:D,2,FALSE)</f>
        <v>T</v>
      </c>
      <c r="D412" s="2" t="str">
        <f>IF(ISERROR(MATCH(A412,'SegEnds_Xtal_Prot#'!B:B, 0)), "NoXtal", "Xtal")</f>
        <v>NoXtal</v>
      </c>
      <c r="H412" s="4"/>
      <c r="V412" s="28" t="str">
        <f>MID(VLOOKUP($A412,Seqs!$A:$B,2,FALSE),VLOOKUP($A412,'SegEnds_NonXtal_Prot#'!A:AL,10,FALSE),1)</f>
        <v>R</v>
      </c>
      <c r="W412" s="49" t="str">
        <f>MID(VLOOKUP($A412,Seqs!$A:$B,2,FALSE),VLOOKUP($A412,'SegEnds_NonXtal_Prot#'!A:AL,10,FALSE)+6,1)</f>
        <v>I</v>
      </c>
      <c r="X412" s="49" t="str">
        <f>MID(VLOOKUP($A412,Seqs!$A:$B,2,FALSE),VLOOKUP($A412,'SegEnds_NonXtal_Prot#'!A:AL,10,FALSE)+7,1)</f>
        <v>I</v>
      </c>
      <c r="Y412" s="49" t="str">
        <f>MID(VLOOKUP($A412,Seqs!$A:$B,2,FALSE),VLOOKUP($A412,'SegEnds_NonXtal_Prot#'!A:AL,10,FALSE)+8,1)</f>
        <v>I</v>
      </c>
      <c r="Z412" s="49" t="str">
        <f>MID(VLOOKUP($A412,Seqs!$A:$B,2,FALSE),VLOOKUP($A412,'SegEnds_NonXtal_Prot#'!A:AL,10,FALSE)+9,1)</f>
        <v>T</v>
      </c>
      <c r="AA412" s="49" t="str">
        <f>MID(VLOOKUP($A412,Seqs!$A:$B,2,FALSE),VLOOKUP($A412,'SegEnds_NonXtal_Prot#'!A:AL,10,FALSE)+10,1)</f>
        <v>D</v>
      </c>
      <c r="AB412" s="28" t="str">
        <f>MID(VLOOKUP($A412,Seqs!$A:$B,2,FALSE),VLOOKUP($A412,'SegEnds_NonXtal_Prot#'!$A:$AL,22,FALSE)+6,1)</f>
        <v>L</v>
      </c>
      <c r="AC412" s="49" t="str">
        <f>MID(VLOOKUP($A412,Seqs!$A:$B,2,FALSE),VLOOKUP($A412,'SegEnds_NonXtal_Prot#'!$A:$AL,22,FALSE)+7,1)</f>
        <v>L</v>
      </c>
      <c r="AD412" s="49" t="str">
        <f>MID(VLOOKUP($A412,Seqs!$A:$B,2,FALSE),VLOOKUP($A412,'SegEnds_NonXtal_Prot#'!$A:$AL,22,FALSE)+8,1)</f>
        <v>N</v>
      </c>
      <c r="AE412" s="49" t="str">
        <f>MID(VLOOKUP($A412,Seqs!$A:$B,2,FALSE),VLOOKUP($A412,'SegEnds_NonXtal_Prot#'!$A:$AL,22,FALSE)+9,1)</f>
        <v>F</v>
      </c>
      <c r="AF412" s="49" t="str">
        <f>MID(VLOOKUP($A412,Seqs!$A:$B,2,FALSE),VLOOKUP($A412,'SegEnds_NonXtal_Prot#'!$A:$AL,22,FALSE)+10,1)</f>
        <v>A</v>
      </c>
      <c r="AG412" s="28" t="str">
        <f>MID(VLOOKUP($A412,Seqs!$A:$B,2,FALSE),VLOOKUP($A412,'SegEnds_NonXtal_Prot#'!$A:$AL,28,FALSE)-4,1)</f>
        <v>G</v>
      </c>
      <c r="AH412" s="49" t="str">
        <f>MID(VLOOKUP($A412,Seqs!$A:$B,2,FALSE),VLOOKUP($A412,'SegEnds_NonXtal_Prot#'!$A:$AL,28,FALSE),1)</f>
        <v>F</v>
      </c>
    </row>
    <row r="413" spans="1:34" s="2" customFormat="1" x14ac:dyDescent="0.2">
      <c r="A413" s="2" t="s">
        <v>477</v>
      </c>
      <c r="B413" s="2" t="str">
        <f>LOWER(VLOOKUP(A413,Xtal_Templ!A:B,2,FALSE))</f>
        <v>hrh1_human</v>
      </c>
      <c r="C413" s="2" t="str">
        <f>VLOOKUP(A413,Classification!A:D,2,FALSE)</f>
        <v>T</v>
      </c>
      <c r="D413" s="2" t="str">
        <f>IF(ISERROR(MATCH(A413,'SegEnds_Xtal_Prot#'!B:B, 0)), "NoXtal", "Xtal")</f>
        <v>NoXtal</v>
      </c>
      <c r="H413" s="4"/>
      <c r="V413" s="28" t="str">
        <f>MID(VLOOKUP($A413,Seqs!$A:$B,2,FALSE),VLOOKUP($A413,'SegEnds_NonXtal_Prot#'!A:AL,10,FALSE),1)</f>
        <v>R</v>
      </c>
      <c r="W413" s="49" t="str">
        <f>MID(VLOOKUP($A413,Seqs!$A:$B,2,FALSE),VLOOKUP($A413,'SegEnds_NonXtal_Prot#'!A:AL,10,FALSE)+6,1)</f>
        <v>L</v>
      </c>
      <c r="X413" s="49" t="str">
        <f>MID(VLOOKUP($A413,Seqs!$A:$B,2,FALSE),VLOOKUP($A413,'SegEnds_NonXtal_Prot#'!A:AL,10,FALSE)+7,1)</f>
        <v>I</v>
      </c>
      <c r="Y413" s="49" t="str">
        <f>MID(VLOOKUP($A413,Seqs!$A:$B,2,FALSE),VLOOKUP($A413,'SegEnds_NonXtal_Prot#'!A:AL,10,FALSE)+8,1)</f>
        <v>I</v>
      </c>
      <c r="Z413" s="49" t="str">
        <f>MID(VLOOKUP($A413,Seqs!$A:$B,2,FALSE),VLOOKUP($A413,'SegEnds_NonXtal_Prot#'!A:AL,10,FALSE)+9,1)</f>
        <v>L</v>
      </c>
      <c r="AA413" s="49" t="str">
        <f>MID(VLOOKUP($A413,Seqs!$A:$B,2,FALSE),VLOOKUP($A413,'SegEnds_NonXtal_Prot#'!A:AL,10,FALSE)+10,1)</f>
        <v>D</v>
      </c>
      <c r="AB413" s="28" t="str">
        <f>MID(VLOOKUP($A413,Seqs!$A:$B,2,FALSE),VLOOKUP($A413,'SegEnds_NonXtal_Prot#'!$A:$AL,22,FALSE)+6,1)</f>
        <v>L</v>
      </c>
      <c r="AC413" s="49" t="str">
        <f>MID(VLOOKUP($A413,Seqs!$A:$B,2,FALSE),VLOOKUP($A413,'SegEnds_NonXtal_Prot#'!$A:$AL,22,FALSE)+7,1)</f>
        <v>L</v>
      </c>
      <c r="AD413" s="49" t="str">
        <f>MID(VLOOKUP($A413,Seqs!$A:$B,2,FALSE),VLOOKUP($A413,'SegEnds_NonXtal_Prot#'!$A:$AL,22,FALSE)+8,1)</f>
        <v>L</v>
      </c>
      <c r="AE413" s="49" t="str">
        <f>MID(VLOOKUP($A413,Seqs!$A:$B,2,FALSE),VLOOKUP($A413,'SegEnds_NonXtal_Prot#'!$A:$AL,22,FALSE)+9,1)</f>
        <v>T</v>
      </c>
      <c r="AF413" s="49" t="str">
        <f>MID(VLOOKUP($A413,Seqs!$A:$B,2,FALSE),VLOOKUP($A413,'SegEnds_NonXtal_Prot#'!$A:$AL,22,FALSE)+10,1)</f>
        <v>V</v>
      </c>
      <c r="AG413" s="28" t="str">
        <f>MID(VLOOKUP($A413,Seqs!$A:$B,2,FALSE),VLOOKUP($A413,'SegEnds_NonXtal_Prot#'!$A:$AL,28,FALSE)-4,1)</f>
        <v>G</v>
      </c>
      <c r="AH413" s="49" t="str">
        <f>MID(VLOOKUP($A413,Seqs!$A:$B,2,FALSE),VLOOKUP($A413,'SegEnds_NonXtal_Prot#'!$A:$AL,28,FALSE),1)</f>
        <v>P</v>
      </c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  <row r="415" spans="1:34" s="2" customFormat="1" x14ac:dyDescent="0.2">
      <c r="H415" s="4"/>
      <c r="V415" s="28"/>
      <c r="W415" s="49"/>
      <c r="X415" s="49"/>
      <c r="Y415" s="49"/>
      <c r="Z415" s="49"/>
      <c r="AA415" s="49"/>
      <c r="AB415" s="28"/>
      <c r="AC415" s="49"/>
      <c r="AD415" s="49"/>
      <c r="AE415" s="49"/>
      <c r="AG415" s="16"/>
    </row>
    <row r="416" spans="1:34" s="2" customFormat="1" x14ac:dyDescent="0.2">
      <c r="H416" s="4"/>
      <c r="V416" s="28"/>
      <c r="W416" s="49"/>
      <c r="X416" s="49"/>
      <c r="Y416" s="49"/>
      <c r="Z416" s="49"/>
      <c r="AA416" s="49"/>
      <c r="AB416" s="28"/>
      <c r="AC416" s="49"/>
      <c r="AD416" s="49"/>
      <c r="AE416" s="49"/>
      <c r="AG416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3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5"/>
  <sheetViews>
    <sheetView workbookViewId="0">
      <pane ySplit="1" topLeftCell="A396" activePane="bottomLeft" state="frozenSplit"/>
      <selection pane="bottomLeft" activeCell="F422" sqref="F422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1156</v>
      </c>
      <c r="C1" s="21" t="s">
        <v>1226</v>
      </c>
      <c r="D1" s="21" t="s">
        <v>1204</v>
      </c>
      <c r="E1" s="21" t="s">
        <v>931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929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877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878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879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880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881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882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876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866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867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868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869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870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871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872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873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874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875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1" t="s">
        <v>1495</v>
      </c>
      <c r="B44" s="120" t="s">
        <v>1496</v>
      </c>
      <c r="C44" t="s">
        <v>1493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0" t="s">
        <v>849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0" t="s">
        <v>853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844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845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846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847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848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850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851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852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854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855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856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857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858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859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860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861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862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863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864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865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1176</v>
      </c>
      <c r="B67" t="s">
        <v>811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1177</v>
      </c>
      <c r="B68" t="s">
        <v>812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1178</v>
      </c>
      <c r="B69" t="s">
        <v>813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814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1179</v>
      </c>
      <c r="B71" t="s">
        <v>815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1180</v>
      </c>
      <c r="B72" t="s">
        <v>816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817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818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819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1181</v>
      </c>
      <c r="B76" t="s">
        <v>820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1182</v>
      </c>
      <c r="B77" t="s">
        <v>821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1183</v>
      </c>
      <c r="B78" t="s">
        <v>822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1184</v>
      </c>
      <c r="B79" t="s">
        <v>823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1185</v>
      </c>
      <c r="B80" t="s">
        <v>824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1186</v>
      </c>
      <c r="B81" t="s">
        <v>825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826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1187</v>
      </c>
      <c r="B83" t="s">
        <v>827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1188</v>
      </c>
      <c r="B84" t="s">
        <v>828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1189</v>
      </c>
      <c r="B85" t="s">
        <v>829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1190</v>
      </c>
      <c r="B86" t="s">
        <v>830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1191</v>
      </c>
      <c r="B87" t="s">
        <v>831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1192</v>
      </c>
      <c r="B88" t="s">
        <v>832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1193</v>
      </c>
      <c r="B89" t="s">
        <v>833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1194</v>
      </c>
      <c r="B90" t="s">
        <v>834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1195</v>
      </c>
      <c r="B91" t="s">
        <v>835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1196</v>
      </c>
      <c r="B92" t="s">
        <v>836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1413</v>
      </c>
      <c r="B93" t="s">
        <v>837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1197</v>
      </c>
      <c r="B94" t="s">
        <v>838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1198</v>
      </c>
      <c r="B95" t="s">
        <v>839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1199</v>
      </c>
      <c r="B96" t="s">
        <v>840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1200</v>
      </c>
      <c r="B97" t="s">
        <v>841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1201</v>
      </c>
      <c r="B98" t="s">
        <v>842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843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1326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1402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1590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809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810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1420</v>
      </c>
      <c r="B115" t="s">
        <v>1419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911</v>
      </c>
      <c r="B116" t="s">
        <v>912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915</v>
      </c>
      <c r="B117" t="s">
        <v>916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917</v>
      </c>
      <c r="B118" t="s">
        <v>918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909</v>
      </c>
      <c r="B119" t="s">
        <v>910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0"/>
    </row>
    <row r="120" spans="1:13" ht="17" x14ac:dyDescent="0.25">
      <c r="A120" t="s">
        <v>913</v>
      </c>
      <c r="B120" t="s">
        <v>914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0"/>
    </row>
    <row r="121" spans="1:13" ht="17" x14ac:dyDescent="0.25">
      <c r="A121" t="s">
        <v>921</v>
      </c>
      <c r="B121" t="s">
        <v>922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0"/>
    </row>
    <row r="122" spans="1:13" ht="17" x14ac:dyDescent="0.25">
      <c r="A122" t="s">
        <v>919</v>
      </c>
      <c r="B122" t="s">
        <v>920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0"/>
    </row>
    <row r="123" spans="1:13" ht="17" x14ac:dyDescent="0.25">
      <c r="A123" t="s">
        <v>1440</v>
      </c>
      <c r="B123" t="s">
        <v>1441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0"/>
    </row>
    <row r="124" spans="1:13" ht="17" x14ac:dyDescent="0.25">
      <c r="A124" t="s">
        <v>1507</v>
      </c>
      <c r="B124" t="s">
        <v>1508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0"/>
    </row>
    <row r="125" spans="1:13" ht="17" x14ac:dyDescent="0.25">
      <c r="A125" t="s">
        <v>1451</v>
      </c>
      <c r="B125" t="s">
        <v>1453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0"/>
    </row>
    <row r="126" spans="1:13" x14ac:dyDescent="0.2">
      <c r="A126" t="s">
        <v>923</v>
      </c>
      <c r="B126" t="s">
        <v>924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1173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1174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1175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1171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1172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  <row r="414" spans="1:5" x14ac:dyDescent="0.2">
      <c r="A414" t="s">
        <v>1594</v>
      </c>
      <c r="B414" t="s">
        <v>1596</v>
      </c>
      <c r="C414" t="str">
        <f>IF(ISERROR(MATCH(A414,'SegEnds_Xtal_Prot#'!B:B, 0)), "NoXtal", "Xtal")</f>
        <v>Xtal</v>
      </c>
      <c r="D414" t="str">
        <f t="shared" ref="D414" si="7">MID(A414,FIND("_",A414)+1,LEN(A414)-FIND("_",A414))</f>
        <v>mouse</v>
      </c>
      <c r="E414" t="str">
        <f>VLOOKUP(A414,Classification!A:B,2,FALSE)</f>
        <v>F</v>
      </c>
    </row>
    <row r="415" spans="1:5" x14ac:dyDescent="0.2">
      <c r="A415" t="s">
        <v>1597</v>
      </c>
      <c r="B415" t="s">
        <v>1599</v>
      </c>
      <c r="C415" t="str">
        <f>IF(ISERROR(MATCH(A415,'SegEnds_Xtal_Prot#'!B:B, 0)), "NoXtal", "Xtal")</f>
        <v>Xtal</v>
      </c>
      <c r="D415" t="str">
        <f t="shared" ref="D415" si="8">MID(A415,FIND("_",A415)+1,LEN(A415)-FIND("_",A415))</f>
        <v>rat</v>
      </c>
      <c r="E415" t="str">
        <f>VLOOKUP(A415,Classification!A:B,2,FALSE)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1225</v>
      </c>
      <c r="C1" s="31" t="s">
        <v>1226</v>
      </c>
      <c r="D1" s="30" t="s">
        <v>99</v>
      </c>
      <c r="E1" s="26" t="s">
        <v>1224</v>
      </c>
      <c r="F1" s="26" t="s">
        <v>3</v>
      </c>
      <c r="G1" s="30" t="s">
        <v>1208</v>
      </c>
      <c r="H1" s="30" t="s">
        <v>4</v>
      </c>
      <c r="I1" s="30" t="s">
        <v>1210</v>
      </c>
      <c r="J1" s="30" t="s">
        <v>6</v>
      </c>
      <c r="K1" s="30" t="s">
        <v>1209</v>
      </c>
      <c r="L1" s="30" t="s">
        <v>7</v>
      </c>
      <c r="M1" s="30" t="s">
        <v>1211</v>
      </c>
      <c r="N1" s="30" t="s">
        <v>8</v>
      </c>
      <c r="O1" s="30" t="s">
        <v>10</v>
      </c>
      <c r="P1" s="30" t="s">
        <v>11</v>
      </c>
      <c r="Q1" s="30" t="s">
        <v>1207</v>
      </c>
      <c r="R1" s="26" t="s">
        <v>1060</v>
      </c>
      <c r="S1" s="8" t="s">
        <v>1077</v>
      </c>
      <c r="T1" s="8" t="s">
        <v>1062</v>
      </c>
      <c r="U1" s="8" t="s">
        <v>1079</v>
      </c>
      <c r="V1" s="8" t="s">
        <v>1064</v>
      </c>
      <c r="W1" s="8" t="s">
        <v>1092</v>
      </c>
      <c r="X1" s="8" t="s">
        <v>1066</v>
      </c>
      <c r="Y1" s="8" t="s">
        <v>1095</v>
      </c>
      <c r="Z1" s="8" t="s">
        <v>1068</v>
      </c>
      <c r="AA1" s="8" t="s">
        <v>1070</v>
      </c>
      <c r="AB1" s="8" t="s">
        <v>1072</v>
      </c>
      <c r="AC1" s="8" t="s">
        <v>1074</v>
      </c>
      <c r="AD1" s="26" t="s">
        <v>1061</v>
      </c>
      <c r="AE1" s="8" t="s">
        <v>1078</v>
      </c>
      <c r="AF1" s="8" t="s">
        <v>1063</v>
      </c>
      <c r="AG1" s="8" t="s">
        <v>1080</v>
      </c>
      <c r="AH1" s="8" t="s">
        <v>1065</v>
      </c>
      <c r="AI1" s="8" t="s">
        <v>1093</v>
      </c>
      <c r="AJ1" s="8" t="s">
        <v>1067</v>
      </c>
      <c r="AK1" s="8" t="s">
        <v>1096</v>
      </c>
      <c r="AL1" s="8" t="s">
        <v>1069</v>
      </c>
      <c r="AM1" s="8" t="s">
        <v>1071</v>
      </c>
      <c r="AN1" s="8" t="s">
        <v>1073</v>
      </c>
      <c r="AO1" s="8" t="s">
        <v>1075</v>
      </c>
      <c r="AP1" s="26" t="s">
        <v>1212</v>
      </c>
      <c r="AQ1" s="30" t="s">
        <v>1213</v>
      </c>
      <c r="AR1" s="30" t="s">
        <v>1214</v>
      </c>
      <c r="AS1" s="30" t="s">
        <v>1215</v>
      </c>
      <c r="AT1" s="30" t="s">
        <v>1216</v>
      </c>
      <c r="AU1" s="30" t="s">
        <v>1217</v>
      </c>
      <c r="AV1" s="30" t="s">
        <v>1218</v>
      </c>
      <c r="AW1" s="30" t="s">
        <v>1219</v>
      </c>
      <c r="AX1" s="30" t="s">
        <v>1220</v>
      </c>
      <c r="AY1" s="30" t="s">
        <v>1221</v>
      </c>
      <c r="AZ1" s="30" t="s">
        <v>1222</v>
      </c>
      <c r="BA1" s="30" t="s">
        <v>1223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ELAIRITLYAVIFLMSVGGNMLIIVVLGLSTVTNAFLLSLAVSDLLLAVACMPFTLLPNLMGGTVICKAVSYLMGVSVSVSTLSLVAIALERYSAICRTRSHAARVIVATWLLSGLLMVPYPVYTRVRQTWSVLLLLLLFFIPGVVMAVAYGLISRELYLGLRFDGDSDQAKLLAKKRVVRMLLVIVVLFFLCWLPVYSANTWRAFDHRALSGAPISFIHLLSYASACVNPLVYCFMHRRFRQACLETCARCCP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HRRFRQACLETCARCCP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410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16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VFRDDFIVKVLPPVLGLEFIFGLLGNGLALWIFCFHKSSRIFLFNLAVADFLLIICLPFLMDNYVRRGDIPCRLMLFMLAMNRQGSIIFLTVVAVDRYFRVVHSNRTAAIISCLLWGITIGLTVHLLKKICHTFQWHEAMFLLEFFLPLGIILFCSARIIWSLRQRHAKIKRAITFIMVVAIVFVICFLPSVVVRIRIFWLLHTNCEVYRSVDLAFFITLSFTYMNSMLDPVVYYFSSPSFPNFFSTLINR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VFRDDFIVKVLPPVLGLEFIFGLLGNGLALWIFCFH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</v>
      </c>
      <c r="M13" s="4" t="str">
        <f t="shared" si="8"/>
        <v>CSS</v>
      </c>
      <c r="N13" s="4" t="str">
        <f t="shared" si="9"/>
        <v>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SPSFPNFFSTLINR</v>
      </c>
      <c r="R13" s="5">
        <f>VLOOKUP($A13,'SegEnds_NonXtal_Prot#'!$A:$AL,3,FALSE)</f>
        <v>20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182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165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311</v>
      </c>
      <c r="AP13" s="5">
        <f t="shared" si="13"/>
        <v>35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25</v>
      </c>
      <c r="AW13" s="4">
        <f t="shared" si="20"/>
        <v>2</v>
      </c>
      <c r="AX13" s="4">
        <f t="shared" si="21"/>
        <v>35</v>
      </c>
      <c r="AY13" s="4">
        <f t="shared" si="22"/>
        <v>38</v>
      </c>
      <c r="AZ13" s="4">
        <f t="shared" si="23"/>
        <v>32</v>
      </c>
      <c r="BA13" s="4">
        <f t="shared" si="24"/>
        <v>13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PSWLASALACVLIFTIVVDILGNLLVILSVYRNNAGNIFVVSLAVADLVVAIYPYPLVLMSIFNNGYLHCQVSGFLMGLSVIGSIFNITGIAINRYCYICHSSKNSLCYVLLIWLLTLAAVLPNLRAGSSAYTIAVVVFHFLVPMIIVIFCYLRIWILVLQVRQRVPKLKPQDFRNFVTMFVVFVLFAICWAPLNFIGLAVASDPEWLFVASYYMAYFNSCLNAIIYGLLNQNFRKEYRRIIVSLCT</v>
      </c>
      <c r="C17" s="29" t="str">
        <f>IF(ISERROR(MATCH(A17,'SegEnds_Xtal_Prot#'!B:B, 0)), "NoXtal", "Xtal")</f>
        <v>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PEWLFVASYYMAYFNSCLNAIIYGLL</v>
      </c>
      <c r="Q17" s="4" t="str">
        <f t="shared" si="12"/>
        <v>NQNFRKEYRRIIVSLCT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273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315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25</v>
      </c>
      <c r="BA17" s="4">
        <f t="shared" si="24"/>
        <v>16</v>
      </c>
    </row>
    <row r="18" spans="1:53" x14ac:dyDescent="0.2">
      <c r="A18" s="1" t="str">
        <f>'SegEnds_NonXtal_Prot#'!A200</f>
        <v>opn4_human</v>
      </c>
      <c r="B18" s="1" t="str">
        <f t="shared" si="0"/>
        <v>PDHAHYTLGTVILLVGLTGMLGNLTVIYTFCRSTPANMFIINLAVSDFLMSFTQAPVFFTSSLYKGETGCEFYAFCGALFGISSMITLTAIALDRYLVITRSKRRAAFVLLGVWLYALAWSLPPFFAVRAYTMLLCCFVFFLPLLIIIYCYIFIFRAIRETGRALQTLWQRQRLQSECKMAKIMLLVILLFVLSWAPYSAVALVAFAGTPYMSSVPAVIAKASAIHNPIIYAITHPKYRVAIAQHLP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PDHAHYTLGTVILLVGLTGMLGNLTVIYTFCRS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66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32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'SegEnds_NonXtal_Prot#'!A248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'SegEnds_NonXtal_Prot#'!A254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'SegEnds_NonXtal_Prot#'!A265</f>
        <v>ackr3_human</v>
      </c>
      <c r="B27" s="1" t="str">
        <f t="shared" si="0"/>
        <v>SVLLYTLSFIYIFIFVIGMIANSVVVWVNIQAYDTHCYILNLAIADLWVVLTIPVWVVSLVQGELTCKVTHLIFSINLFGSIFFLTCMSVDRYLSITYKKMVRRVVCILVWLLAFCVSLPDTYYLEWLIGMELVSVVLGFAVPFSIIAVFYFLLARAISASKHSSRKIIFSYVVVFLVCWLPYHVAVLLDIFSILHTCRLEHALFTALHVTQCLSLVHCCVNPVLYSFINRNYRYELMKAFI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EWLIGMELVSVVLGFAVPFSIIAVFYFLLARAISAS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</v>
      </c>
      <c r="R27" s="5">
        <f>VLOOKUP($A27,'SegEnds_NonXtal_Prot#'!$A:$AL,3,FALSE)</f>
        <v>41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207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331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35</v>
      </c>
      <c r="AY27" s="4">
        <f t="shared" si="22"/>
        <v>34</v>
      </c>
      <c r="AZ27" s="4">
        <f t="shared" si="23"/>
        <v>32</v>
      </c>
      <c r="BA27" s="4">
        <f t="shared" si="24"/>
        <v>12</v>
      </c>
    </row>
    <row r="28" spans="1:53" x14ac:dyDescent="0.2">
      <c r="A28" s="1" t="str">
        <f>'SegEnds_NonXtal_Prot#'!A279</f>
        <v>gpr75_human</v>
      </c>
      <c r="B28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DLIHTATLVTCTFLLAVIFCLGSYGNFIVFLSFFDP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SFPCTVLLTLLLWATSFTLATLATLKT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</v>
      </c>
      <c r="Q28" s="4" t="str">
        <f t="shared" si="12"/>
        <v>SAGLRRKVLWCLQ</v>
      </c>
      <c r="R28" s="5">
        <f>VLOOKUP($A28,'SegEnds_NonXtal_Prot#'!$A:$AL,3,FALSE)</f>
        <v>35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183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378</v>
      </c>
      <c r="AO28" s="5">
        <f>VLOOKUP($A28,'SegEnds_NonXtal_Prot#'!$A:$AL,38,FALSE)</f>
        <v>392</v>
      </c>
      <c r="AP28" s="5">
        <f t="shared" si="13"/>
        <v>35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26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24</v>
      </c>
      <c r="BA28" s="4">
        <f t="shared" si="24"/>
        <v>12</v>
      </c>
    </row>
    <row r="29" spans="1:53" x14ac:dyDescent="0.2">
      <c r="A29" s="1" t="str">
        <f>'SegEnds_NonXtal_Prot#'!A296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'SegEnds_NonXtal_Prot#'!A322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'SegEnds_NonXtal_Prot#'!A328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'SegEnds_NonXtal_Prot#'!A348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'SegEnds_NonXtal_Prot#'!A359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'SegEnds_NonXtal_Prot#'!A367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'SegEnds_NonXtal_Prot#'!A371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'SegEnds_NonXtal_Prot#'!A389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'SegEnds_NonXtal_Prot#'!A398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'SegEnds_NonXtal_Prot#'!A404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EVATASIFFGILWLFSIFGNSLVCLVIHRSSTTNYFVVSMACADLLISVASTPFVLLQFTTGGSATCKVVRYFQYLTPGVQIYVLLSICIDRFYTIVYSREKAKKMIAASWVFDAGFVTPVLFFYWEGTAYTVIHFLVGFVIPSVLIILFYQKVIKYIWRIGTDGRTMNIVPRTKVKTIKMFLILNLLFLLSWLPFHVAQLWHPHESSLVFTAITWISFSSSASKPTLYSIYNANFRRGMKETFCMSSM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NANFRRGMKETFCMSSM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350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16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EWVLIAAYVAVFVVALVGNTLVCLAVWRNTVTNYFIVNLSLADVLVTAICLPASLLVDITEGHALCKVIPYLQAVSVSVAVLTLSFIALDRWYAICHTARRARGSILGIWAVSLAIMVPQAAVMLYPKIYHSCFFIVTYLAPLGLMAMAYFQIFRKLWGRQIPFLAEVKQMRARRKTAKMLMVVLLVFALCYLPISVLNVLKRVFREAVYACFTFSHWLVYANSAANPIIYNFLSGKFREQFKAAFSCCLP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TVTNYFIVNLSLADVLVTAICLPASLLVDITE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SGKFREQFKAAFSCCLP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210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110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378</v>
      </c>
      <c r="AP42" s="5">
        <f t="shared" si="13"/>
        <v>28</v>
      </c>
      <c r="AQ42" s="4">
        <f t="shared" si="14"/>
        <v>3</v>
      </c>
      <c r="AR42" s="4">
        <f t="shared" si="15"/>
        <v>31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38</v>
      </c>
      <c r="AY42" s="4">
        <f t="shared" si="22"/>
        <v>41</v>
      </c>
      <c r="AZ42" s="4">
        <f t="shared" si="23"/>
        <v>28</v>
      </c>
      <c r="BA42" s="4">
        <f t="shared" si="24"/>
        <v>16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YEWVLIAGYIIVFVVALIGNVLVCVAVWKNTVTNYFIVNLSLADVLVTITCLPATLVVDITEGQSLCKVIPYLQTVSVSVSVLTLSCIALDRWYAICHTAKRARNSIVIIWIVSCIIMIPQAIVMIYPKMYHICFFLVTYMAPLCLMVLAYLQIFRKLWCRQIPVAAEIKQIRARRKTARMLMIVLLVFAICYLPISILNVLKRVFDRETVYAWFTFSHWLVYANSAANPIIYNFLSGKFREEFKAAFSCCCL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SGKFREEFKAAFSCCCL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384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16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LKGLIVLLYSVVVVVGLVGNCLLVLVIARVNVTNFLIGNLALSDVLMCTACVPLTLAYAFEPGGGLCHLVFFLQPVTVYVSVFTLTTIAVDRYVVLVHSLRLSAYAVLAIWALSAVLALPAAVHTRQRQLYAWGLLLVTYLLPLLVILLSYVRVSVKLRNRVVPGCQADWDRARRRRTFCLLVVIVVVFAVCWLPLHVFNLLRDLDDPYAFGLVQLLCHWLAMSSACYNPFIYAWLHDSFREELRKLLVAWPR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HDSFREELRKLLVAWPR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355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16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TLNKYVVIIAYALVFLLSLLGNSLVMLVILYSSVTDVYLLNLALADLLFALTLPIWAASKVNGTFLCKVVSLLKEVNFYSGILLLACISVDRYLAIVHKRHLVKFVCLGCWGLSMNLSLPFFLFRKWRMVLRILPHTFGFIVPLFVMLFCYGFTLRTLFKAKHRAMRVIFAVVLIFLLCWLPYNLVLLADTLMRTQSCERRNNIGRALDATEILGFLHSCLNPIIYAFIGQNFRHGFLKILA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GQNFRHGFLKILA</v>
      </c>
      <c r="R46" s="5">
        <f>VLOOKUP($A46,'SegEnds_NonXtal_Prot#'!$A:$AL,3,FALSE)</f>
        <v>36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197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321</v>
      </c>
      <c r="AP46" s="5">
        <f t="shared" si="13"/>
        <v>31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35</v>
      </c>
      <c r="AY46" s="4">
        <f t="shared" si="22"/>
        <v>34</v>
      </c>
      <c r="AZ46" s="4">
        <f t="shared" si="23"/>
        <v>32</v>
      </c>
      <c r="BA46" s="4">
        <f t="shared" si="24"/>
        <v>12</v>
      </c>
    </row>
    <row r="47" spans="1:53" x14ac:dyDescent="0.2">
      <c r="A47" s="1" t="str">
        <f>'SegEnds_NonXtal_Prot#'!A11</f>
        <v>cxcr2_human</v>
      </c>
      <c r="B47" s="1" t="str">
        <f t="shared" si="0"/>
        <v>EINKYFVVIIYALVFLLSLLGNSLVMLVILYSSVTDVYLLNLALADLLFALTLPIWAASKVNGTFLCKVVSLLKEVNFYSGILLLACISVDRYLAIVHKRYLVKFICLSIWGLSLLLALPVLLFRNWRMLLRILPQSFGFIVPLLIMLFCYGFTLRTLFKAKHRAMRVIFAVVLIFLLCWLPYNLVLLADTLMRTQTCERRNHIDRALDATEILGILHSCLNPLIYAFIGQKFRHGLLKILA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</v>
      </c>
      <c r="R47" s="5">
        <f>VLOOKUP($A47,'SegEnds_NonXtal_Prot#'!$A:$AL,3,FALSE)</f>
        <v>45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330</v>
      </c>
      <c r="AP47" s="5">
        <f t="shared" si="13"/>
        <v>31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12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VWAFYLQAAFMGTVFLIGFPLNAMVLVATLRYQPLNYILVNVSFGGFLLCIFSVFPVFVASCNGRHVCALEGFLGTVAGLVTGWSLAFLAFERYIVICKSSKHALTVVLATWTIGIGVSIPPFFRSESYTWFLFIFCFIVPLSLICFSYTQLLRALKAVAAQQSATTQKAEREVSRMVVVMVGSFCVCYVPYAAFAMYMVNNDLRLVTIPSFFSKSACIYNPIIYCFMNKQFQACIMKMVC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SATTQKAEREVSRMVVVMVGSFCVCYVPYAAFAMYMVNN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237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38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EPWQFSMLAAYMFLLIMLGFPINFLTLYVTVQHTPLNYILLNLAVADLFMVFGGFTTTLYTSLHGPTGCNLEGFFATLGGEIALWSLVVLAIERYVVVCKGENHAIMGVAFTWVMALACAAPPLVNNESFVIYMFVVHFIIPLIVIFFCYGQLVFTVKEAAAQQSATTQKAEKEVTRMVIIMVIAFLICWLPYAGVAFYIFTHGPIFMTIPAFFAKTSAVYNPVIYIMMNKQFRNCMVTTLC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SATTQKAEKEVTRMVIIMVIAFLICWLPYAGVAFYIFTH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240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38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PWQFSMLAAYMFLLIVLGFPINFLTLYVTVQHTPLNYILLNLAVADLFMVLGGFTSTLYTSLHGPTGCNLEGFFATLGGEIALWSLVVLAIERYVVVCKGENHAIMGVAFTWVMALACAAPPLANNESFVIYMFVVHFTIPMIIIFFCYGQLVFTVKEAAAQQSATTQKAEKEVTRMVIIMVIAFLICWVPYASVAFYIFTHGPIFMTIPAFFAKSAAIYNPVIYIMMNKQFRNCMLTTIC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SATTQKAEKEVTRMVIIMVIAFLICWVPYASVAFYIFTH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240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38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RWVYHLTSVWMIFVVIASVFTNGLVLAATMKFHPLNWILVNLAVADLAETVIASTISVVNQVYGHPMCVLEGYTVSLCGITGLWSLAIISWERWMVVCKDAKLAIVGIAFSWIWAAVWTAPPIFGVQSYMIVLMVTCCITPLSIIVLCYLQVWLAIRAVAKQQSESTQKAEKEVTRMVVVMVLAFCFCWGPYAFFACFAAANHPLMAALPAFFAKSATIYNPVIYVFMNRQFRNCILQLFG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SESTQKAEKEVTRMVVVMVLAFCFCWGPYAFFACFAAAN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256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38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RWVYHLTSVWMIFVVTASVFTNGLVLAATMKFHPLNWILVNLAVADLAETVIASTISIVNQVSLGHPMCVLEGYTVSLCGITGLWSLAIISWERWLVVCKDAKLAIVGIAFSWIWSAVWTAPPIFGVQSYMIVLMVTCCIIPLAIIMLCYLQVWLAIRAVAKQQSESTQKAEKEVTRMVVVMIFAYCVCWGPYTFFACFAAANHPLMAALPAYFAKSATIYNPVIYVFMNRQFRNCILQLFG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SESTQKAEKEVTRMVVVMIFAYCVCWGPYTFFACFAAAN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256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38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LLASIIQRVFVWVVSAVTCFGNIFVICMRPYIKLYAMSIISLCCADCLMGIYLFVIGGFDLKFLWMESTHCQLVGSLAILSTEVSVLLLTFLTLEKYICIVYGKCRTITVLILIWITGFIVAFIPLSNAQIYSVAIFLGINLAAFIIIVFSYGSMFYSVHQSAITAIRNQVKKEMILAKRFFFIVFTDALCWIPIFVVKFLSLLQGTITSWVVIFILPINSALNPILYTLTTRPFKEMIHRFWYNYRQRKSMDS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IRNQVKKEMILAKRFFFIVFTDALCWIPIFVVKFLSLLQ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616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38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LLANNILRIFVWVIAFITCFGNLFVIGMRSFITTHAMSIKILCCADCLMGVYLFFVGIFDIKYLWMESVQCRLMGFLAMLSTEVSVLLLTYLTLEKFLVIVFGKRQTSVILICIWMAGFLIAVIPFWNSKGYSLGIFLGVNLLAFLIIVFSYITMFCSIQKTALQTVRNCFGREVAVANRFFFIVFSDAICWIPVFVVKILSLFRDTMTSWIVIFFLPVNSALNPILYTLTTNFFKDKLKQLLHKHQRKSIFKI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VRNCFGREVAVANRFFFIVFSDAICWIPVFVVKILSLFR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626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38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LAKLEIAVLAVTFAVAVLGNSSVLLALHRTSRMHLFIRHLSLADLAVAFFQVLPQMCWDIRGPDWLCRVVKHLQVFGMFASAYMLVVMTADRYIAVCHPARRSRLMIAAAWVLSFVLSTPQYFVFWGSRAYVTWMTGGIFVAPVVILGTCYGFICYNIWCNVRGKTASRKSISRAKIRTVKMTFVIVTAYIVCWAPFFIIQMWSVWDWTESENPTITITALLGSLNSCCNPWIYMFFSGHLLQDCVQSFPCCQN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SGHLLQDCVQSFPCCQN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368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16</v>
      </c>
    </row>
    <row r="68" spans="1:53" x14ac:dyDescent="0.2">
      <c r="A68" s="1" t="str">
        <f>'SegEnds_NonXtal_Prot#'!A37</f>
        <v>v1br_human</v>
      </c>
      <c r="B68" s="1" t="str">
        <f t="shared" si="25"/>
        <v>DEELAKVEIGVLATVLVLATGGNLAVLLTLGQLSRMHLFVLHLALTDLAVALFQVLPQLLWDIQGPDLLCRAVKYLQVLSMFASTYMLLAMTLDRYLAVCHPGQSTYLLIAAPWLLAAIFSLPQVFIFFPWGPRAYLTWTTLAIFVLPVTMLTACYSLICHEICKNLKVKTQAWNTISRAKIRTVKMTFVIVLAYIACWAPFFSVQMWSVWDNAPDEDSTNVAFTISMLLGNLNSCCNPWIYMGFNSHLLPRPLRHLACCG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DEELAKVEIGVLATVLVLATGGNLAVLLTLGQL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FPWGPRAYLTWTTLAIFVLPVTMLTACYSLICHEICKNLKVKTQAW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NSHLLPRPLRHLACCG</v>
      </c>
      <c r="R68" s="5">
        <f>VLOOKUP($A68,'SegEnds_NonXtal_Prot#'!$A:$AL,3,FALSE)</f>
        <v>30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192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357</v>
      </c>
      <c r="AP68" s="5">
        <f t="shared" si="38"/>
        <v>32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45</v>
      </c>
      <c r="AY68" s="4">
        <f t="shared" si="47"/>
        <v>37</v>
      </c>
      <c r="AZ68" s="4">
        <f t="shared" si="48"/>
        <v>32</v>
      </c>
      <c r="BA68" s="4">
        <f t="shared" si="49"/>
        <v>15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TVWQVVFIAFLTGILALVTIIGNILVIVSFKVNTVNNYFLLSLACADLIIGVISMNLFTTYIIMGNLACDLWLAIDYVASNASVMNLLVISFDRYFSITRTTKRAGVMIGLAWVISFVLWAPAILFWQYFVGEPTITFGTAIAAFYMPVTIMTILYWRIYKETEKRTKELAGLRMSLVKEKKAAQTLSAILLAFIITWTPYNIMVLVNTFCPKTFWNLGYWLCYINSTVNPVCYALCNKTFRTTFKMLLLC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TVWQVVFIAFLTGILALVTIIGNILVIVSFKVN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NKTFRTTFKMLLLC</v>
      </c>
      <c r="R86" s="5">
        <f>VLOOKUP($A86,'SegEnds_NonXtal_Prot#'!$A:$AL,3,FALSE)</f>
        <v>64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561</v>
      </c>
      <c r="AP86" s="5">
        <f t="shared" si="38"/>
        <v>32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13</v>
      </c>
    </row>
    <row r="87" spans="1:53" x14ac:dyDescent="0.2">
      <c r="A87" s="1" t="str">
        <f>'SegEnds_NonXtal_Prot#'!A58</f>
        <v>acm3_rat</v>
      </c>
      <c r="B87" s="1" t="str">
        <f t="shared" si="25"/>
        <v>TIWQVVFIAFLTGFLALVTIIGNILVIVAFKVNTVNNYFLLSLACADLIIGVISMNLFTTYIIMGNLACDLWLSIDYVASNASVMNLLVISFDRYFSITRTTKRAGVMIGLAWVISFVLWAPAILFWQYFVGEPTITFGTAIAAFYMPVTIMTILYWRIYKETEKRTKELAGLRMSLIKEKKAAQTLSAILLAFIITWTPYNIMVLVNTFCPKTYWNLGYWLCYINSTVNPVCYALCNKTFRTTFKTLLLC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TIWQVVFIAFLTGFLALVTIIGNILVIVAFKVN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NKTFRTTFKTLLLC</v>
      </c>
      <c r="R87" s="5">
        <f>VLOOKUP($A87,'SegEnds_NonXtal_Prot#'!$A:$AL,3,FALSE)</f>
        <v>63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560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13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RLWEVITIAAVTAVVSLITIVGNVLVMISFKVNTVNNYYLLSLACADLIIGIFSMNLYTTYILMGGSLACDLWLALDYVASNASVMNLLVISFDRYFSITRTPKRAGIMIGLAWLISFILWAPAILCWQYLVGEPTITFGTAIAAFYIPVSVMTILYCRIYRETEKRTKDLADLRVVLVKERKAAQTLSAILLAFIITWTPYNIMVLVSTFCPVTLWHLGYWLCYVNSTVNPICYALCNRTFRKTFKMLLL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RLWEVITIAAVTAVVSLITIVGNVLVMISFKVN</v>
      </c>
      <c r="G89" s="4" t="str">
        <f t="shared" si="27"/>
        <v>SQLK</v>
      </c>
      <c r="H89" s="4" t="str">
        <f t="shared" si="28"/>
        <v>TVNNYYLLSLACADLIIGIFSMNLYTTYILMG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NRTFRKTFKMLLL</v>
      </c>
      <c r="R89" s="5">
        <f>VLOOKUP($A89,'SegEnds_NonXtal_Prot#'!$A:$AL,3,FALSE)</f>
        <v>26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94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511</v>
      </c>
      <c r="AP89" s="5">
        <f t="shared" si="38"/>
        <v>32</v>
      </c>
      <c r="AQ89" s="4">
        <f t="shared" si="39"/>
        <v>3</v>
      </c>
      <c r="AR89" s="4">
        <f t="shared" si="40"/>
        <v>31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12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PAVQILLYSLIFLLSVLGNTLVITVLIRNTVTNIFLLSLAVSDLMLCLFCMPFNLIPNLLKGSAVCKTTTYFMGTSVSVSTFNLVAISLERYGAICKTKSHALKVIAATWCLSFTIMTPYPIYSVMQQSWHTFLLLILFLIPGIVMMVAYGLISLELYQGIKFEASAANLMAKKRVIRMLIVIVVLFFLCWMPIFSANAWRAYDERRLSGTPISFILLLSYTSSCVNPIIYCFMNKRFRLGFMATFPCCPN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TVTNIFLLSLAVSDLMLCLFCMPFNLIPNLLK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VMQQSWHTFLLLILFLIPGIVMMVAYGLISLELYQGIKFEAS</v>
      </c>
      <c r="O109" s="4" t="str">
        <f t="shared" si="35"/>
        <v>AANLMAKKRVIRMLIVIVVLFFLCWMPIFSANAWRAYD</v>
      </c>
      <c r="P109" s="4" t="str">
        <f t="shared" si="36"/>
        <v>ERRLSGTPISFILLLSYTSSCVNPIIYCFM</v>
      </c>
      <c r="Q109" s="4" t="str">
        <f t="shared" si="37"/>
        <v>NKRFRLGFMATFPCCPN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204</v>
      </c>
      <c r="AA109" s="5">
        <f>VLOOKUP($A109,'SegEnds_NonXtal_Prot#'!$A:$AL,30,FALSE)</f>
        <v>302</v>
      </c>
      <c r="AB109" s="5">
        <f>VLOOKUP($A109,'SegEnds_NonXtal_Prot#'!$A:$AL,33,FALSE)</f>
        <v>344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105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390</v>
      </c>
      <c r="AP109" s="5">
        <f t="shared" si="38"/>
        <v>28</v>
      </c>
      <c r="AQ109" s="4">
        <f t="shared" si="39"/>
        <v>3</v>
      </c>
      <c r="AR109" s="4">
        <f t="shared" si="40"/>
        <v>31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41</v>
      </c>
      <c r="AY109" s="4">
        <f t="shared" si="47"/>
        <v>37</v>
      </c>
      <c r="AZ109" s="4">
        <f t="shared" si="48"/>
        <v>29</v>
      </c>
      <c r="BA109" s="4">
        <f t="shared" si="49"/>
        <v>16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SATCHDTIDDFRNQVYSTLYSMISVVGFFGNGFVLYVLIKTSAFQVYMINLAVADLLCVCTLPLRVVYYVHKGDFLCRLSTYALYVNLYCSIFFMTAMSFFRCIAIVFTQKKARFVCVGIWIFVILTSSPFLMADNQTKNHVLVLHYVSLFVGFIIPFVIIIVCYTMIILTLLKNLSSHKKAIGMIMVVTAAFLVSFMPYHIQRTIHLHFLHNPCDSVLRMQKSVVITLSLAASNCCFDPLLYFFSGGNFRKRLSTFRK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SATCHDTIDDFRNQVYSTLYSMISVVGFFGNGFVLYVLIKT</v>
      </c>
      <c r="G116" s="4" t="str">
        <f t="shared" si="27"/>
        <v/>
      </c>
      <c r="H116" s="4" t="str">
        <f t="shared" si="28"/>
        <v>SAFQVYMINLAVADLLCVCTLPLRVVYYVHK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</v>
      </c>
      <c r="M116" s="4" t="str">
        <f t="shared" si="33"/>
        <v>CFE</v>
      </c>
      <c r="N116" s="4" t="str">
        <f t="shared" si="34"/>
        <v>DNQTKNHVLVLHYVSLFVGFIIPFVIIIVCYTMIILTLLK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11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179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86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161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40</v>
      </c>
      <c r="AQ116" s="4" t="str">
        <f t="shared" si="39"/>
        <v>-</v>
      </c>
      <c r="AR116" s="4">
        <f t="shared" si="40"/>
        <v>30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25</v>
      </c>
      <c r="AW116" s="4">
        <f t="shared" si="45"/>
        <v>2</v>
      </c>
      <c r="AX116" s="4">
        <f t="shared" si="46"/>
        <v>39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CTIENFKREFFPIVYLIIFFWGVLGNGLSIYVFLQPTSVNVFMLNLAISDLLFISTLPFRADYYLRGGDLACRIMSYSLYVNMYSSIYFLTVLSVVRFLAMVHSIRSAWILCGIIWILIMASSIMLLDSIAKLQTMNYIALVVGCLLPFFTLSICYLLIIRVLLKVSGLRVSHRKALTTIIITLIIFFLCFLPYHTLRTVHLTTWKDRLHKALVITLALAAANACFNPLLYYFAGENFKDRLKSALRK</v>
      </c>
      <c r="C117" s="29" t="str">
        <f>IF(ISERROR(MATCH(A117,'SegEnds_Xtal_Prot#'!B:B, 0)), "NoXtal", "Xtal")</f>
        <v>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CTIENFKREFFPIVYLIIFFWGVLGNGLSIYVFLQP</v>
      </c>
      <c r="G117" s="4" t="str">
        <f t="shared" si="27"/>
        <v/>
      </c>
      <c r="H117" s="4" t="str">
        <f t="shared" si="28"/>
        <v>TSVNVFMLNLAISDLLFISTLPFRADYYLRG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SGLRVSHRKALTTIIITLIIFFLCFLPYHTLRTVHLTTW</v>
      </c>
      <c r="P117" s="4" t="str">
        <f t="shared" si="36"/>
        <v>KDRLHKALVITLALAAANACFNPLLYYFA</v>
      </c>
      <c r="Q117" s="4" t="str">
        <f t="shared" si="37"/>
        <v>GENFKDRLKSALRK</v>
      </c>
      <c r="R117" s="5">
        <f>VLOOKUP($A117,'SegEnds_NonXtal_Prot#'!$A:$AL,3,FALSE)</f>
        <v>31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101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176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274</v>
      </c>
      <c r="AN117" s="5">
        <f>VLOOKUP($A117,'SegEnds_NonXtal_Prot#'!$A:$AL,35,FALSE)</f>
        <v>308</v>
      </c>
      <c r="AO117" s="5">
        <f>VLOOKUP($A117,'SegEnds_NonXtal_Prot#'!$A:$AL,38,FALSE)</f>
        <v>322</v>
      </c>
      <c r="AP117" s="5">
        <f t="shared" si="38"/>
        <v>35</v>
      </c>
      <c r="AQ117" s="4" t="str">
        <f t="shared" si="39"/>
        <v>-</v>
      </c>
      <c r="AR117" s="4">
        <f t="shared" si="40"/>
        <v>30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36</v>
      </c>
      <c r="AY117" s="4">
        <f t="shared" si="47"/>
        <v>38</v>
      </c>
      <c r="AZ117" s="4">
        <f t="shared" si="48"/>
        <v>28</v>
      </c>
      <c r="BA117" s="4">
        <f t="shared" si="49"/>
        <v>13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NFDRAFLPALYSLLFLLGLLGNGAVAAVLLSRSSTDTFLLHLAVADTLLVLTLPLWAVDAAVGSGLCKVAGALFNINFYAGALLLACISFDRYLNIVHPPARVTLTCLAVWGLCLLFALPDFIFLVGRTALRVLQLVAGFLLPLLVMAYCYAHILAVLLVSRLRAMRLVVVVVVAFALCWTPYHLVVLVDILMDLGNCGRESRVDVAKSVTSGLGYMHCCLNPLLYAFVGVKFRERMWMLLL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50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210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31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35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SFKAVFVPVAYSLIFLLGVIGNVLVLVILERHSSTETFLFHLAVADLLLVFILPFAVAEGSVGTFLCKTVIALHKVNFYCSSLLLACIAVDRYLAIVHRLLSIHITCGTIWLVGFLLALPEILFAHAWFTSRFLYHVAGFLLPMLVMGWCYVGVVHRLRQAPQRQKAVRVAILVTSIFFLCWSPYHIVIFLDTLARLKTCKLNGSLPVAITMCEFLGLAHCCLNPMLYTFAGVKFRSDLSRLLT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48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213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31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35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LAAVETTVLVLIFAVSLLGNVCALVLVARRGATACLVLNLFCADLLFISAIPLVLAVRWTGPVACHLLFYVMTLSGSVTILTLAAVSLERMVCIVHGRRARAVLLALIWGYSAVAALPLCVFFPGEISWDVSFVTLNFLVPGLVIVISYSKILQTSEHLLDARAVVTIRVSQQDFRLFRTLFLLMVSFFIMWSPIIITILLILIQDLVIWPSLFFWVVAFTFANSALNPILYNMTLCRNEWKKIFCCFWFPE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LCRNEWKKIFCCFWFPE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357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16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PEAVIVPLLFALIFLVGTVGNTLVLAVLLRGSTTNLFILNLGVADLCFILCCVPFQATIYTLGSLLCKAVHFLIFLTMHASSFTLAAVSLDRYLAIRYTPRNALAAIGLIWGLSLLFSGPYLSYYWSAPRRRAMDICTFVFSYLLPVLVLGLTYARTLRYLWRAVDPVGSGARRAKRKVTRMILIVAALFCLCWMPHHALILCVWFGTRATYALRILSHLVSYANSCVNPIVYALVSKHFRKGFRTICA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GSGARRAKRKVTRMILIVAALFCLCWMPHHALILCVWFG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224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38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PAPLLAGVTATCVALFVVGIAGNLLTMLVVSRFTTTNLYLSSMAFSDLLIFLCMPLDLVRLWQYGDLLCKLFQFVSESCTYATVLTITALSVERYFAICFTKGRVKLVIFVIWAVAFCSAGPIFVLVVRSGLLTVMVWVSSIFFFLPVFCLTVLYSLIGRKLWRRRRGDSLRDQNHKQTVKMLAVVVFAFILCWLPFHVGRYLFSKSAQISQYCNLVSFVLFYLSAAINPILYNIMSKKYRVAVFRLLGFEP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PAPLLAGVTATCVALFVVGIAGNLLTMLVVSRF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VRSGLLTVMVWVSSIFFFLPVFCLTVLYSLIGRKLWRRRRGD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SKKYRVAVFRLLGFEP</v>
      </c>
      <c r="R142" s="5">
        <f>VLOOKUP($A142,'SegEnds_NonXtal_Prot#'!$A:$AL,3,FALSE)</f>
        <v>39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205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342</v>
      </c>
      <c r="AP142" s="5">
        <f t="shared" si="63"/>
        <v>32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15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GVSLCFTLNLAVADTLIGVAISGLLTDQLSRPTQKTLCSLRMAFVTSSAAASVLTVMLITFDRYLAIKQSGFVAGACIAGLWLVSYLIGFLPLGIPMFQFHPHFVLTLSCVGFFPAMLLFVFFYCDMLKIASMHSQQIRGYRSPRTPSDFKALRTVSVLIGSFALSWTPFLITGIVQVACYLVLERYLWLLGVGNSLLNPLIYAYWQKEVRLQLYHMALG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/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</v>
      </c>
      <c r="R144" s="5">
        <f>VLOOKUP($A144,'SegEnds_NonXtal_Prot#'!$A:$AL,3,FALSE)</f>
        <v>-1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147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296</v>
      </c>
      <c r="AP144" s="5">
        <f t="shared" si="63"/>
        <v>33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29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13</v>
      </c>
    </row>
    <row r="145" spans="1:53" x14ac:dyDescent="0.2">
      <c r="A145" s="1" t="str">
        <f>'SegEnds_NonXtal_Prot#'!A117</f>
        <v>gp141_human</v>
      </c>
      <c r="B145" s="1" t="str">
        <f t="shared" si="50"/>
        <v>DPIVTPHLISLYFIVLIGGLVGVISILFLLVKSVTTMAVINLVVVHSVFLLTVPFRLTYLIKGLPFCKFVSAMLHIHMYLTFLFYVVILVTRYLIFFKRKLHAVAASAGMWTLVIVIVVPLVVSRKIINYMIVIFVIAVAVILLVFQVFIIMLMVQKLRHSHQEFWAQLKNLFFIGVILVCFLPYQFFRIYYLNVCNSKVAFYNEIFLSVTAISCYDLLLFVFGSHWFKQKIIGLWN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DPIVTPHLISLYFIVLIGGLVGVISILFLLVK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RKLHAVAASAGMWTLVIVIVVPLVVSR</v>
      </c>
      <c r="M145" s="4" t="str">
        <f t="shared" si="58"/>
        <v>CFK</v>
      </c>
      <c r="N145" s="4" t="str">
        <f t="shared" si="59"/>
        <v>KIINYMIVIFVIAVAVILLVFQVFIIMLMVQKLRHS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13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179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154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31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35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RLPGSAVGWLVCGGLSLLANAWGILSVGAKKPLEFLLCTLAATHMLNVAVPIATYSVVQLRNEGLCKVFVSTFYTLTLATCFSVTSLSYHRMWMVCWAKKQAVHTVMGIWMVSFILSALPAVGGLGFGVCFLLLVGGSVAMGVICTAIALFQTLAVQVGRQADRREPAKTSLQTTGLVTTIVFIYDCLMGFPVLVVSFSSLRAPWMALCVLWCSVAQALLLPVFLWACDRYRADLKAVREKCMA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CDRYRADLKAVREKCMA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316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16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HQQYVIGLFLSCLYTIFLFPIGFVGNILILVVNISFTIPDLYFINLAVADLILVADSLIEVFNLHEAVLCTFMSLFLQVNMYSSVFFLTWMSFDRYIALARTKHHARLSCGLIWMASVSATLVPFTADVREVQWLEVTLGFIVPFAIIGLCYSLIVRVLVRARGLRPRRQKALRMILAVVLVFFVCWLPENVFISVHLLQRTQKQSFRHAHPLTGHIVNLAAFSNSCLNPLIYSFLGETFRDKLRLYIEQ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GETFRDKLRLYIEQ</v>
      </c>
      <c r="R152" s="5">
        <f>VLOOKUP($A152,'SegEnds_NonXtal_Prot#'!$A:$AL,3,FALSE)</f>
        <v>52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195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341</v>
      </c>
      <c r="AP152" s="5">
        <f t="shared" si="63"/>
        <v>35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25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13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GQETPLENMLFASFYLLDFILALVGNTLALWLFIRDTPANVFLMHLAVADLSCVLVLPTRLVYHFSGGEIACRLTGFLFYLNMYASIYFLTCISADRFLAIVHRPLYAHLACAFLWVVVAVAMAPLLVSYREKASHHALVSLAVAFTFPFITTVTCYLLIIRSLRQEKRLKTKAVRMIAIVLAIFLVCFVPYHVNRSVYVLHYRSSCATQRILALANRITSCLTSLNGALDPIMYFFVAEKFRHALCNLLCG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GQETPLENMLFASFYLLDFILALVGNTLALWLFIRD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</v>
      </c>
      <c r="M156" s="4" t="str">
        <f t="shared" si="58"/>
        <v>CLQ</v>
      </c>
      <c r="N156" s="4" t="str">
        <f t="shared" si="59"/>
        <v>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</v>
      </c>
      <c r="R156" s="5">
        <f>VLOOKUP($A156,'SegEnds_NonXtal_Prot#'!$A:$AL,3,FALSE)</f>
        <v>52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213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197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342</v>
      </c>
      <c r="AP156" s="5">
        <f t="shared" si="63"/>
        <v>35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25</v>
      </c>
      <c r="AW156" s="4">
        <f t="shared" si="70"/>
        <v>2</v>
      </c>
      <c r="AX156" s="4">
        <f t="shared" si="71"/>
        <v>36</v>
      </c>
      <c r="AY156" s="4">
        <f t="shared" si="72"/>
        <v>38</v>
      </c>
      <c r="AZ156" s="4">
        <f t="shared" si="73"/>
        <v>32</v>
      </c>
      <c r="BA156" s="4">
        <f t="shared" si="74"/>
        <v>13</v>
      </c>
    </row>
    <row r="157" spans="1:53" x14ac:dyDescent="0.2">
      <c r="A157" s="1" t="str">
        <f>'SegEnds_NonXtal_Prot#'!A132</f>
        <v>gpr18_human</v>
      </c>
      <c r="B157" s="1" t="str">
        <f t="shared" si="50"/>
        <v>DEYKIAALVFYSCIFIIGLFVNITALWVFSCTTTVTIYMMNVALVDLIFIMTLPFRMFYYAKGEYFCQILGALTVFYPSIALWLLAFISADRYMAIVQNTCKAVLACVGVWIMTLTTTTPLLLLYKAVNVLNLTRLTFFFLIPLFIMIGCYLVIIHNLLHGKLKPKVKEKSIRIIITLLVQVLVCFMPFHICFAFLMLGYNPWGAFTTFLMNLSTCLDVILYYIVSKQFQARVISVML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DEYKIAALVFYSCIFIIGLFVNITALWVFSCT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19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182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31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35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ETVNFCLLEVLIIVFLTVLIISGNIIVIFVFHCAHHTTSYFIQTMAYADLFVGVSCVVPSLSLLHPVEESLTCQIFGFVVSVLKSVSMASLACISIDRYIAITKTPWRLRLCIFLIWLYSTLVFLPSFFHWGKPTDSYFTLFIVMMLYAPAALIVCFTYFNIFRICQQHTKDISETGEVQACPDKRYAMVLFRITSVFYILWLPYIIYFLLESSTRFASFLTTWLAISNSFCNCVIYSLSNSVFQRGLKRLSGA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ETVNFCLLEVLIIVFLTVLIISGNIIVIFVFHCA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23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33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PMDEKLLSTVLTTSYSVIFIVGLVGNIIALYVFLGINSIQIYLLNVAIADLLLIFCLPFRIMYHINQGVILCKVVGTLFYMNMYISIILLGFISLDRYIKINRTTKQSIYVCCIVWMLALGGFLTMIILNAKGEAIFNFILVVMFWLIFLLIILSYIKIGKNLLRIKFPNSGKYATTARNSFIVLIIFTICFVPYHAFRFIYISSSCYWKEIVHKTNEIMLVLSSFNSCLDPVMYFLMSSNIRKIMCQLLFR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PMDEKLLSTVLTTSYSVIFIVGLVGNIIALYVFLGI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NAKGEAIFNFILVVMFWLIFLLIILSYIKIGKNLLRI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</v>
      </c>
      <c r="Q166" s="4" t="str">
        <f t="shared" si="62"/>
        <v>SSNIRKIMCQLLFR</v>
      </c>
      <c r="R166" s="5">
        <f>VLOOKUP($A166,'SegEnds_NonXtal_Prot#'!$A:$AL,3,FALSE)</f>
        <v>47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212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331</v>
      </c>
      <c r="AD166" s="5">
        <f>VLOOKUP($A166,'SegEnds_NonXtal_Prot#'!$A:$AL,5,FALSE)</f>
        <v>82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330</v>
      </c>
      <c r="AO166" s="5">
        <f>VLOOKUP($A166,'SegEnds_NonXtal_Prot#'!$A:$AL,38,FALSE)</f>
        <v>344</v>
      </c>
      <c r="AP166" s="5">
        <f t="shared" si="63"/>
        <v>35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36</v>
      </c>
      <c r="AY166" s="4">
        <f t="shared" si="72"/>
        <v>38</v>
      </c>
      <c r="AZ166" s="4">
        <f t="shared" si="73"/>
        <v>32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AIKLGFYAYLGVLLVLGLLLNSLALWVFCCRTETRIYMTNLAVADLCLLCTLPFVLHSLRDLCQLSQGIYLTNRYMSISLVTAIAVDRYVAVRHSPRQAAAVCAVLWVLVIGSLVARWLLGHNFNSMAFPLLGFYLPLAVVVFCSLKVVTALAQRVGQAEATRKAARMVWANLLVFVVCFLPLHVGLTVRLAVLETIRRALYITSKLSDANCCLDAICYYYMAKEFQEASALAVA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AKEFQEASALAVA</v>
      </c>
      <c r="R167" s="5">
        <f>VLOOKUP($A167,'SegEnds_NonXtal_Prot#'!$A:$AL,3,FALSE)</f>
        <v>18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292</v>
      </c>
      <c r="AP167" s="5">
        <f t="shared" si="63"/>
        <v>30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12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TWIKITLILVYLIIFVMGLLGNSATIRVTQVLKEVTDHMVSLACSDILVFLIGMPMEFYSIIWNTSSYTLSCKLHTFLFEACSYATLLHVLTLSFERYIAICHGPCQVKLLIGFVWVTSALVALPLLFAMRWTVFQSSIFGAFVVYLVVLLSVAFMCWNMMQVLMKSQKGSLEESRTARRQTIIFLRLIVVTLAVCWMPNQIRRIMAAAKTRSYFRAYMILLPFSETFFYLSSVINPLLYTVSSQQFRRVFVQVLCCRL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SQQFRRVFVQVLCCRL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363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15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SVALFFMLLLDLTAVAGNAAVMAVIAKTLRKFVFVFHLCLVDLLAALTLMPLAMLSSSALFGEVACRLYLFLSVCFVSLAILSVSAINVERYYYVVHTLGLVASVLVGVWVKALAMASVPVLGRVSWCQLFVVVFAVLYFLLPLLLILVVYCSMFRVARVAAMQHGPLPPHRTFGGGKAAVVLLAVGGQFLLCWLPYFSFHLYVALSTGQVESVVTWIGYFCFTSNPFFYGCLNRQIRGELSKQFVC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TLGLVASVLVGVWVKALAMASVPVLGRVSW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NRQIRGELSKQFVC</v>
      </c>
      <c r="R174" s="5">
        <f>VLOOKUP($A174,'SegEnds_NonXtal_Prot#'!$A:$AL,3,FALSE)</f>
        <v>43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184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358</v>
      </c>
      <c r="AP174" s="5">
        <f t="shared" si="63"/>
        <v>27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29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13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RIPVSLLYSGLAIGGTLANGMVIYLVSSFTTSNAFIVNGCAADLSVCALWMPQEAVLGLLPDGAGGSYRLLRGGLLGLGLTVSLLSHCLVALNRYLLITRQRRHTAGMLALSWALALGLVLLLPPWAVKRVSVLNFHLLHQLPGCAAAAAAFPGAQHAPGPGGAAHPPALHPRRAQRRLSGLSVLLLCCVFLLATQPLVWVSLASGFSWGVQAASWLLCCALSALNPLLYTWRNEEFRRSVRSVLPGVGD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TTSNAFIVNGCAADLSVCALWMPQEAVLGLLP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NEEFRRSVRSVLPGVGD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95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356</v>
      </c>
      <c r="AP180" s="5">
        <f t="shared" si="63"/>
        <v>28</v>
      </c>
      <c r="AQ180" s="4">
        <f t="shared" si="64"/>
        <v>3</v>
      </c>
      <c r="AR180" s="4">
        <f t="shared" si="65"/>
        <v>31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16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CPDYRPTHRLHLVVYSLVLAAGLPLNALALWVFLRASVVSVYMCNLAASDLLFTLSLPVRLSYYALPDLLCQTTGAIFQMNMYGSCIFLMLINVDRYAAIVHRPRVARLLCLGVWALILVFAVPAARVKGRLLPLVLLAEALGFLLPLAAVVYSSGRVFWTLARQSQRRRKTVRLLLANLVIFLLCFVPYNSTLAVYGLLRSKSVPARDRVRGVLMVMVLLAGANCVLDPLVYYFSAEGFRNTLRGLGTP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CPDYRPTHRLHLVVYSLVLAAGLPLNALALWVFLRA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RPRVARLLCLGVWALILVFAVPAARV</v>
      </c>
      <c r="M191" s="4" t="str">
        <f t="shared" si="58"/>
        <v>CFE</v>
      </c>
      <c r="N191" s="4" t="str">
        <f t="shared" si="59"/>
        <v>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</v>
      </c>
      <c r="R191" s="5">
        <f>VLOOKUP($A191,'SegEnds_NonXtal_Prot#'!$A:$AL,3,FALSE)</f>
        <v>15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185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159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314</v>
      </c>
      <c r="AP191" s="5">
        <f t="shared" si="63"/>
        <v>35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35</v>
      </c>
      <c r="AY191" s="4">
        <f t="shared" si="72"/>
        <v>38</v>
      </c>
      <c r="AZ191" s="4">
        <f t="shared" si="73"/>
        <v>32</v>
      </c>
      <c r="BA191" s="4">
        <f t="shared" si="74"/>
        <v>13</v>
      </c>
    </row>
    <row r="192" spans="1:53" x14ac:dyDescent="0.2">
      <c r="A192" s="1" t="str">
        <f>'SegEnds_NonXtal_Prot#'!A169</f>
        <v>lpar6_human</v>
      </c>
      <c r="B192" s="1" t="str">
        <f t="shared" si="50"/>
        <v>NSSHCFYNDSFKYTLYGCMFSMVFVLGLISNCVAIYIFICVNETTTYMINLAMSDLLFVFTLPFRIFYFTTGDLLCKISVMLFYTNMYGSILFLTCISVDRFLAIVYTKRNAKIVCTGVWLTVIGGSAPAVFVEATWKTYLSRIVIFIEIVGFFIPLILNVTCSSMVLKTLTKPSRSKINKTKVLKMIFVHLIIFCFCFVPYNINLILYSLVRTQNCSVVAAVRTMYPITLCIAVSNCCFDPIVYYFTSDTIQNSIKMKNW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NSSHCFYNDSFKYTLYGCMFSMVFVLGLISNCVAIYIFICV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EATWKTYLSRIVIFIEIVGFFIPLILNVTCSSMVLKTLTKP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</v>
      </c>
      <c r="Q192" s="4" t="str">
        <f t="shared" si="62"/>
        <v>SDTIQNSIKMKNW</v>
      </c>
      <c r="R192" s="5">
        <f>VLOOKUP($A192,'SegEnds_NonXtal_Prot#'!$A:$AL,3,FALSE)</f>
        <v>5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174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295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294</v>
      </c>
      <c r="AO192" s="5">
        <f>VLOOKUP($A192,'SegEnds_NonXtal_Prot#'!$A:$AL,38,FALSE)</f>
        <v>307</v>
      </c>
      <c r="AP192" s="5">
        <f t="shared" si="63"/>
        <v>40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40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EFISLLAIILLSVALAVGLPGNSFVVWSILKRSVTALMVLNLALADLAVLLTAPFFLHFLAQGLAGCRLCHYVCGVSMYASVLLITAMSLDRSLAVARTKAMARRVLAGIWVLSFLLATPVLAYRYPSEGHRAFHLIFEAVTGFLLPFLAVVASYSDIGRRLQARSRRTGRLVVLIILTFAAFWLPYHVVNLAEAGRALALGLVGKRLSLARNVLIALAFLSSSVNPVLYACAGGGLLRSAGVGFV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EFISLLAIILLSVALAVGLPGNSFVVWSILKR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</v>
      </c>
      <c r="R194" s="5">
        <f>VLOOKUP($A194,'SegEnds_NonXtal_Prot#'!$A:$AL,3,FALSE)</f>
        <v>15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301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12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PLGALVPVTAVCLCLFVVGVSGNVVTVMLIGRYTTTNLYLGSMAVSDLLILLGLPFDLYRLWRSGPLLCRLSLYVGEGCTYATLLHMTALSVERYLAICRTRRRVRALIAVLWAVALLSAGPFLFLVAQLGALRVMLWVTTAYFFLPFLCLSILYGLIGRELWSSRRPLSGRERGHRQTVRVLLVVVLAFIICWLPFHVGRIIYINTDSRMMYFSQYFNIVALQLFYLSASINPILYNLISKKYRAAAFKLLLARK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PLGALVPVTAVCLCLFVVGVSGNVVTVMLIGRY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AQLGALRVMLWVTTAYFFLPFLCLSILYGLIGRELWSSRRPL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SKKYRAAAFKLLLARK</v>
      </c>
      <c r="R209" s="5">
        <f>VLOOKUP($A209,'SegEnds_NonXtal_Prot#'!$A:$AL,3,FALSE)</f>
        <v>34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240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374</v>
      </c>
      <c r="AP209" s="5">
        <f t="shared" si="88"/>
        <v>32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41</v>
      </c>
      <c r="AY209" s="4">
        <f t="shared" si="97"/>
        <v>37</v>
      </c>
      <c r="AZ209" s="4">
        <f t="shared" si="98"/>
        <v>32</v>
      </c>
      <c r="BA209" s="4">
        <f t="shared" si="99"/>
        <v>15</v>
      </c>
    </row>
    <row r="210" spans="1:53" x14ac:dyDescent="0.2">
      <c r="A210" s="1" t="str">
        <f>'SegEnds_NonXtal_Prot#'!A191</f>
        <v>mtr1b_human</v>
      </c>
      <c r="B210" s="1" t="str">
        <f t="shared" si="75"/>
        <v>WVAPALSAVLIVTTAVDVVGNLLVILSVLRNNAGNLFLVSLALADLVVAFYPYPLILVAIFYDGEEHCKASAFVMGLSVIGSVFNITAIAINRYCYICHRRWHTPLHICLIWLLTVVALLPNFFVGSTQYTAAVVVIHFLLPIAVVSFCYLRIWVLVLQARRKALCLKPSDLRSFLTMFVVFVIFAICWAPLNCIGLAVAINPEGLFVTSYLLAYFNSCLNAIVYGLLNQNFRREYKRILLALWN</v>
      </c>
      <c r="C210" s="29" t="str">
        <f>IF(ISERROR(MATCH(A210,'SegEnds_Xtal_Prot#'!B:B, 0)), "NoXtal", "Xtal")</f>
        <v>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WVAPALSAVLIVTTAVDVVGNLLVILSVLRN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PEGLFVTSYLLAYFNSCLNAIVYGLL</v>
      </c>
      <c r="Q210" s="4" t="str">
        <f t="shared" si="87"/>
        <v>NQNFRREYKRILLALWN</v>
      </c>
      <c r="R210" s="5">
        <f>VLOOKUP($A210,'SegEnds_NonXtal_Prot#'!$A:$AL,3,FALSE)</f>
        <v>38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286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328</v>
      </c>
      <c r="AP210" s="5">
        <f t="shared" si="88"/>
        <v>30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25</v>
      </c>
      <c r="BA210" s="4">
        <f t="shared" si="99"/>
        <v>16</v>
      </c>
    </row>
    <row r="211" spans="1:53" x14ac:dyDescent="0.2">
      <c r="A211" s="1" t="str">
        <f>'SegEnds_NonXtal_Prot#'!A192</f>
        <v>mtr1l_human</v>
      </c>
      <c r="B211" s="1" t="str">
        <f t="shared" si="75"/>
        <v>PPALIIFMFCAMVITIVVDLIGNSMVILAVTKNNSGNIFVVSLSVADMLVAIYPYPLMLHAMSIGSQLQCQMVGFITGLSVVGSIFNIVAIAINRYCYICHSVRNTCIYLVITWIMTVLAVLPNMYIGNPVFTVTIVCIHFVLPLLIVGFCYVRIWTKVLAARDPANPDNQLAEVRNFLTMFVIFLLFAVCWCPINVLTVLVAVSPNWLYLAAYFIAYFNSCLNAVIYGLLNENFRREYWTIFHAMRH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PPALIIFMFCAMVITIVVDLIGNSMVILAVTKN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NPDNQLAEVRNFLTMFVIFLLFAVCWCPINVLTVLVAVS</v>
      </c>
      <c r="P211" s="4" t="str">
        <f t="shared" si="86"/>
        <v>PNWLYLAAYFIAYFNSCLNAVIYGLL</v>
      </c>
      <c r="Q211" s="4" t="str">
        <f t="shared" si="87"/>
        <v>NENFRREYWTIFHAMRH</v>
      </c>
      <c r="R211" s="5">
        <f>VLOOKUP($A211,'SegEnds_NonXtal_Prot#'!$A:$AL,3,FALSE)</f>
        <v>24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225</v>
      </c>
      <c r="AB211" s="5">
        <f>VLOOKUP($A211,'SegEnds_NonXtal_Prot#'!$A:$AL,33,FALSE)</f>
        <v>272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314</v>
      </c>
      <c r="AP211" s="5">
        <f t="shared" si="88"/>
        <v>32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38</v>
      </c>
      <c r="AZ211" s="4">
        <f t="shared" si="98"/>
        <v>25</v>
      </c>
      <c r="BA211" s="4">
        <f t="shared" si="99"/>
        <v>16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TELFMPICATYLLIFVVGAVGNGLTCLVILRHTPTNYYLFSLAVSDLLVLLVGLPLELYEMWLLGVGGCYFRTLLFEMVCLASVLNVTALSVERYVAVVHTRAHVRRVLGAVWGLAMLCSLPNTSLHRALYNMVVQTTALLFFCLPMAIMSVLYLLIGLRLRRERLLLMQEAQQHDRGRRQVTKMLFVLVVVFGICWAPFHADRVMWSVVHLAFQHVHVISGIFFYLGSAANPVLYSLMSSRFRETFQEALCLGA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SSRFRETFQEALCLGA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375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15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SHFFLPVSVVYVPIFVVGVIGNVLVCLVILQHTPTNYYLFSLAVSDLLVLLLGMPLEVYEMWLFGPVGCYFKTALFETVCFASILSITTVSVERYVAILHTRRRALRILGIVWGFSVLFSLPNTSIHMWIYNFIIQVTSFLFYLLPMTVISVLYYLMALRLKKDKSLEANANIQRPCRKSVNKMLFVLVLVFAICWAPFHIDRLFFSFVAAVFNLVHVVSGVFFYLSSAVNPIIYNLLSRRFQAAFQNVISSFH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SRRFQAAFQNVISSFH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346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15</v>
      </c>
    </row>
    <row r="215" spans="1:53" x14ac:dyDescent="0.2">
      <c r="A215" s="1" t="str">
        <f>'SegEnds_NonXtal_Prot#'!A196</f>
        <v>ntr1_human</v>
      </c>
      <c r="B215" s="1" t="str">
        <f t="shared" si="75"/>
        <v>DIYSKVLVTAVYLALFVVGTVGNTVTAFTLARKSTVHYHLGSLALSDLLTLLLAMPVELYNFIWVGDAGCRGYYFLRDACTYATALNVASLSVERYLAICHSRSRTKKFISAIWLASALLAVPMLFTMHTATVKVVIQVNTFMSFIFPMVVISVLNTIIANKLTVMVRQAAEQGPGRVQALRHGVRVLRAVVIAFVVCWLPYHVRRLMFCYITPFLYDFYHYFYMVTNALFYVSSTINPILYNLVSANFRHIFLATLACLC</v>
      </c>
      <c r="C215" s="29" t="str">
        <f>IF(ISERROR(MATCH(A215,'SegEnds_Xtal_Prot#'!B:B, 0)), "NoXtal", "Xtal")</f>
        <v>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DIYSKVLVTAVYLALFVVGTVGNTVTAFTLARK</v>
      </c>
      <c r="G215" s="4" t="str">
        <f t="shared" si="77"/>
        <v/>
      </c>
      <c r="H215" s="4" t="str">
        <f t="shared" si="78"/>
        <v>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HTATVKVVIQVNTFMSFIFPMVVISVLNTIIANKLTVMVRQAAEQG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SANFRHIFLATLACLC</v>
      </c>
      <c r="R215" s="5">
        <f>VLOOKUP($A215,'SegEnds_NonXtal_Prot#'!$A:$AL,3,FALSE)</f>
        <v>59</v>
      </c>
      <c r="S215" s="5" t="str">
        <f>VLOOKUP($A215,'SegEnds_NonXtal_Prot#'!$A:$AL,6,FALSE)</f>
        <v>-</v>
      </c>
      <c r="T215" s="5">
        <f>VLOOKUP($A215,'SegEnds_NonXtal_Prot#'!$A:$AL,9,FALSE)</f>
        <v>99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229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 t="str">
        <f>VLOOKUP($A215,'SegEnds_NonXtal_Prot#'!$A:$AL,8,FALSE)</f>
        <v>-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383</v>
      </c>
      <c r="AP215" s="5">
        <f t="shared" si="88"/>
        <v>32</v>
      </c>
      <c r="AQ215" s="4" t="str">
        <f t="shared" si="89"/>
        <v>-</v>
      </c>
      <c r="AR215" s="4">
        <f t="shared" si="90"/>
        <v>31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45</v>
      </c>
      <c r="AY215" s="4">
        <f t="shared" si="97"/>
        <v>37</v>
      </c>
      <c r="AZ215" s="4">
        <f t="shared" si="98"/>
        <v>32</v>
      </c>
      <c r="BA215" s="4">
        <f t="shared" si="99"/>
        <v>15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IYSKVLVTAIYLALFVVGTVGNSVTAFTLARKSTVHYHLGSLALSDLLILLLAMPVELYNFIWVGDAGCRGYYFLRDACTYATALNVASLSVERYLAICHSRSRTKKFISAIWLASALLAIPMLFTMTATVKVVIQVNTFMSFLFPMLVISILNTVIANKLTVMVHQAAEQGPGRVQALRHGVLVLRAVVIAFVVCWLPYHVRRLMFCYITTFLFDFYHYFYMLTNALFYVSSAINPILYNLVSANFRQVFLSTLACLC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/>
      </c>
      <c r="H216" s="4" t="str">
        <f t="shared" si="78"/>
        <v>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SANFRQVFLSTLACLC</v>
      </c>
      <c r="R216" s="5">
        <f>VLOOKUP($A216,'SegEnds_NonXtal_Prot#'!$A:$AL,3,FALSE)</f>
        <v>61</v>
      </c>
      <c r="S216" s="5" t="str">
        <f>VLOOKUP($A216,'SegEnds_NonXtal_Prot#'!$A:$AL,6,FALSE)</f>
        <v>-</v>
      </c>
      <c r="T216" s="5">
        <f>VLOOKUP($A216,'SegEnds_NonXtal_Prot#'!$A:$AL,9,FALSE)</f>
        <v>100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 t="str">
        <f>VLOOKUP($A216,'SegEnds_NonXtal_Prot#'!$A:$AL,8,FALSE)</f>
        <v>-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388</v>
      </c>
      <c r="AP216" s="5">
        <f t="shared" si="88"/>
        <v>31</v>
      </c>
      <c r="AQ216" s="4" t="str">
        <f t="shared" si="89"/>
        <v>-</v>
      </c>
      <c r="AR216" s="4">
        <f t="shared" si="90"/>
        <v>31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15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LWAKVLFTALYALIWALGAAGNALSAHVVLKAGRLRHHVLSLALAGLLLLLVGVPVELYSFVWFGDLGCRGYYFVHELCAYATVLSVAGLSAERCLAVCQTPRRTRWLVALSWAASLGLALPMAVIMRTALQVFIQVNVLVSFVLPLALTAFLNGVTVSHLLALCSQVPSVRRIRSLQRSVQVLRAIVVMYVICWLPYHARRLMYCYVTDPLYNFYHYFYMVTNTLFYVSSAVTPLLYNAVSSSFRKLFLEAVSSLC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SSSFRKLFLEAVSSLC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377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15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AKLALVLTGVLIFALALFGNALVFYVVTRSTVTNIFICSLALSDLLITFFCIPVTMLQNISDGAFICKMVPFVQSTAVVTEILTMTCIAVERHQGLVHTNRRAFTMLGVVWLVAVIVGSPMWHVQVHQKIYTTFILVILFLLPLMVMLILYSKIGYELWIKKRVGDGKEMSKIARKKKRAVIMMVTVVALFAVCWAPFHVVHMMIEYSDVTIKMIFAIVQIIGFSNSICNPIVYAFMNENFKKNVLSAVCYCIV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NENFKKNVLSAVCYCIV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352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16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CKNWLAAEAALEKYYLSIFYGIEFVVGVLGNTIVVYGYIFSLNSSNIYLFNLSVSDLAFLCTLPMLIRSYANGDVLCISNRYVLHANLYTSILFLTFISIDRYLIIKYKKEFAILISLAIWVLVTLELLPILPLINPVDPNYNLIYSMCLTLLGFLIPLFVMCFFYYKIALFLKQRVATALPLEKPLNLVIMAVVIFSVLFTPYHVMRNVRIASRLGYQCTQVVINSFYIVTRPLAFLNSVINPVFYFLLGDHFRDMLMNQLRHNFKSL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CKNWLAAEAALEKYYLSIFYGIEFVVGVLGNTIVVYGYIFSL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KKEFAILISLAIWVLVTLELLPILPLINPV</v>
      </c>
      <c r="M251" s="4" t="str">
        <f t="shared" si="83"/>
        <v>CND</v>
      </c>
      <c r="N251" s="4" t="str">
        <f t="shared" si="84"/>
        <v>DPNYNLIYSMCLTLLGFLIPLFVMCFFYYKIALFLKQR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GDHFRDMLMNQLRHNFKSL</v>
      </c>
      <c r="R251" s="5">
        <f>VLOOKUP($A251,'SegEnds_NonXtal_Prot#'!$A:$AL,3,FALSE)</f>
        <v>11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180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52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164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317</v>
      </c>
      <c r="AP251" s="5">
        <f t="shared" si="88"/>
        <v>41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29</v>
      </c>
      <c r="AW251" s="4">
        <f t="shared" si="95"/>
        <v>2</v>
      </c>
      <c r="AX251" s="4">
        <f t="shared" si="96"/>
        <v>37</v>
      </c>
      <c r="AY251" s="4">
        <f t="shared" si="97"/>
        <v>40</v>
      </c>
      <c r="AZ251" s="4">
        <f t="shared" si="98"/>
        <v>32</v>
      </c>
      <c r="BA251" s="4">
        <f t="shared" si="99"/>
        <v>18</v>
      </c>
    </row>
    <row r="252" spans="1:53" x14ac:dyDescent="0.2">
      <c r="A252" s="1" t="str">
        <f>'SegEnds_NonXtal_Prot#'!A241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'SegEnds_NonXtal_Prot#'!A242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'SegEnds_NonXtal_Prot#'!A243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'SegEnds_NonXtal_Prot#'!A244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'SegEnds_NonXtal_Prot#'!A245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'SegEnds_NonXtal_Prot#'!A246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'SegEnds_NonXtal_Prot#'!A247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'SegEnds_NonXtal_Prot#'!A249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'SegEnds_NonXtal_Prot#'!A250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'SegEnds_NonXtal_Prot#'!A251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PLLARAELALLSIVFVAVALSNGLVLAALARRWAPIHVFIGHLCLADLAVALFQVLPQLAWKARGPDALCRAVKYLQMVGMYASSYMILAMTLDRHRAICRSGAHWNRPVLVAWAFSLLLSLPQLFIFPWGRRTYVTWIALMVFVAPTLGIAACQVLIFREIHASLVPGPSERAHVSAAVAKTVRMTLVIVVVYVLCWAPFFLVQLWAAWDEGAPFVLLMLLASLNSCTNPWIYASFSSSVSSELRSLLCCAR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SSSVSSELRSLLCCAR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344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15</v>
      </c>
    </row>
    <row r="262" spans="1:53" x14ac:dyDescent="0.2">
      <c r="A262" s="1" t="str">
        <f>'SegEnds_NonXtal_Prot#'!A252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'SegEnds_NonXtal_Prot#'!A253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'SegEnds_NonXtal_Prot#'!A255</f>
        <v>gpr27_human</v>
      </c>
      <c r="B264" s="1" t="str">
        <f t="shared" si="100"/>
        <v>LGLKLATLSLLLCVSLAGNVLFALLIVRERAPYYLLLDLCLADGLRALACLPAVMLAARRAAPPGALGCKLLAFLAALFCFHAAFLLLGVGVTRYLAIAHGWPCAAMLVCAAWALALAAAFPPVLDGEQRPDGAPGALGFLLLLAVVVGATHLVYLRLLFFIHDRRKMRLEEFKTEKRLCKMFYAVTLLFLLLWGPYVVASYLRVLVPQAYLTASVWLTFAQAGINPVVCFLFNRELRDCFRAQFPCCQS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RAPYYLLLDLCLADGLRALACLPAVMLAARRA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NRELRDCFRAQFPCCQS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82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358</v>
      </c>
      <c r="AP264" s="5">
        <f t="shared" si="113"/>
        <v>28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16</v>
      </c>
    </row>
    <row r="265" spans="1:53" x14ac:dyDescent="0.2">
      <c r="A265" s="1" t="str">
        <f>'SegEnds_NonXtal_Prot#'!A256</f>
        <v>hrh3_human</v>
      </c>
      <c r="B265" s="1" t="str">
        <f t="shared" si="100"/>
        <v>SAAWTAVLAALMALLIVATVLGNALVMLAFVADTQNNFFLLNLAISDFLVGAFCIPLYVPYVLTGGRGLCKLWLVVDYLLCTSSAFNIVLISYDRFLSVTRDTRRAVRKMLLVWVLAFLLYGPAILSNWYFLITASTLEFFTPFLSVTFFNLSIYLNIQRRTRLRLDGRFRLSRDRKVAKSLAVIVSIFGLCWAPYTLLMIIRAACPDYWYETSFWLLWANSAVNPVLYPLCHHSFRRAFTKLLC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SAAWTAVLAALMALLIVATVLGNALVMLAFVAD</v>
      </c>
      <c r="G265" s="4" t="str">
        <f t="shared" si="102"/>
        <v>SSLR</v>
      </c>
      <c r="H265" s="4" t="str">
        <f t="shared" si="103"/>
        <v>TQNNFFLLNLAISDFLVGAFCIPLYVPYVLTG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30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98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32</v>
      </c>
      <c r="AQ265" s="4">
        <f t="shared" si="114"/>
        <v>3</v>
      </c>
      <c r="AR265" s="4">
        <f t="shared" si="115"/>
        <v>31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'SegEnds_NonXtal_Prot#'!A257</f>
        <v>hrh4_human</v>
      </c>
      <c r="B266" s="1" t="str">
        <f t="shared" si="100"/>
        <v>SLSTRVTLAFFMSLVAFAIMLGNALVILAFVVDHRSSYFFLNLAISDFFVGVISIPLYIPHTLGKEICVFWLTTDYLLCTASVYNIVLISYDRYLSVSNGVLKIVTLMVAVWVLAFLVNGPMILVEWYILAITSFLEFVIPVILVAYFNMNIYWSLWKRDHLSRCQSHVELLRARRLAKSLAILLGVFAVCWAPYSLFTIVLSFYKSVWYRIAFWLQWFNSFVNPLLYPLCHKRFQKAFLKIFCI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SLSTRVTLAFFMSLVAFAIMLGNALVILAFVVD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HKRFQKAFLKIFCI</v>
      </c>
      <c r="R266" s="5">
        <f>VLOOKUP($A266,'SegEnds_NonXtal_Prot#'!$A:$AL,3,FALSE)</f>
        <v>11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375</v>
      </c>
      <c r="AP266" s="5">
        <f t="shared" si="113"/>
        <v>32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13</v>
      </c>
    </row>
    <row r="267" spans="1:53" x14ac:dyDescent="0.2">
      <c r="A267" s="1" t="str">
        <f>'SegEnds_NonXtal_Prot#'!A258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'SegEnds_NonXtal_Prot#'!A259</f>
        <v>ccr6_human</v>
      </c>
      <c r="B268" s="1" t="str">
        <f t="shared" si="100"/>
        <v>QFSRLFVPIAYSLICVFGLLGNILVVITFAFYSMTDVYLLNMAIADILFVLTLPFWAVSHATSNATCKLLKGIYAINFNCGMLLLTCISMDRYIAIVQTLPRSKIICLVVWGLSVIISSSTFVFNRWKLLMLGLELLFGFFIPLMFMIFCYTFIVKTLVQARHKAIRVIIAVVLVFLACQIPHNMVLLVTAANLGKMSCQSEKLIGYTKTVTEVLAFLHCCLNPVLYAFIGQKFRNYFLKILK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</v>
      </c>
      <c r="R268" s="5">
        <f>VLOOKUP($A268,'SegEnds_NonXtal_Prot#'!$A:$AL,3,FALSE)</f>
        <v>43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332</v>
      </c>
      <c r="AP268" s="5">
        <f t="shared" si="113"/>
        <v>31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12</v>
      </c>
    </row>
    <row r="269" spans="1:53" x14ac:dyDescent="0.2">
      <c r="A269" s="1" t="str">
        <f>'SegEnds_NonXtal_Prot#'!A260</f>
        <v>ccr7_human</v>
      </c>
      <c r="B269" s="1" t="str">
        <f t="shared" si="100"/>
        <v>NFKAWFLPIMYSIICFVGLLGNGLVVLTYIYFTMTDTYLLNLAVADILFLLTLPFWAYSAAKGVHFCKLIFAIYKMSFFSGMLLLLCISIDRYVAIVQVLLISKLSCVGIWILATVLSIPELLYSEAFITIQVAQMVIGFLVPLLAMSFCYLVIIRTLLQARNKAIKVIIAVVVVFIVFQLPYNGVVLAQTVANFNITCELSKQLNIAYDVTYSLACVRCCVNPFLYAFIGVKFRNDLFKLFK</v>
      </c>
      <c r="C269" s="29" t="str">
        <f>IF(ISERROR(MATCH(A269,'SegEnds_Xtal_Prot#'!B:B, 0)), "NoXtal", "Xtal")</f>
        <v>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</v>
      </c>
      <c r="R269" s="5">
        <f>VLOOKUP($A269,'SegEnds_NonXtal_Prot#'!$A:$AL,3,FALSE)</f>
        <v>55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342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12</v>
      </c>
    </row>
    <row r="270" spans="1:53" x14ac:dyDescent="0.2">
      <c r="A270" s="1" t="str">
        <f>'SegEnds_NonXtal_Prot#'!A261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'SegEnds_NonXtal_Prot#'!A262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'SegEnds_NonXtal_Prot#'!A263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'SegEnds_NonXtal_Prot#'!A264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'SegEnds_NonXtal_Prot#'!A266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'SegEnds_NonXtal_Prot#'!A267</f>
        <v>ccr10_human</v>
      </c>
      <c r="B275" s="1" t="str">
        <f t="shared" si="100"/>
        <v>AFSRAFQPSVSLTVAALGLAGNGLVLATHLAARSPTSAHLLQLALADLLLALTLPFAAAGALQGSATCRTISGLYSASFHAGFLFLACISADRYVAIARTPGRAHLVSVIVWLLSLLLALPALLFSTVKGASAVAQVALGFALPLGVMVACYALLGRTLLAARRRALRVVVALVAAFVVLQLPYSLALLLDTADLLAASCPASKRKDVALLVTSGLALARCGLNPVLYAFLGLRFRQDLRRLLR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</v>
      </c>
      <c r="R275" s="5">
        <f>VLOOKUP($A275,'SegEnds_NonXtal_Prot#'!$A:$AL,3,FALSE)</f>
        <v>38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326</v>
      </c>
      <c r="AP275" s="5">
        <f t="shared" si="113"/>
        <v>31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12</v>
      </c>
    </row>
    <row r="276" spans="1:53" x14ac:dyDescent="0.2">
      <c r="A276" s="1" t="str">
        <f>'SegEnds_NonXtal_Prot#'!A268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'SegEnds_NonXtal_Prot#'!A269</f>
        <v>gp135_human</v>
      </c>
      <c r="B277" s="1" t="str">
        <f t="shared" si="100"/>
        <v>HGAAVAAQALVLLLIFLLSSLGNCAVMGVIVKHTVTNAFILSLSLSDLLTALLCLPAAFLDLFTPAGPWRGFCAASRFFSSCFGIVSTLSVALISLDRYCAIVRGRRRALQLLAGAWLTALGFSLPWELLGGAAFSVGLVVACYLLPFLLMCFCHYHICKTVRLSDVRVRARVLRFFSEVRTATTVLIMIVFVICCWGPYCFLVLLAAARPSLLSVVAVWLTWANGAINPVIYAIRNPNISMLLGRNREEGYR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HGAAVAAQALVLLLIFLLSSLGNCAVMGVIVKH</v>
      </c>
      <c r="G277" s="4" t="str">
        <f t="shared" si="102"/>
        <v>RQLR</v>
      </c>
      <c r="H277" s="4" t="str">
        <f t="shared" si="103"/>
        <v>TVTNAFILSLSLSDLLTALLCLPAAFLDLFTP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GAAFSVGLVVACYLLPFLLMCFCHYHICKTVRLSDVRVR</v>
      </c>
      <c r="O277" s="4" t="str">
        <f t="shared" si="110"/>
        <v>ARVLRFFSEVRTATTVLIMIVFVICCWGPYCFLVLLAAAR</v>
      </c>
      <c r="P277" s="4" t="str">
        <f t="shared" si="111"/>
        <v>PSLLSVVAVWLTWANGAINPVIYAIR</v>
      </c>
      <c r="Q277" s="4" t="str">
        <f t="shared" si="112"/>
        <v>NPNISMLLGRNREEGYR</v>
      </c>
      <c r="R277" s="5">
        <f>VLOOKUP($A277,'SegEnds_NonXtal_Prot#'!$A:$AL,3,FALSE)</f>
        <v>99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274</v>
      </c>
      <c r="AA277" s="5">
        <f>VLOOKUP($A277,'SegEnds_NonXtal_Prot#'!$A:$AL,30,FALSE)</f>
        <v>318</v>
      </c>
      <c r="AB277" s="5">
        <f>VLOOKUP($A277,'SegEnds_NonXtal_Prot#'!$A:$AL,33,FALSE)</f>
        <v>365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167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407</v>
      </c>
      <c r="AP277" s="5">
        <f t="shared" si="113"/>
        <v>32</v>
      </c>
      <c r="AQ277" s="4">
        <f t="shared" si="114"/>
        <v>3</v>
      </c>
      <c r="AR277" s="4">
        <f t="shared" si="115"/>
        <v>31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38</v>
      </c>
      <c r="AY277" s="4">
        <f t="shared" si="122"/>
        <v>39</v>
      </c>
      <c r="AZ277" s="4">
        <f t="shared" si="123"/>
        <v>25</v>
      </c>
      <c r="BA277" s="4">
        <f t="shared" si="124"/>
        <v>16</v>
      </c>
    </row>
    <row r="278" spans="1:53" x14ac:dyDescent="0.2">
      <c r="A278" s="1" t="str">
        <f>'SegEnds_NonXtal_Prot#'!A270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'SegEnds_NonXtal_Prot#'!A271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'SegEnds_NonXtal_Prot#'!A272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SRRVRLVFLGVILVVAVAGNTTVLCRLCGGRKMDFLLVQLALADLYACGGTALSQLAWELLGAATGDLACRFLQLLQASGRGASAHLVVLIALERRRAVRLRPLPARALAALGWLLALLLALPPAFVVWHLQVYAFYEAVAGFVAPVTVLGVACGHLLSVWWRHRPQAPAPAPSALPRAKVQSLKMSLLLALLFVGCELPYFAARLAAAWSGDWEGEGLSAALRVVAMANSALNPFVYLFFQAGDCRLRRQLRKRLGS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QAGDCRLRRQLRKRLGS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372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16</v>
      </c>
    </row>
    <row r="281" spans="1:53" x14ac:dyDescent="0.2">
      <c r="A281" s="1" t="str">
        <f>'SegEnds_NonXtal_Prot#'!A273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'SegEnds_NonXtal_Prot#'!A274</f>
        <v>gp176_human</v>
      </c>
      <c r="B282" s="1" t="str">
        <f t="shared" si="100"/>
        <v>RQFTTTVQVVIFIGSLLGNFMVLWSTCRTSVTNRFIKNLACSGICASLVCVPFDIILSTSPYTMLFCKVVKFLHKVFCSVTILSFPAIALDRYYSVLYSDAKSRELVMYIWAHAVVASVPVFAVTLGHLVYVLVYNITTVIVPVVVVFLFLILIRRALSASQKKKVIISIPYASQREAELHATLLSMVMVFILCSVPYATLVVYQTVLSVFLLLTAVWLPKVSLLANPVLFLTVNKSVRKCLIGTLVQLHH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SVTNRFIKNLACSGICASLVCVPFDIILSTSP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NKSVRKCLIGTLVQLHH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200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105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340</v>
      </c>
      <c r="AP282" s="5">
        <f t="shared" si="113"/>
        <v>28</v>
      </c>
      <c r="AQ282" s="4">
        <f t="shared" si="114"/>
        <v>3</v>
      </c>
      <c r="AR282" s="4">
        <f t="shared" si="115"/>
        <v>31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41</v>
      </c>
      <c r="AY282" s="4">
        <f t="shared" si="122"/>
        <v>40</v>
      </c>
      <c r="AZ282" s="4">
        <f t="shared" si="123"/>
        <v>25</v>
      </c>
      <c r="BA282" s="4">
        <f t="shared" si="124"/>
        <v>16</v>
      </c>
    </row>
    <row r="283" spans="1:53" x14ac:dyDescent="0.2">
      <c r="A283" s="1" t="str">
        <f>'SegEnds_NonXtal_Prot#'!A275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'SegEnds_NonXtal_Prot#'!A276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'SegEnds_NonXtal_Prot#'!A277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'SegEnds_NonXtal_Prot#'!A278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'SegEnds_NonXtal_Prot#'!A280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VKALLIVAYSFIIVFSLFGNVLVCHVIFKNSATSLFIVNLAVADIMITLLNTPFTLVRFVNSGKGMCHVSRFAQYCSLHVSALTLTAIAVDRHQVIMHSITKGVIYIAVIWTMATFFSLPHAICQLFWKYLDLATFILLYILPLLIISVAYARVAKKLWLCNMIGDQYFALRRKKKKTIKMLMLVVVLFALCWFPLNCYVLLLSSKNNALYFAFHWFAMSSTCYNPFIYCWLNENFRIELKALLSMCQR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NENFRIELKALLSMCQR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365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16</v>
      </c>
    </row>
    <row r="288" spans="1:53" x14ac:dyDescent="0.2">
      <c r="A288" s="1" t="str">
        <f>'SegEnds_NonXtal_Prot#'!A281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'SegEnds_NonXtal_Prot#'!A282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'SegEnds_NonXtal_Prot#'!A283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'SegEnds_NonXtal_Prot#'!A284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'SegEnds_NonXtal_Prot#'!A285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'SegEnds_NonXtal_Prot#'!A286</f>
        <v>npff1_human</v>
      </c>
      <c r="B293" s="1" t="str">
        <f t="shared" si="100"/>
        <v>AAMFIVAYALIFLLCMVGNTLVCFIVLKNTVTNMFILNLAVSDLLVGIFCMPTTLVDNLITDNATCKMSGLVQGMSVSASVFTLVAIAVERFRCIVHTLRKALVTIAVIWALALLIMCPSAVTLGMRRVYTTVLFSHIYLAPLALIVVMYARIARKLCQAPGPAPADPRASRRRARVVHMLVMVALFFTLSWLPLWALLLLIDYGHLVTVYAFPFAHWLAFFNSSANPIIYGYFNENFRRGFQAAFRARLC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TVTNMFILNLAVSDLLVGIFCMPTTLVDNLIT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NENFRRGFQAAFRARLC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211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107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349</v>
      </c>
      <c r="AP293" s="5">
        <f t="shared" si="113"/>
        <v>28</v>
      </c>
      <c r="AQ293" s="4">
        <f t="shared" si="114"/>
        <v>3</v>
      </c>
      <c r="AR293" s="4">
        <f t="shared" si="115"/>
        <v>31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40</v>
      </c>
      <c r="AY293" s="4">
        <f t="shared" si="122"/>
        <v>39</v>
      </c>
      <c r="AZ293" s="4">
        <f t="shared" si="123"/>
        <v>28</v>
      </c>
      <c r="BA293" s="4">
        <f t="shared" si="124"/>
        <v>16</v>
      </c>
    </row>
    <row r="294" spans="1:53" x14ac:dyDescent="0.2">
      <c r="A294" s="1" t="str">
        <f>'SegEnds_NonXtal_Prot#'!A287</f>
        <v>npff2_human</v>
      </c>
      <c r="B294" s="1" t="str">
        <f t="shared" si="100"/>
        <v>AAIFIISYFLIFFLCMMGNTVVCFIVMRNTVTNLFILNLAISDLLVGIFCMPITLLDNIIAGNTMCKISGLVQGISVAASVFTLVAIAVDRFQCVVYTIKTAFVIIMIIWVLAITIMSPSAVMLEMRKIYTTVLFANIYLAPLSLIVIMYGRIGISLFRAAVPHTHVVSRKKQKIIKMLLIVALLFILSWLPLWTLMMLSDYAQIINIYIYPFAHWLAFGNSSVNPIIYGFFNENFRRGFQEAFQLQLC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TVTNLFILNLAISDLLVGIFCMPITLLDNIIA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NENFRRGFQEAFQLQLC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316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211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455</v>
      </c>
      <c r="AP294" s="5">
        <f t="shared" si="113"/>
        <v>28</v>
      </c>
      <c r="AQ294" s="4">
        <f t="shared" si="114"/>
        <v>3</v>
      </c>
      <c r="AR294" s="4">
        <f t="shared" si="115"/>
        <v>31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40</v>
      </c>
      <c r="AY294" s="4">
        <f t="shared" si="122"/>
        <v>37</v>
      </c>
      <c r="AZ294" s="4">
        <f t="shared" si="123"/>
        <v>28</v>
      </c>
      <c r="BA294" s="4">
        <f t="shared" si="124"/>
        <v>16</v>
      </c>
    </row>
    <row r="295" spans="1:53" x14ac:dyDescent="0.2">
      <c r="A295" s="1" t="str">
        <f>'SegEnds_NonXtal_Prot#'!A288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'SegEnds_NonXtal_Prot#'!A289</f>
        <v>npy2r_human</v>
      </c>
      <c r="B296" s="1" t="str">
        <f t="shared" si="100"/>
        <v>LIEVQVVLILAYCSIILLGVIGNSLVIHVVIKFTVTNFFIANLAVADLLVNTLCLPFTLTYTLMGGPVLCHLVPYAQGLAVQVSTITLTVIALDRHRCIVYSKRISFLIIGLAWGISALLASPLAIFRKSIYGTVYSLSSLLILYVLPLGIISFSYTRIWSKLKNHVSPGNDHYHQRRQKTTKMLVCVVVVFAVSWLPLHAFQLAVDIDLKEYKLIFTVFHIIAMCSTFANPLLYGWMNSNYRKAFLSAF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LIEVQVVLILAYCSIILLGVIGNSLVIHVVIKF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KSIYGTVYSLSSLLILYVLPLGIISFSYTRIWSKLKNHVSPG</v>
      </c>
      <c r="O296" s="4" t="str">
        <f t="shared" si="110"/>
        <v>NDHYHQRRQKTTKMLVCVVVVFAVSWLPLHAFQLAVDID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46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212</v>
      </c>
      <c r="AA296" s="5">
        <f>VLOOKUP($A296,'SegEnds_NonXtal_Prot#'!$A:$AL,30,FALSE)</f>
        <v>256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32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41</v>
      </c>
      <c r="AY296" s="4">
        <f t="shared" si="122"/>
        <v>38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'SegEnds_NonXtal_Prot#'!A290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'SegEnds_NonXtal_Prot#'!A291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'SegEnds_NonXtal_Prot#'!A292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'SegEnds_NonXtal_Prot#'!A293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'SegEnds_NonXtal_Prot#'!A294</f>
        <v>oxyr_human</v>
      </c>
      <c r="B301" s="1" t="str">
        <f t="shared" si="100"/>
        <v>ARVEVAVLCLILLLALSGNACVLLALRTTSRLFFFMKHLSIADLVVAVFQVLPQLLWDIYGPDLLCRLVKYLQVVGMFASTYLLLLMSLDRCLAICQRRRTDRLAVLATWLGCLVASAPQVHIFWGPKAYITWITLAVYIVPVIVLAACYGLISFKIWQNLRLKTAAAKLISKAKIRTVKMTFIIVLAFIVCWTPFFFVQMWSVWDEASAFIIVMLLASLNSCCNPWIYMLFTGHLFHELVQRFLCCSA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TGHLFHELVQRFLCCSA</v>
      </c>
      <c r="R301" s="5">
        <f>VLOOKUP($A301,'SegEnds_NonXtal_Prot#'!$A:$AL,3,FALSE)</f>
        <v>39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349</v>
      </c>
      <c r="AP301" s="5">
        <f t="shared" si="113"/>
        <v>28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16</v>
      </c>
    </row>
    <row r="302" spans="1:53" x14ac:dyDescent="0.2">
      <c r="A302" s="1" t="str">
        <f>'SegEnds_NonXtal_Prot#'!A295</f>
        <v>pkr1_human</v>
      </c>
      <c r="B302" s="1" t="str">
        <f t="shared" si="100"/>
        <v>KIVIGMALVGIMLVCGIGNFIFIAALVRYNLTNLLIANLAISDFLVAIVCCPFEMDYYVVRGHVLCTSVNYLRTVSLYVSTNALLAIAIDRYLAIVHKCQTATGLIALVWTVSILIAIPSAYFTLYYKSYFLFIFGIEFVGPVVTMTLCYARISRELWFKAVPGFQIRKRLRCRRKTVLVLMCILTAYVLCWAPFYGFTIVRDFFEKHYLTAFYIVECIAMSNSMINTLCFVTVNDTVKYFKKIML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NLTNLLIANLAISDFLVAIVCCPFEMDYYVVR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227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126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31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40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'SegEnds_NonXtal_Prot#'!A297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'SegEnds_NonXtal_Prot#'!A298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'SegEnds_NonXtal_Prot#'!A300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'SegEnds_NonXtal_Prot#'!A301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'SegEnds_NonXtal_Prot#'!A302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'SegEnds_NonXtal_Prot#'!A303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'SegEnds_NonXtal_Prot#'!A304</f>
        <v>g1sgd4_rabit</v>
      </c>
      <c r="B309" s="1" t="str">
        <f t="shared" si="100"/>
        <v>PEEQLLSLYIIYTVGYALSFSALVIASAILLGFCTRNYIHLNLFASFILRALSVFIKDAALKWMYSTAAQQLGCRLVFLLMQYCVAANYYWLLVEGAYLYTLLAFSEQRIFKLYLSIGWGVPLLFVIPWGIVKYLYENMNYWLIIRLPILFAIGVNFLIFIRVICIVVSKLKAKCRLAKSTLTLIPLLGTHEVIFAFLRFVKLFTELSFTSFQGLMVAILYCFVNNEVQMEFRKSWERWRLEHLRVQRDS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NMNYWLIIRLPILFAIGVNFLIFIRVICIVVSKLKA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302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35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'SegEnds_NonXtal_Prot#'!A305</f>
        <v>ghrhr_human</v>
      </c>
      <c r="B310" s="1" t="str">
        <f t="shared" si="100"/>
        <v>PLELLAEEESYFSTVKIIYTVGHSISIVALFVAITILVALCPRNYVHTQLFTTFILKAGAVFLKDAALVLCKVSVAASHFATMTNFSWLLAEAVYLNCLLASSSRRAFWWLVLAGWGLPVLFTGTWVSCKLAFESPYWWIIKGPIVLSVGVNFGLFLNIIRILVRKLHTQSQYWRLSKSTLFLIPLFGIHYIIFNFLLGIRLPLELGLGSFQGFIVAILYCFLNQEVRTEISRKWHGHDPELLPAWRTR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PLELLAEEESYFSTVKIIYTVGHSISIVALFVAITILVAL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SPYWWIIKGPIVLSVGVNFGLFLNIIRILVRKL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115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279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39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32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'SegEnds_NonXtal_Prot#'!A306</f>
        <v>gipr_human</v>
      </c>
      <c r="B311" s="1" t="str">
        <f t="shared" si="100"/>
        <v>FLDQRLILERLQVMYTVGYSLSLATLLLALLILSLFCTRNYIHINLFTSFMLRAAAILSRDRLLAACRTAQIVTQYCVGANYTWLLVEGVYLHSLLVLGHFRYYLLLGWGAPALFVIPWVIVRYLYEEVKAIWWIIRTPILMTILINFLIFIRILGILLSKLRTDYRLRLARSTLTLVPLLGVHEVVFAPGALRFAKLGFEIFLSSFQGFLVSVLYCFINKEVQSEIRRGWHHCRLRRSLGEEQR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EVKAIWWIIRTPILMTILINFLIFIRILGILLSKLRT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291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36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'SegEnds_NonXtal_Prot#'!A307</f>
        <v>glp1r_human</v>
      </c>
      <c r="B312" s="1" t="str">
        <f t="shared" si="100"/>
        <v>EEQLLFLYIIYTVGYALSFSALVIASAILLGFCTRNYIHLNLFASFILRALSVFIKDAALLSCRLVFLLMQYCVAANYYWLLVEGVYLYTLLAFEQWIFRLYVSIGWGVPLLFVVPWGIVKYLYENMNYWLIIRLPILFAIGVNFLIFVRVICIVVSKLKADIKCRLAKSTLTLIPLLGTHEVIFAFGTLRFIKLFTELSFTSFQGLMVAILYCFVNNEVQLEFRKSWERWRLEHLHIQRDS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NMNYWLIIRLPILFAIGVNFLIFVRVICIVVSKLKA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302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35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'SegEnds_NonXtal_Prot#'!A308</f>
        <v>glp2r_human</v>
      </c>
      <c r="B313" s="1" t="str">
        <f t="shared" si="100"/>
        <v>NVDRYALLSTLQLMYTVGYSFSLISLFLALTLLLFLCTRNYIHMNLFASFILRTLAVLVKDVVFTSCRSVQVLLHYFVGANYLWLLVEGLYLHTLLEPRLWPRYLLLGWAFPVLFVVPWGFARAHLEGNKKIWWIIRGPMMLCVTVNFFIFLKILKLLISKLKADYKYRLAKSTLVLIPLLGVHEILFSFGFAKLIRLFIQLTLSSFHGFLVALQYGFANGEVKAELRKYWVRFLLARHSGCRAC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GNKKIWWIIRGPMMLCVTVNFFIFLKILKLLISKLKA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335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36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'SegEnds_NonXtal_Prot#'!A309</f>
        <v>glr_human</v>
      </c>
      <c r="B314" s="1" t="str">
        <f t="shared" si="100"/>
        <v>QKEVAKMYSSFQVMYTVGYSLSLGALLLALAILGGLCTRNAIHANLFASFVLKASSVLVIDGLLRTRYSAVAGCRVAAVFMQYGIVANYCWLLVEGLYLHNLLGLSFFSLYLGIGWGAPMLFVVPWAVVKCLFEDNMGFWWILRFPVFLAILINFFIFVRIVQLLVAKLRADYKFRLAKSTLTLIPLLGVHEVVFAFQGTLRSAKLFFDLFLSSFQGLLVAVLYCFLNKEVQSELRRRWHRWRLGKVLWEERN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DNMGFWWILRFPVFLAILINFFIFVRIVQLLVAKLRA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299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36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'SegEnds_NonXtal_Prot#'!A310</f>
        <v>pacr_human</v>
      </c>
      <c r="B315" s="1" t="str">
        <f t="shared" si="100"/>
        <v>YESETGDQDYYYLSVKALYTVGYSTSLVTLTTAMVILCRFCTRNFIHMNLFVSFMLRAISVFIKDWILVECKAVMVFFHYCVVSNYFWLFIEGLYLFTLLVEPERRYFYWYTIIGWGTPTVCVTVWATLRLYFDTALWWVIKGPVVGSIMVNFVLFIGIIVILVQKLNESSIYLRLARSTLLLIPLFGIHYTVFAFSKRERLVFELGLGSFQGFVVAVLYCFLNGEVQAEIKRKWRSWKVNRYFAVDFK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YESETGDQDYYYLSVKALYTVGYSTSLVTLTTAMVILCRF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TALWWVIKGPVVGSIMVNFVLFIGIIVILVQKL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139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303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39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32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'SegEnds_NonXtal_Prot#'!A311</f>
        <v>pth1r_human</v>
      </c>
      <c r="B316" s="1" t="str">
        <f t="shared" si="100"/>
        <v>FLTNETREREVFDRLGMIYTVGYSVSLASLTVAVLILAYFCTRNYIHMHLFLSFMLRAVSIFVKDAVLYSGATGYAGCRVAVTFFLYFLATNYYWILVEGLYLHSLIFMSEKKYLWGFTVFGWGLPAVFVAVWVSVRATLAGNKKWIIQVPILASIVLNFILFINIVRVLATKLDTRQQYRKLLKSTLVLMPLFGVHYIVFMATGTLWQVQMHYEMLFNSFQGFFVAIIYCFCNGEVQAEIKKSWSRWTLALDFKRKAR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FLTNETREREVFDRLGMIYTVGYSVSLASLTVAVLILAYF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GNKKWIIQVPILASIVLNFILFINIVRVLATKL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173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357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39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32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'SegEnds_NonXtal_Prot#'!A312</f>
        <v>pth2r_human</v>
      </c>
      <c r="B317" s="1" t="str">
        <f t="shared" si="100"/>
        <v>QPDISIGKQEFFERLYVMYTVGYSISFGSLAVAILIIGYFCTRNYIHMHLFVSFMLRATSIFVKDRVVHAHIGQYIGCKIAVVMFIYFLATNYYWILVEGLYLHNLIFVSDTKYLWGFILIGWGFPAAFVAAWAVARATLAGDIKWIYQAPILAAIGLNFILFLNTVRVLATKIDTRKQYRKLAKSTLVLVLVFGVHYIVFVCLGLGWEIRMHCELFFNSFQGFFVSIIYCYCNGEVQAEVKKMWSRWNLSVDWKRTPP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QPDISIGKQEFFERLYVMYTVGYSISFGSLAVAILIIGYF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GDIKWIYQAPILAAIGLNFILFLNTVRVLATKI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130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312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39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32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'SegEnds_NonXtal_Prot#'!A313</f>
        <v>sctr_human</v>
      </c>
      <c r="B318" s="1" t="str">
        <f t="shared" si="100"/>
        <v>NDSSNEKRHSYLLKLKVMYTVGYSSSLVMLLVALGILCAFCTRNYIHMHLFVSFILRALSNFIKDAVLAGCKLVMVLFQYCIMANYSWLLVEGLYLHTLLAISERKYLQGFVAFGWGSPAIFVALWAIARHFLEASIWWIIRGPVILSILINFILFINILRILMRKLNEVSHYKRLARSTLLLIPLFGIHYIVFAFSMEIQLFFELALGSFQGLVVAVLYCFLNGEVQLEVQKKWQQWHLREFPLHPVA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NDSSNEKRHSYLLKLKVMYTVGYSSSLVMLLVALGILCAF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ASIWWIIRGPVILSILINFILFINILRILMRKL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128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292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39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32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'SegEnds_NonXtal_Prot#'!A314</f>
        <v>vipr1_human</v>
      </c>
      <c r="B319" s="1" t="str">
        <f t="shared" si="100"/>
        <v>AASLDEQQTMFYGSVKTGYTIGYGLSLATLLVATAILSLFCTRNYIHMHLFISFILRAAAVFIKDLALVGCKAAMVFFQYCVMANFFWLLVEGLYLYTLLAVSERKYFWGYILIGWGVPSTFTMVWTIARIHFESSLWWIIKGPILTSILVNFILFICIIRILLQKLSDSSPYSRLARSTLLLIPLFGVHYIMFAFFPEVKMVFELVVGSFQGFVVAILYCFLNGEVQAELRRKWRRWHLQGVLGWNPK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AASLDEQQTMFYGSVKTGYTIGYGLSLATLLVATAILSLF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SSLWWIIKGPILTSILVNFILFICIIRILLQKL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128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291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39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32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'SegEnds_NonXtal_Prot#'!A315</f>
        <v>vipr2_human</v>
      </c>
      <c r="B320" s="1" t="str">
        <f t="shared" si="100"/>
        <v>SDPEDESKITFYILVKAIYTLGYSVSLMSLATGSIILCLFCTRNYIHLNLFLSFILRAISVLVKDDVLVGCKLSLVFLQYCIMANFFWLLVEGLYLHTLLVAPPRRCFLAYLLIGWGLPTVCIGAWTAARLYLESVPWWVIRIPILISIIVNFVLFISIIRILLQKLNDQSQYKRLAKSTLLLIPLFGVHYMVFAVFSKYQILFELCLGSFQGLVVAVLYCFLNSEVQCELKRKWRSRCPTPSASRDYR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SDPEDESKITFYILVKAIYTLGYSVSLMSLATGSIILCLF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SVPWWVIRIPILISIIVNFVLFISIIRILLQKL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112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278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39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32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'SegEnds_NonXtal_Prot#'!A316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'SegEnds_NonXtal_Prot#'!A317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'SegEnds_NonXtal_Prot#'!A318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'SegEnds_NonXtal_Prot#'!A319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'SegEnds_NonXtal_Prot#'!A320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'SegEnds_NonXtal_Prot#'!A321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'SegEnds_NonXtal_Prot#'!A323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'SegEnds_NonXtal_Prot#'!A324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'SegEnds_NonXtal_Prot#'!A325</f>
        <v>agre3_human</v>
      </c>
      <c r="B329" s="1" t="str">
        <f t="shared" si="125"/>
        <v>LMALTSQEEDPVLTVITYVGLSVSLLCLLLAALTFLLCNTSTSLHLQLSLCLFLAHLLFLVGIDRVLCSIIAGALHYLYLAAFTWMLLEGVHLFLTARNLMKWIMFPVGYGVPAVTVAISAASWPHLYDQGFMWSFLGPVCAIFSANLVLFILVFWILKRKLNTRMLAFKATAQLFILGCTWCLGLLAQVMAYLFTIINSLQGFFIFLVYCLLSQQVQKQYQKWFREIVK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462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570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28</v>
      </c>
      <c r="AW329" s="4">
        <f t="shared" si="145"/>
        <v>2</v>
      </c>
      <c r="AX329" s="4">
        <f t="shared" si="146"/>
        <v>33</v>
      </c>
      <c r="AY329" s="4">
        <f t="shared" si="147"/>
        <v>24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'SegEnds_NonXtal_Prot#'!A326</f>
        <v>agre4_human</v>
      </c>
      <c r="B330" s="1" t="str">
        <f t="shared" si="125"/>
        <v>VLVALAPKEDPVLTVITQVGLTISLLCLFLAILTFLLCNTSTSLHLELSLCLFLAHLLFLTGINRVLCSIIAGLLHFLYLACFTWMLLEGLHLFLTVRNKKRFMYPVGYGIPAVIIAVSAIVGPQNYDKGFIWSFMGPVAVIILINLVFYFQVLWILRSKLDTRVMTFKAISQLFILGCSWGLGFFKTIGSIIAYSFTIINTLQGVLLFVVHCLLNRQVRLIILSVISLVPK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297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'SegEnds_NonXtal_Prot#'!A327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'SegEnds_NonXtal_Prot#'!A329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'SegEnds_NonXtal_Prot#'!A330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'SegEnds_NonXtal_Prot#'!A331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'SegEnds_NonXtal_Prot#'!A332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'SegEnds_NonXtal_Prot#'!A333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'SegEnds_NonXtal_Prot#'!A334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'SegEnds_NonXtal_Prot#'!A335</f>
        <v>agrg4_human</v>
      </c>
      <c r="B338" s="1" t="str">
        <f t="shared" si="125"/>
        <v>SRSTVDSVNEQILALITYTGCGISSIFLGVAVVTYIAFDYPAKILINLCTALLMLNLVFLINSWLGVCITAAVALHYFLLVSFTWMGLEAVHMYLALVKNYILKFCLVGWGIPAIMVAITVSVKKDLYDSIFYISVVAYFCLIFLMNLSMFCTVLVQLNSVKMILHDLKGTMSLTFLLGLTWGFAFFRNFFLYLFAIFNTLQGFFIFVFHCVMKESVREQWQIHLCCGWL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2848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2958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28</v>
      </c>
      <c r="AW338" s="4">
        <f t="shared" si="145"/>
        <v>2</v>
      </c>
      <c r="AX338" s="4">
        <f t="shared" si="146"/>
        <v>33</v>
      </c>
      <c r="AY338" s="4">
        <f t="shared" si="147"/>
        <v>24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'SegEnds_NonXtal_Prot#'!A336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'SegEnds_NonXtal_Prot#'!A337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'SegEnds_NonXtal_Prot#'!A338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'SegEnds_NonXtal_Prot#'!A339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'SegEnds_NonXtal_Prot#'!A340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'SegEnds_NonXtal_Prot#'!A341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'SegEnds_NonXtal_Prot#'!A342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'SegEnds_NonXtal_Prot#'!A343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'SegEnds_NonXtal_Prot#'!A344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'SegEnds_NonXtal_Prot#'!A345</f>
        <v>celr1_human</v>
      </c>
      <c r="B348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2570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2673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27</v>
      </c>
      <c r="AW348" s="4">
        <f t="shared" si="145"/>
        <v>2</v>
      </c>
      <c r="AX348" s="4">
        <f t="shared" si="146"/>
        <v>33</v>
      </c>
      <c r="AY348" s="4">
        <f t="shared" si="147"/>
        <v>24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'SegEnds_NonXtal_Prot#'!A346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'SegEnds_NonXtal_Prot#'!A347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'SegEnds_NonXtal_Prot#'!A349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'SegEnds_NonXtal_Prot#'!A350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'SegEnds_NonXtal_Prot#'!A351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'SegEnds_NonXtal_Prot#'!A352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'SegEnds_NonXtal_Prot#'!A353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'SegEnds_NonXtal_Prot#'!A354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'SegEnds_NonXtal_Prot#'!A355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'SegEnds_NonXtal_Prot#'!A356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'SegEnds_NonXtal_Prot#'!A357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'SegEnds_NonXtal_Prot#'!A358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'SegEnds_NonXtal_Prot#'!A360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'SegEnds_NonXtal_Prot#'!A361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'SegEnds_NonXtal_Prot#'!A362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'SegEnds_NonXtal_Prot#'!A363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'SegEnds_NonXtal_Prot#'!A364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'SegEnds_NonXtal_Prot#'!A365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'SegEnds_NonXtal_Prot#'!A366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'SegEnds_NonXtal_Prot#'!A368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'SegEnds_NonXtal_Prot#'!A369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'SegEnds_NonXtal_Prot#'!A370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'SegEnds_NonXtal_Prot#'!A372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'SegEnds_NonXtal_Prot#'!A373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'SegEnds_NonXtal_Prot#'!A374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'SegEnds_NonXtal_Prot#'!A375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'SegEnds_NonXtal_Prot#'!A376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'SegEnds_NonXtal_Prot#'!A377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'SegEnds_NonXtal_Prot#'!A378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'SegEnds_NonXtal_Prot#'!A379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'SegEnds_NonXtal_Prot#'!A380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'SegEnds_NonXtal_Prot#'!A384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'SegEnds_NonXtal_Prot#'!A381</f>
        <v>smo_human</v>
      </c>
      <c r="B381" s="1" t="str">
        <f t="shared" si="125"/>
        <v>TEAEHQDMHSYIAAFGAVTGLCTLFTLATFVADRYPAVILFYVNACFFVGSIGWLAQFLSCVIIFVIVYYALMAGVVWFVVLTYAWHTSFKAKTSYFHLLTWSLPFVLTVAILAVANYRYRAGFVLAPIGLVLIVGGYFLIRGVMTLFSIKSNHSEKAASKINETMLRLGIFGFLAFGFVLITFSCHFYDFFNQAEWERSFRDYVLCQANVTISLLVEKINLFAMFGTGIAMSTWVWTKATLLIWRRTWCRLT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</v>
      </c>
      <c r="K381" s="4" t="str">
        <f t="shared" si="131"/>
        <v/>
      </c>
      <c r="L381" s="4" t="str">
        <f t="shared" si="132"/>
        <v>KTSYFHLLTWSLPFVLTVAILAVA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SEKAASKINETMLRLGIFGFLAFGFVLITFSCHFYDFFNQAEWERSFRDYVLCQANVTI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356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438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345</v>
      </c>
      <c r="AI381" s="5" t="str">
        <f>VLOOKUP($A381,'SegEnds_NonXtal_Prot#'!$A:$AL,20,FALSE)</f>
        <v>-</v>
      </c>
      <c r="AJ381" s="5">
        <f>VLOOKUP($A381,'SegEnds_NonXtal_Prot#'!$A:$AL,23,FALSE)</f>
        <v>379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33</v>
      </c>
      <c r="AU381" s="4" t="str">
        <f t="shared" si="143"/>
        <v>-</v>
      </c>
      <c r="AV381" s="4">
        <f t="shared" si="144"/>
        <v>23</v>
      </c>
      <c r="AW381" s="4">
        <f t="shared" si="145"/>
        <v>2</v>
      </c>
      <c r="AX381" s="4">
        <f t="shared" si="146"/>
        <v>37</v>
      </c>
      <c r="AY381" s="4">
        <f t="shared" si="147"/>
        <v>58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'SegEnds_NonXtal_Prot#'!A386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'SegEnds_NonXtal_Prot#'!A387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'SegEnds_NonXtal_Prot#'!A385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'SegEnds_NonXtal_Prot#'!A388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'SegEnds_NonXtal_Prot#'!A390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'SegEnds_NonXtal_Prot#'!A391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'SegEnds_NonXtal_Prot#'!A392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'SegEnds_NonXtal_Prot#'!A393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'SegEnds_NonXtal_Prot#'!A394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'SegEnds_NonXtal_Prot#'!A395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'SegEnds_NonXtal_Prot#'!A396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'SegEnds_NonXtal_Prot#'!A397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'SegEnds_NonXtal_Prot#'!A399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'SegEnds_NonXtal_Prot#'!A400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'SegEnds_NonXtal_Prot#'!A401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'SegEnds_NonXtal_Prot#'!A402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'SegEnds_NonXtal_Prot#'!A403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'SegEnds_NonXtal_Prot#'!A405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'SegEnds_NonXtal_Prot#'!A406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'SegEnds_NonXtal_Prot#'!A407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'SegEnds_NonXtal_Prot#'!A408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'SegEnds_NonXtal_Prot#'!A409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'SegEnds_NonXtal_Prot#'!A410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'SegEnds_NonXtal_Prot#'!A411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'SegEnds_NonXtal_Prot#'!A412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5"/>
  <sheetViews>
    <sheetView workbookViewId="0">
      <selection activeCell="A337" sqref="A337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1157</v>
      </c>
      <c r="B1" s="32" t="s">
        <v>1115</v>
      </c>
      <c r="C1" s="32" t="s">
        <v>1403</v>
      </c>
      <c r="D1" s="33" t="s">
        <v>1227</v>
      </c>
      <c r="E1" s="32" t="s">
        <v>1404</v>
      </c>
      <c r="F1" s="32" t="s">
        <v>1405</v>
      </c>
      <c r="G1" s="85" t="s">
        <v>1368</v>
      </c>
      <c r="H1" s="32" t="s">
        <v>1493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909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929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1186</v>
      </c>
      <c r="B22" s="1" t="s">
        <v>401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1196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1201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1194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1192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1183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1190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1184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1185</v>
      </c>
      <c r="B30" s="1" t="s">
        <v>38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1189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1182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1181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1187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1197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1191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1195</v>
      </c>
      <c r="B37" s="1" t="s">
        <v>38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1413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1193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1176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1177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1178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1200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1199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1180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1198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1179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1188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1171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1171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132</v>
      </c>
      <c r="C58" t="s">
        <v>917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1171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1175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923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1174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150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909</v>
      </c>
      <c r="C104" t="s">
        <v>909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150</v>
      </c>
      <c r="C105" t="s">
        <v>909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Xtal</v>
      </c>
      <c r="J105" s="3"/>
    </row>
    <row r="106" spans="1:10" x14ac:dyDescent="0.2">
      <c r="A106" s="3" t="s">
        <v>909</v>
      </c>
      <c r="B106" s="1" t="s">
        <v>909</v>
      </c>
      <c r="C106" t="s">
        <v>909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909</v>
      </c>
      <c r="C107" t="s">
        <v>909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911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911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911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311</v>
      </c>
      <c r="C113" t="s">
        <v>911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Xtal</v>
      </c>
      <c r="J113" s="3"/>
    </row>
    <row r="114" spans="1:10" x14ac:dyDescent="0.2">
      <c r="A114" s="3" t="s">
        <v>102</v>
      </c>
      <c r="B114" s="1" t="s">
        <v>126</v>
      </c>
      <c r="C114" t="s">
        <v>911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911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911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911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911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911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911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911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911</v>
      </c>
      <c r="B122" s="1" t="s">
        <v>911</v>
      </c>
      <c r="C122" t="s">
        <v>911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911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911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175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180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175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175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175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175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175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175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1171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1171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1171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1171</v>
      </c>
      <c r="B174" s="1" t="s">
        <v>1171</v>
      </c>
      <c r="C174" t="s">
        <v>1171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175</v>
      </c>
      <c r="C175" t="s">
        <v>1171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175</v>
      </c>
      <c r="C176" t="s">
        <v>1171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1171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1171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1174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133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1172</v>
      </c>
      <c r="B194" s="1" t="s">
        <v>1172</v>
      </c>
      <c r="C194" t="s">
        <v>1172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1172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913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127</v>
      </c>
      <c r="C240" t="s">
        <v>913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913</v>
      </c>
      <c r="C241" t="s">
        <v>913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127</v>
      </c>
      <c r="C242" t="s">
        <v>913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Xtal</v>
      </c>
      <c r="J242" s="3"/>
    </row>
    <row r="243" spans="1:10" x14ac:dyDescent="0.2">
      <c r="A243" s="3" t="s">
        <v>913</v>
      </c>
      <c r="B243" s="1" t="s">
        <v>913</v>
      </c>
      <c r="C243" t="s">
        <v>913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127</v>
      </c>
      <c r="C244" t="s">
        <v>913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913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913</v>
      </c>
      <c r="C246" t="s">
        <v>913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913</v>
      </c>
      <c r="C247" t="s">
        <v>913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913</v>
      </c>
      <c r="C248" t="s">
        <v>913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913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915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917</v>
      </c>
      <c r="C251" t="s">
        <v>915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915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915</v>
      </c>
      <c r="B254" s="1" t="s">
        <v>915</v>
      </c>
      <c r="C254" t="s">
        <v>915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915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915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1175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917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917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917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917</v>
      </c>
      <c r="B266" s="1" t="s">
        <v>917</v>
      </c>
      <c r="C266" t="s">
        <v>917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917</v>
      </c>
      <c r="C267" t="s">
        <v>917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917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1175</v>
      </c>
      <c r="C269" t="s">
        <v>917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917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917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917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175</v>
      </c>
      <c r="C273" t="s">
        <v>1173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915</v>
      </c>
      <c r="C274" t="s">
        <v>1173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1173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913</v>
      </c>
      <c r="C276" t="s">
        <v>1173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132</v>
      </c>
      <c r="C277" t="s">
        <v>1173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1173</v>
      </c>
      <c r="B278" s="1" t="s">
        <v>1173</v>
      </c>
      <c r="C278" t="s">
        <v>1173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1173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1173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1173</v>
      </c>
      <c r="C281" t="s">
        <v>1173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127</v>
      </c>
      <c r="C282" t="s">
        <v>1173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1173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919</v>
      </c>
      <c r="B284" s="1" t="s">
        <v>919</v>
      </c>
      <c r="C284" t="s">
        <v>919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919</v>
      </c>
      <c r="C285" t="s">
        <v>919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919</v>
      </c>
      <c r="C291" t="s">
        <v>921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919</v>
      </c>
      <c r="C292" t="s">
        <v>921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921</v>
      </c>
      <c r="B293" s="1" t="s">
        <v>921</v>
      </c>
      <c r="C293" t="s">
        <v>921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132</v>
      </c>
      <c r="C294" t="s">
        <v>1174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325</v>
      </c>
      <c r="C295" t="s">
        <v>1174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1174</v>
      </c>
      <c r="C296" t="s">
        <v>1174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1174</v>
      </c>
      <c r="B297" s="1" t="s">
        <v>1174</v>
      </c>
      <c r="C297" t="s">
        <v>1174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1174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1175</v>
      </c>
      <c r="C299" t="s">
        <v>1174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1174</v>
      </c>
      <c r="C300" t="s">
        <v>1174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1174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311</v>
      </c>
      <c r="C302" t="s">
        <v>1174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1174</v>
      </c>
      <c r="C303" t="s">
        <v>1174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1175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1175</v>
      </c>
      <c r="C305" t="s">
        <v>1175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1175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1175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1175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132</v>
      </c>
      <c r="C309" t="s">
        <v>1175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132</v>
      </c>
      <c r="C310" t="s">
        <v>1175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1175</v>
      </c>
      <c r="C311" t="s">
        <v>1175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1174</v>
      </c>
      <c r="C312" t="s">
        <v>1175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1175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312</v>
      </c>
      <c r="C314" t="s">
        <v>1175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Xtal</v>
      </c>
      <c r="J314" s="3"/>
    </row>
    <row r="315" spans="1:10" x14ac:dyDescent="0.2">
      <c r="A315" s="3" t="s">
        <v>208</v>
      </c>
      <c r="B315" s="1" t="s">
        <v>1175</v>
      </c>
      <c r="C315" t="s">
        <v>1175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1174</v>
      </c>
      <c r="C316" t="s">
        <v>1175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1175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1175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1175</v>
      </c>
      <c r="C319" t="s">
        <v>1175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1175</v>
      </c>
      <c r="B320" s="1" t="s">
        <v>1175</v>
      </c>
      <c r="C320" t="s">
        <v>1175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1175</v>
      </c>
      <c r="C321" t="s">
        <v>1175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1175</v>
      </c>
      <c r="C322" t="s">
        <v>1175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1174</v>
      </c>
      <c r="C323" t="s">
        <v>1175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9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1175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1175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1175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1175</v>
      </c>
      <c r="C327" t="s">
        <v>1175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311</v>
      </c>
      <c r="C328" t="s">
        <v>1175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1175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1597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1597</v>
      </c>
      <c r="B335" s="1" t="s">
        <v>1597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ref="G335" si="6">OR(D335=F335,AND(D335="T",F335="A"),AND(D335="B2",F335="B1"),D335="O")</f>
        <v>1</v>
      </c>
      <c r="H335" s="10" t="str">
        <f>IF(ISERROR(MATCH(A335,'SegEnds_Xtal_Prot#'!B:B, 0)), "NoXtal", "Xtal")</f>
        <v>Xtal</v>
      </c>
      <c r="J335" s="3"/>
    </row>
    <row r="336" spans="1:10" x14ac:dyDescent="0.2">
      <c r="A336" s="3" t="s">
        <v>231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180</v>
      </c>
      <c r="B337" s="1" t="s">
        <v>180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Xtal</v>
      </c>
      <c r="J337" s="3"/>
    </row>
    <row r="338" spans="1:10" x14ac:dyDescent="0.2">
      <c r="A338" s="3" t="s">
        <v>179</v>
      </c>
      <c r="B338" s="1" t="s">
        <v>179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Xtal</v>
      </c>
      <c r="J338" s="3"/>
    </row>
    <row r="339" spans="1:10" x14ac:dyDescent="0.2">
      <c r="A339" s="3" t="s">
        <v>240</v>
      </c>
      <c r="B339" s="1" t="s">
        <v>180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301</v>
      </c>
      <c r="B340" s="1" t="s">
        <v>158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241</v>
      </c>
      <c r="B341" s="1" t="s">
        <v>175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294</v>
      </c>
      <c r="B342" s="1" t="s">
        <v>158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370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NoXtal</v>
      </c>
      <c r="J343" s="3"/>
    </row>
    <row r="344" spans="1:10" x14ac:dyDescent="0.2">
      <c r="A344" s="3" t="s">
        <v>345</v>
      </c>
      <c r="B344" s="1" t="s">
        <v>345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Xtal</v>
      </c>
      <c r="J344" s="3"/>
    </row>
    <row r="345" spans="1:10" x14ac:dyDescent="0.2">
      <c r="A345" s="3" t="s">
        <v>305</v>
      </c>
      <c r="B345" s="1" t="s">
        <v>158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290</v>
      </c>
      <c r="B346" s="1" t="s">
        <v>179</v>
      </c>
      <c r="C346" t="s">
        <v>345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H346" s="10" t="str">
        <f>IF(ISERROR(MATCH(A346,'SegEnds_Xtal_Prot#'!B:B, 0)), "NoXtal", "Xtal")</f>
        <v>NoXtal</v>
      </c>
      <c r="J346" s="3"/>
    </row>
    <row r="347" spans="1:10" x14ac:dyDescent="0.2">
      <c r="A347" s="3" t="s">
        <v>1440</v>
      </c>
      <c r="B347" s="1" t="s">
        <v>1440</v>
      </c>
      <c r="C347" t="s">
        <v>1440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1451</v>
      </c>
      <c r="B348" s="1" t="s">
        <v>1451</v>
      </c>
      <c r="C348" t="s">
        <v>1451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>OR(D348=F348,AND(D348="T",F348="A"),AND(D348="B2",F348="B1"),D348="O")</f>
        <v>1</v>
      </c>
      <c r="H348" s="10" t="str">
        <f>IF(ISERROR(MATCH(A348,'SegEnds_Xtal_Prot#'!B:B, 0)), "NoXtal", "Xtal")</f>
        <v>Xtal</v>
      </c>
      <c r="J348" s="3"/>
    </row>
    <row r="349" spans="1:10" x14ac:dyDescent="0.2">
      <c r="A349" s="3" t="s">
        <v>303</v>
      </c>
      <c r="B349" s="1" t="s">
        <v>165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351</v>
      </c>
      <c r="B350" s="1" t="s">
        <v>345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288</v>
      </c>
      <c r="B351" s="1" t="s">
        <v>336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347</v>
      </c>
      <c r="B352" s="1" t="s">
        <v>345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295</v>
      </c>
      <c r="B353" s="1" t="s">
        <v>177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275</v>
      </c>
      <c r="B354" s="1" t="s">
        <v>345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276</v>
      </c>
      <c r="B355" s="1" t="s">
        <v>180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346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214</v>
      </c>
      <c r="B357" s="1" t="s">
        <v>345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289</v>
      </c>
      <c r="B358" s="1" t="s">
        <v>180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257</v>
      </c>
      <c r="B359" s="1" t="s">
        <v>371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277</v>
      </c>
      <c r="B360" s="1" t="s">
        <v>345</v>
      </c>
      <c r="C360" t="s">
        <v>345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229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353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354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NoXtal</v>
      </c>
      <c r="J363" s="3"/>
    </row>
    <row r="364" spans="1:10" x14ac:dyDescent="0.2">
      <c r="A364" s="3" t="s">
        <v>352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Xtal</v>
      </c>
      <c r="J364" s="3"/>
    </row>
    <row r="365" spans="1:10" x14ac:dyDescent="0.2">
      <c r="A365" s="3" t="s">
        <v>272</v>
      </c>
      <c r="B365" s="1" t="s">
        <v>352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307</v>
      </c>
      <c r="B366" s="1" t="s">
        <v>360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NoXtal</v>
      </c>
      <c r="J366" s="3"/>
    </row>
    <row r="367" spans="1:10" x14ac:dyDescent="0.2">
      <c r="A367" s="3" t="s">
        <v>371</v>
      </c>
      <c r="B367" s="1" t="s">
        <v>371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Xtal</v>
      </c>
      <c r="J367" s="3"/>
    </row>
    <row r="368" spans="1:10" x14ac:dyDescent="0.2">
      <c r="A368" s="3" t="s">
        <v>234</v>
      </c>
      <c r="B368" s="1" t="s">
        <v>173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365</v>
      </c>
      <c r="B369" s="1" t="s">
        <v>473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253</v>
      </c>
      <c r="B370" s="1" t="s">
        <v>180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NoXtal</v>
      </c>
      <c r="J370" s="3"/>
    </row>
    <row r="371" spans="1:10" x14ac:dyDescent="0.2">
      <c r="A371" s="3" t="s">
        <v>364</v>
      </c>
      <c r="B371" s="1" t="s">
        <v>364</v>
      </c>
      <c r="C371" t="s">
        <v>352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Xtal</v>
      </c>
      <c r="J371" s="3"/>
    </row>
    <row r="372" spans="1:10" x14ac:dyDescent="0.2">
      <c r="A372" s="3" t="s">
        <v>357</v>
      </c>
      <c r="B372" s="1" t="s">
        <v>356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261</v>
      </c>
      <c r="B373" s="1" t="s">
        <v>336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254</v>
      </c>
      <c r="B374" s="1" t="s">
        <v>336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302</v>
      </c>
      <c r="B375" s="1" t="s">
        <v>1171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358</v>
      </c>
      <c r="B376" s="1" t="s">
        <v>356</v>
      </c>
      <c r="C376" t="s">
        <v>355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NoXtal</v>
      </c>
      <c r="J376" s="3"/>
    </row>
    <row r="377" spans="1:10" x14ac:dyDescent="0.2">
      <c r="A377" s="3" t="s">
        <v>356</v>
      </c>
      <c r="B377" s="1" t="s">
        <v>356</v>
      </c>
      <c r="C377" t="s">
        <v>356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355</v>
      </c>
      <c r="B378" s="1" t="s">
        <v>355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Xtal</v>
      </c>
      <c r="J378" s="3"/>
    </row>
    <row r="379" spans="1:10" x14ac:dyDescent="0.2">
      <c r="A379" s="3" t="s">
        <v>243</v>
      </c>
      <c r="B379" s="1" t="s">
        <v>336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349</v>
      </c>
      <c r="B380" s="1" t="s">
        <v>356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199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258</v>
      </c>
      <c r="B382" s="1" t="s">
        <v>355</v>
      </c>
      <c r="C382" t="s">
        <v>355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309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151</v>
      </c>
      <c r="B384" s="1" t="s">
        <v>104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296</v>
      </c>
      <c r="B385" s="1" t="s">
        <v>103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297</v>
      </c>
      <c r="B386" s="1" t="s">
        <v>104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238</v>
      </c>
      <c r="B387" s="1" t="s">
        <v>103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262</v>
      </c>
      <c r="B388" s="1" t="s">
        <v>104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NoXtal</v>
      </c>
      <c r="J388" s="3"/>
    </row>
    <row r="389" spans="1:10" x14ac:dyDescent="0.2">
      <c r="A389" s="3" t="s">
        <v>363</v>
      </c>
      <c r="B389" s="1" t="s">
        <v>363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si="5"/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473</v>
      </c>
      <c r="B390" s="1" t="s">
        <v>473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ref="G390:G410" si="7">OR(D390=F390,AND(D390="T",F390="A"),AND(D390="B2",F390="B1"),D390="O")</f>
        <v>1</v>
      </c>
      <c r="H390" s="10" t="str">
        <f>IF(ISERROR(MATCH(A390,'SegEnds_Xtal_Prot#'!B:B, 0)), "NoXtal", "Xtal")</f>
        <v>Xtal</v>
      </c>
      <c r="J390" s="3"/>
    </row>
    <row r="391" spans="1:10" x14ac:dyDescent="0.2">
      <c r="A391" s="3" t="s">
        <v>213</v>
      </c>
      <c r="B391" s="1" t="s">
        <v>132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7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377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7"/>
        <v>1</v>
      </c>
      <c r="H392" s="10" t="str">
        <f>IF(ISERROR(MATCH(A392,'SegEnds_Xtal_Prot#'!B:B, 0)), "NoXtal", "Xtal")</f>
        <v>NoXtal</v>
      </c>
      <c r="J392" s="3"/>
    </row>
    <row r="393" spans="1:10" x14ac:dyDescent="0.2">
      <c r="A393" s="3" t="s">
        <v>104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7"/>
        <v>1</v>
      </c>
      <c r="H393" s="10" t="str">
        <f>IF(ISERROR(MATCH(A393,'SegEnds_Xtal_Prot#'!B:B, 0)), "NoXtal", "Xtal")</f>
        <v>Xtal</v>
      </c>
      <c r="J393" s="3"/>
    </row>
    <row r="394" spans="1:10" x14ac:dyDescent="0.2">
      <c r="A394" s="3" t="s">
        <v>379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7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378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7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380</v>
      </c>
      <c r="B396" s="1" t="s">
        <v>104</v>
      </c>
      <c r="C396" t="s">
        <v>104</v>
      </c>
      <c r="D396" s="28" t="str">
        <f>VLOOKUP(A396,Classification!$A:$D,2,FALSE)</f>
        <v>A</v>
      </c>
      <c r="E396" s="49" t="str">
        <f>VLOOKUP(B396,Classification!$A:$D,2,FALSE)</f>
        <v>A</v>
      </c>
      <c r="F396" s="15" t="str">
        <f>VLOOKUP(C396,Classification!$A:$D,2,FALSE)</f>
        <v>A</v>
      </c>
      <c r="G396" s="15" t="b">
        <f t="shared" si="7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448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7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453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7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446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7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450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7"/>
        <v>1</v>
      </c>
      <c r="H400" s="10" t="str">
        <f>IF(ISERROR(MATCH(A400,'SegEnds_Xtal_Prot#'!B:B, 0)), "NoXtal", "Xtal")</f>
        <v>Xtal</v>
      </c>
      <c r="J400" s="3"/>
    </row>
    <row r="401" spans="1:10" x14ac:dyDescent="0.2">
      <c r="A401" s="3" t="s">
        <v>447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7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455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7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451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7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454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7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449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7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452</v>
      </c>
      <c r="B406" s="1" t="s">
        <v>450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7"/>
        <v>1</v>
      </c>
      <c r="H406" s="10" t="str">
        <f>IF(ISERROR(MATCH(A406,'SegEnds_Xtal_Prot#'!B:B, 0)), "NoXtal", "Xtal")</f>
        <v>NoXtal</v>
      </c>
      <c r="J406" s="3"/>
    </row>
    <row r="407" spans="1:10" x14ac:dyDescent="0.2">
      <c r="A407" s="3" t="s">
        <v>33</v>
      </c>
      <c r="B407" s="1" t="s">
        <v>33</v>
      </c>
      <c r="C407" t="s">
        <v>33</v>
      </c>
      <c r="D407" s="28" t="str">
        <f>VLOOKUP(A407,Classification!$A:$D,2,FALSE)</f>
        <v>F</v>
      </c>
      <c r="E407" s="49" t="str">
        <f>VLOOKUP(B407,Classification!$A:$D,2,FALSE)</f>
        <v>F</v>
      </c>
      <c r="F407" s="15" t="str">
        <f>VLOOKUP(C407,Classification!$A:$D,2,FALSE)</f>
        <v>F</v>
      </c>
      <c r="G407" s="15" t="b">
        <f t="shared" si="7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1594</v>
      </c>
      <c r="B408" s="1" t="s">
        <v>1594</v>
      </c>
      <c r="C408" s="1" t="s">
        <v>1594</v>
      </c>
      <c r="D408" s="28" t="str">
        <f>VLOOKUP(A408,Classification!$A:$D,2,FALSE)</f>
        <v>F</v>
      </c>
      <c r="E408" s="49" t="str">
        <f>VLOOKUP(B408,Classification!$A:$D,2,FALSE)</f>
        <v>F</v>
      </c>
      <c r="F408" s="15" t="str">
        <f>VLOOKUP(C408,Classification!$A:$D,2,FALSE)</f>
        <v>F</v>
      </c>
      <c r="G408" s="15" t="b">
        <f>OR(D408=F408,AND(D408="T",F408="A"),AND(D408="B2",F408="B1"),D408="O")</f>
        <v>1</v>
      </c>
      <c r="H408" s="10" t="str">
        <f>IF(ISERROR(MATCH(A408,'SegEnds_Xtal_Prot#'!B:B, 0)), "NoXtal", "Xtal")</f>
        <v>Xtal</v>
      </c>
    </row>
    <row r="409" spans="1:10" x14ac:dyDescent="0.2">
      <c r="A409" s="3" t="s">
        <v>923</v>
      </c>
      <c r="B409" s="1" t="s">
        <v>923</v>
      </c>
      <c r="C409" t="s">
        <v>923</v>
      </c>
      <c r="D409" s="28" t="str">
        <f>VLOOKUP(A409,Classification!$A:$D,2,FALSE)</f>
        <v>A</v>
      </c>
      <c r="E409" s="49" t="str">
        <f>VLOOKUP(B409,Classification!$A:$D,2,FALSE)</f>
        <v>A</v>
      </c>
      <c r="F409" s="15" t="str">
        <f>VLOOKUP(C409,Classification!$A:$D,2,FALSE)</f>
        <v>A</v>
      </c>
      <c r="G409" s="15" t="b">
        <f t="shared" si="7"/>
        <v>1</v>
      </c>
      <c r="H409" s="10" t="str">
        <f>IF(ISERROR(MATCH(A409,'SegEnds_Xtal_Prot#'!B:B, 0)), "NoXtal", "Xtal")</f>
        <v>Xtal</v>
      </c>
      <c r="J409" s="3"/>
    </row>
    <row r="410" spans="1:10" x14ac:dyDescent="0.2">
      <c r="A410" s="3" t="s">
        <v>221</v>
      </c>
      <c r="B410" s="1" t="s">
        <v>104</v>
      </c>
      <c r="C410" t="s">
        <v>923</v>
      </c>
      <c r="D410" s="28" t="str">
        <f>VLOOKUP(A410,Classification!$A:$D,2,FALSE)</f>
        <v>A</v>
      </c>
      <c r="E410" s="49" t="str">
        <f>VLOOKUP(B410,Classification!$A:$D,2,FALSE)</f>
        <v>A</v>
      </c>
      <c r="F410" s="15" t="str">
        <f>VLOOKUP(C410,Classification!$A:$D,2,FALSE)</f>
        <v>A</v>
      </c>
      <c r="G410" s="15" t="b">
        <f t="shared" si="7"/>
        <v>1</v>
      </c>
      <c r="H410" s="10" t="str">
        <f>IF(ISERROR(MATCH(A410,'SegEnds_Xtal_Prot#'!B:B, 0)), "NoXtal", "Xtal")</f>
        <v>NoXtal</v>
      </c>
      <c r="J410" s="3"/>
    </row>
    <row r="411" spans="1:10" x14ac:dyDescent="0.2">
      <c r="A411" s="1" t="s">
        <v>1420</v>
      </c>
      <c r="B411" s="1" t="s">
        <v>1420</v>
      </c>
      <c r="C411" t="s">
        <v>1420</v>
      </c>
      <c r="D411" s="28" t="str">
        <f>VLOOKUP(A411,Classification!$A:$D,2,FALSE)</f>
        <v>B1</v>
      </c>
      <c r="E411" s="49" t="str">
        <f>VLOOKUP(B411,Classification!$A:$D,2,FALSE)</f>
        <v>B1</v>
      </c>
      <c r="F411" s="15" t="str">
        <f>VLOOKUP(C411,Classification!$A:$D,2,FALSE)</f>
        <v>B1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12" spans="1:10" x14ac:dyDescent="0.2">
      <c r="A412" s="1" t="s">
        <v>1495</v>
      </c>
      <c r="B412" s="1" t="s">
        <v>1495</v>
      </c>
      <c r="C412" s="121" t="s">
        <v>1495</v>
      </c>
      <c r="D412" s="28" t="str">
        <f>VLOOKUP(A412,Classification!$A:$D,2,FALSE)</f>
        <v>F</v>
      </c>
      <c r="E412" s="49" t="str">
        <f>VLOOKUP(B412,Classification!$A:$D,2,FALSE)</f>
        <v>F</v>
      </c>
      <c r="F412" s="15" t="str">
        <f>VLOOKUP(C412,Classification!$A:$D,2,FALSE)</f>
        <v>F</v>
      </c>
      <c r="G412" s="15" t="b">
        <f>OR(D412=F412,AND(D412="T",F412="A"),AND(D412="B2",F412="B1"),D412="O")</f>
        <v>1</v>
      </c>
      <c r="H412" s="10" t="str">
        <f>IF(ISERROR(MATCH(A412,'SegEnds_Xtal_Prot#'!B:B, 0)), "NoXtal", "Xtal")</f>
        <v>Xtal</v>
      </c>
    </row>
    <row r="413" spans="1:10" x14ac:dyDescent="0.2">
      <c r="A413" s="1" t="s">
        <v>1507</v>
      </c>
      <c r="B413" s="1" t="s">
        <v>1507</v>
      </c>
      <c r="C413" s="121" t="s">
        <v>1507</v>
      </c>
      <c r="D413" s="28" t="str">
        <f>VLOOKUP(A413,Classification!$A:$D,2,FALSE)</f>
        <v>A</v>
      </c>
      <c r="E413" s="49" t="str">
        <f>VLOOKUP(B413,Classification!$A:$D,2,FALSE)</f>
        <v>A</v>
      </c>
      <c r="F413" s="15" t="str">
        <f>VLOOKUP(C413,Classification!$A:$D,2,FALSE)</f>
        <v>A</v>
      </c>
      <c r="G413" s="15" t="b">
        <f>OR(D413=F413,AND(D413="T",F413="A"),AND(D413="B2",F413="B1"),D413="O")</f>
        <v>1</v>
      </c>
      <c r="H413" s="10" t="str">
        <f>IF(ISERROR(MATCH(A413,'SegEnds_Xtal_Prot#'!B:B, 0)), "NoXtal", "Xtal")</f>
        <v>Xtal</v>
      </c>
    </row>
    <row r="435" spans="4:7" ht="17" customHeight="1" x14ac:dyDescent="0.2">
      <c r="D435" s="7"/>
      <c r="E435" s="7"/>
      <c r="F435" s="7"/>
      <c r="G435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9" priority="5" operator="equal">
      <formula>FALSE</formula>
    </cfRule>
  </conditionalFormatting>
  <conditionalFormatting sqref="G2:G407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5"/>
  <sheetViews>
    <sheetView workbookViewId="0">
      <pane ySplit="1" topLeftCell="A349" activePane="bottomLeft" state="frozenSplit"/>
      <selection pane="bottomLeft" activeCell="B374" sqref="B374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931</v>
      </c>
      <c r="C1" s="10" t="s">
        <v>934</v>
      </c>
      <c r="D1" s="10" t="s">
        <v>935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936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936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936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936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936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936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936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936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936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936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936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936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938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938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938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938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938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938</v>
      </c>
    </row>
    <row r="20" spans="1:4" x14ac:dyDescent="0.2">
      <c r="A20" s="3" t="s">
        <v>138</v>
      </c>
      <c r="B20" s="3" t="s">
        <v>1</v>
      </c>
      <c r="C20" s="3" t="s">
        <v>937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937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937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937</v>
      </c>
      <c r="D23" s="3" t="s">
        <v>15</v>
      </c>
    </row>
    <row r="24" spans="1:4" x14ac:dyDescent="0.2">
      <c r="A24" s="3" t="s">
        <v>414</v>
      </c>
      <c r="B24" s="3" t="s">
        <v>943</v>
      </c>
      <c r="C24" s="3" t="s">
        <v>944</v>
      </c>
      <c r="D24" s="3" t="s">
        <v>945</v>
      </c>
    </row>
    <row r="25" spans="1:4" x14ac:dyDescent="0.2">
      <c r="A25" s="3" t="s">
        <v>415</v>
      </c>
      <c r="B25" s="3" t="s">
        <v>943</v>
      </c>
      <c r="C25" s="3" t="s">
        <v>944</v>
      </c>
      <c r="D25" s="3" t="s">
        <v>945</v>
      </c>
    </row>
    <row r="26" spans="1:4" x14ac:dyDescent="0.2">
      <c r="A26" s="3" t="s">
        <v>416</v>
      </c>
      <c r="B26" s="3" t="s">
        <v>943</v>
      </c>
      <c r="C26" s="3" t="s">
        <v>944</v>
      </c>
      <c r="D26" s="3" t="s">
        <v>945</v>
      </c>
    </row>
    <row r="27" spans="1:4" x14ac:dyDescent="0.2">
      <c r="A27" s="3" t="s">
        <v>417</v>
      </c>
      <c r="B27" s="3" t="s">
        <v>943</v>
      </c>
      <c r="C27" s="3" t="s">
        <v>944</v>
      </c>
      <c r="D27" s="3" t="s">
        <v>945</v>
      </c>
    </row>
    <row r="28" spans="1:4" x14ac:dyDescent="0.2">
      <c r="A28" s="3" t="s">
        <v>418</v>
      </c>
      <c r="B28" s="3" t="s">
        <v>943</v>
      </c>
      <c r="C28" s="3" t="s">
        <v>944</v>
      </c>
      <c r="D28" s="3" t="s">
        <v>945</v>
      </c>
    </row>
    <row r="29" spans="1:4" x14ac:dyDescent="0.2">
      <c r="A29" s="3" t="s">
        <v>419</v>
      </c>
      <c r="B29" s="3" t="s">
        <v>943</v>
      </c>
      <c r="C29" s="3" t="s">
        <v>944</v>
      </c>
      <c r="D29" s="3" t="s">
        <v>945</v>
      </c>
    </row>
    <row r="30" spans="1:4" x14ac:dyDescent="0.2">
      <c r="A30" s="3" t="s">
        <v>420</v>
      </c>
      <c r="B30" s="3" t="s">
        <v>943</v>
      </c>
      <c r="C30" s="3" t="s">
        <v>944</v>
      </c>
      <c r="D30" s="3" t="s">
        <v>945</v>
      </c>
    </row>
    <row r="31" spans="1:4" x14ac:dyDescent="0.2">
      <c r="A31" s="3" t="s">
        <v>421</v>
      </c>
      <c r="B31" s="3" t="s">
        <v>943</v>
      </c>
      <c r="C31" s="3" t="s">
        <v>944</v>
      </c>
      <c r="D31" s="3" t="s">
        <v>945</v>
      </c>
    </row>
    <row r="32" spans="1:4" x14ac:dyDescent="0.2">
      <c r="A32" s="3" t="s">
        <v>422</v>
      </c>
      <c r="B32" s="3" t="s">
        <v>943</v>
      </c>
      <c r="C32" s="3" t="s">
        <v>944</v>
      </c>
      <c r="D32" s="3" t="s">
        <v>945</v>
      </c>
    </row>
    <row r="33" spans="1:4" x14ac:dyDescent="0.2">
      <c r="A33" s="3" t="s">
        <v>423</v>
      </c>
      <c r="B33" s="3" t="s">
        <v>943</v>
      </c>
      <c r="C33" s="3" t="s">
        <v>944</v>
      </c>
      <c r="D33" s="3" t="s">
        <v>945</v>
      </c>
    </row>
    <row r="34" spans="1:4" x14ac:dyDescent="0.2">
      <c r="A34" s="3" t="s">
        <v>424</v>
      </c>
      <c r="B34" s="3" t="s">
        <v>943</v>
      </c>
      <c r="C34" s="3" t="s">
        <v>944</v>
      </c>
      <c r="D34" s="3" t="s">
        <v>945</v>
      </c>
    </row>
    <row r="35" spans="1:4" x14ac:dyDescent="0.2">
      <c r="A35" s="3" t="s">
        <v>425</v>
      </c>
      <c r="B35" s="3" t="s">
        <v>943</v>
      </c>
      <c r="C35" s="3" t="s">
        <v>944</v>
      </c>
      <c r="D35" s="3" t="s">
        <v>945</v>
      </c>
    </row>
    <row r="36" spans="1:4" x14ac:dyDescent="0.2">
      <c r="A36" s="3" t="s">
        <v>426</v>
      </c>
      <c r="B36" s="3" t="s">
        <v>943</v>
      </c>
      <c r="C36" s="3" t="s">
        <v>944</v>
      </c>
      <c r="D36" s="3" t="s">
        <v>945</v>
      </c>
    </row>
    <row r="37" spans="1:4" x14ac:dyDescent="0.2">
      <c r="A37" s="3" t="s">
        <v>427</v>
      </c>
      <c r="B37" s="3" t="s">
        <v>943</v>
      </c>
      <c r="C37" s="3" t="s">
        <v>944</v>
      </c>
      <c r="D37" s="3" t="s">
        <v>945</v>
      </c>
    </row>
    <row r="38" spans="1:4" x14ac:dyDescent="0.2">
      <c r="A38" s="3" t="s">
        <v>428</v>
      </c>
      <c r="B38" s="3" t="s">
        <v>943</v>
      </c>
      <c r="C38" s="3" t="s">
        <v>944</v>
      </c>
      <c r="D38" s="3" t="s">
        <v>945</v>
      </c>
    </row>
    <row r="39" spans="1:4" x14ac:dyDescent="0.2">
      <c r="A39" s="3" t="s">
        <v>429</v>
      </c>
      <c r="B39" s="3" t="s">
        <v>943</v>
      </c>
      <c r="C39" s="3" t="s">
        <v>944</v>
      </c>
      <c r="D39" s="3" t="s">
        <v>945</v>
      </c>
    </row>
    <row r="40" spans="1:4" x14ac:dyDescent="0.2">
      <c r="A40" s="3" t="s">
        <v>430</v>
      </c>
      <c r="B40" s="3" t="s">
        <v>943</v>
      </c>
      <c r="C40" s="3" t="s">
        <v>944</v>
      </c>
      <c r="D40" s="3" t="s">
        <v>945</v>
      </c>
    </row>
    <row r="41" spans="1:4" x14ac:dyDescent="0.2">
      <c r="A41" s="3" t="s">
        <v>431</v>
      </c>
      <c r="B41" s="3" t="s">
        <v>943</v>
      </c>
      <c r="C41" s="3" t="s">
        <v>944</v>
      </c>
      <c r="D41" s="3" t="s">
        <v>945</v>
      </c>
    </row>
    <row r="42" spans="1:4" x14ac:dyDescent="0.2">
      <c r="A42" s="3" t="s">
        <v>432</v>
      </c>
      <c r="B42" s="3" t="s">
        <v>943</v>
      </c>
      <c r="C42" s="3" t="s">
        <v>944</v>
      </c>
      <c r="D42" s="3" t="s">
        <v>945</v>
      </c>
    </row>
    <row r="43" spans="1:4" x14ac:dyDescent="0.2">
      <c r="A43" s="3" t="s">
        <v>433</v>
      </c>
      <c r="B43" s="3" t="s">
        <v>943</v>
      </c>
      <c r="C43" s="3" t="s">
        <v>944</v>
      </c>
      <c r="D43" s="3" t="s">
        <v>945</v>
      </c>
    </row>
    <row r="44" spans="1:4" x14ac:dyDescent="0.2">
      <c r="A44" s="3" t="s">
        <v>434</v>
      </c>
      <c r="B44" s="3" t="s">
        <v>943</v>
      </c>
      <c r="C44" s="3" t="s">
        <v>944</v>
      </c>
      <c r="D44" s="3" t="s">
        <v>945</v>
      </c>
    </row>
    <row r="45" spans="1:4" x14ac:dyDescent="0.2">
      <c r="A45" s="3" t="s">
        <v>435</v>
      </c>
      <c r="B45" s="3" t="s">
        <v>943</v>
      </c>
      <c r="C45" s="3" t="s">
        <v>944</v>
      </c>
      <c r="D45" s="3" t="s">
        <v>945</v>
      </c>
    </row>
    <row r="46" spans="1:4" x14ac:dyDescent="0.2">
      <c r="A46" s="3" t="s">
        <v>1413</v>
      </c>
      <c r="B46" s="3" t="s">
        <v>943</v>
      </c>
      <c r="C46" s="3" t="s">
        <v>944</v>
      </c>
      <c r="D46" s="3" t="s">
        <v>945</v>
      </c>
    </row>
    <row r="47" spans="1:4" x14ac:dyDescent="0.2">
      <c r="A47" s="3" t="s">
        <v>436</v>
      </c>
      <c r="B47" s="3" t="s">
        <v>943</v>
      </c>
      <c r="C47" s="3" t="s">
        <v>944</v>
      </c>
      <c r="D47" s="3" t="s">
        <v>945</v>
      </c>
    </row>
    <row r="48" spans="1:4" x14ac:dyDescent="0.2">
      <c r="A48" s="3" t="s">
        <v>437</v>
      </c>
      <c r="B48" s="3" t="s">
        <v>943</v>
      </c>
      <c r="C48" s="3" t="s">
        <v>944</v>
      </c>
      <c r="D48" s="3" t="s">
        <v>945</v>
      </c>
    </row>
    <row r="49" spans="1:4" x14ac:dyDescent="0.2">
      <c r="A49" s="3" t="s">
        <v>438</v>
      </c>
      <c r="B49" s="3" t="s">
        <v>943</v>
      </c>
      <c r="C49" s="3" t="s">
        <v>944</v>
      </c>
      <c r="D49" s="3" t="s">
        <v>945</v>
      </c>
    </row>
    <row r="50" spans="1:4" x14ac:dyDescent="0.2">
      <c r="A50" s="3" t="s">
        <v>439</v>
      </c>
      <c r="B50" s="3" t="s">
        <v>943</v>
      </c>
      <c r="C50" s="3" t="s">
        <v>944</v>
      </c>
      <c r="D50" s="3" t="s">
        <v>945</v>
      </c>
    </row>
    <row r="51" spans="1:4" x14ac:dyDescent="0.2">
      <c r="A51" s="3" t="s">
        <v>440</v>
      </c>
      <c r="B51" s="3" t="s">
        <v>943</v>
      </c>
      <c r="C51" s="3" t="s">
        <v>944</v>
      </c>
      <c r="D51" s="3" t="s">
        <v>945</v>
      </c>
    </row>
    <row r="52" spans="1:4" x14ac:dyDescent="0.2">
      <c r="A52" s="3" t="s">
        <v>441</v>
      </c>
      <c r="B52" s="3" t="s">
        <v>943</v>
      </c>
      <c r="C52" s="3" t="s">
        <v>944</v>
      </c>
      <c r="D52" s="3" t="s">
        <v>945</v>
      </c>
    </row>
    <row r="53" spans="1:4" x14ac:dyDescent="0.2">
      <c r="A53" s="3" t="s">
        <v>442</v>
      </c>
      <c r="B53" s="3" t="s">
        <v>943</v>
      </c>
      <c r="C53" s="3" t="s">
        <v>944</v>
      </c>
      <c r="D53" s="3" t="s">
        <v>945</v>
      </c>
    </row>
    <row r="54" spans="1:4" x14ac:dyDescent="0.2">
      <c r="A54" s="3" t="s">
        <v>443</v>
      </c>
      <c r="B54" s="3" t="s">
        <v>943</v>
      </c>
      <c r="C54" s="3" t="s">
        <v>944</v>
      </c>
      <c r="D54" s="3" t="s">
        <v>945</v>
      </c>
    </row>
    <row r="55" spans="1:4" x14ac:dyDescent="0.2">
      <c r="A55" s="3" t="s">
        <v>444</v>
      </c>
      <c r="B55" s="3" t="s">
        <v>943</v>
      </c>
      <c r="C55" s="3" t="s">
        <v>944</v>
      </c>
      <c r="D55" s="3" t="s">
        <v>945</v>
      </c>
    </row>
    <row r="56" spans="1:4" x14ac:dyDescent="0.2">
      <c r="A56" s="3" t="s">
        <v>445</v>
      </c>
      <c r="B56" s="3" t="s">
        <v>943</v>
      </c>
      <c r="C56" s="3" t="s">
        <v>944</v>
      </c>
      <c r="D56" s="3" t="s">
        <v>945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940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940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940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940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940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940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940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940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940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940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941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941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942</v>
      </c>
    </row>
    <row r="70" spans="1:4" x14ac:dyDescent="0.2">
      <c r="A70" s="3" t="s">
        <v>235</v>
      </c>
      <c r="B70" s="3" t="s">
        <v>1</v>
      </c>
      <c r="C70" s="3" t="s">
        <v>974</v>
      </c>
      <c r="D70" s="3" t="s">
        <v>975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947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947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947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946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946</v>
      </c>
    </row>
    <row r="76" spans="1:4" x14ac:dyDescent="0.2">
      <c r="A76" s="3" t="s">
        <v>401</v>
      </c>
      <c r="B76" s="3" t="s">
        <v>949</v>
      </c>
      <c r="C76" s="3" t="s">
        <v>17</v>
      </c>
      <c r="D76" s="3" t="s">
        <v>950</v>
      </c>
    </row>
    <row r="77" spans="1:4" x14ac:dyDescent="0.2">
      <c r="A77" s="3" t="s">
        <v>402</v>
      </c>
      <c r="B77" s="3" t="s">
        <v>949</v>
      </c>
      <c r="C77" s="3" t="s">
        <v>17</v>
      </c>
      <c r="D77" s="3" t="s">
        <v>950</v>
      </c>
    </row>
    <row r="78" spans="1:4" x14ac:dyDescent="0.2">
      <c r="A78" s="3" t="s">
        <v>105</v>
      </c>
      <c r="B78" s="3" t="s">
        <v>27</v>
      </c>
      <c r="C78" s="3" t="s">
        <v>951</v>
      </c>
      <c r="D78" s="3" t="s">
        <v>952</v>
      </c>
    </row>
    <row r="79" spans="1:4" x14ac:dyDescent="0.2">
      <c r="A79" s="3" t="s">
        <v>114</v>
      </c>
      <c r="B79" s="3" t="s">
        <v>27</v>
      </c>
      <c r="C79" s="3" t="s">
        <v>951</v>
      </c>
      <c r="D79" s="3" t="s">
        <v>952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956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956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955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932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932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932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932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932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932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932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932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932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932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932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932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932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932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932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932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932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932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932</v>
      </c>
    </row>
    <row r="102" spans="1:4" x14ac:dyDescent="0.2">
      <c r="A102" s="3" t="s">
        <v>1030</v>
      </c>
      <c r="B102" s="3" t="s">
        <v>1</v>
      </c>
      <c r="C102" s="3" t="s">
        <v>29</v>
      </c>
      <c r="D102" s="3" t="s">
        <v>932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932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932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932</v>
      </c>
    </row>
    <row r="106" spans="1:4" x14ac:dyDescent="0.2">
      <c r="A106" s="3" t="s">
        <v>1507</v>
      </c>
      <c r="B106" s="3" t="s">
        <v>1</v>
      </c>
      <c r="C106" s="3" t="s">
        <v>17</v>
      </c>
      <c r="D106" s="3" t="s">
        <v>932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932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953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953</v>
      </c>
    </row>
    <row r="110" spans="1:4" x14ac:dyDescent="0.2">
      <c r="A110" s="3" t="s">
        <v>197</v>
      </c>
      <c r="B110" s="3" t="s">
        <v>1</v>
      </c>
      <c r="C110" s="3" t="s">
        <v>944</v>
      </c>
      <c r="D110" s="3" t="s">
        <v>960</v>
      </c>
    </row>
    <row r="111" spans="1:4" x14ac:dyDescent="0.2">
      <c r="A111" s="3" t="s">
        <v>212</v>
      </c>
      <c r="B111" s="3" t="s">
        <v>1</v>
      </c>
      <c r="C111" s="3" t="s">
        <v>944</v>
      </c>
      <c r="D111" s="3" t="s">
        <v>960</v>
      </c>
    </row>
    <row r="112" spans="1:4" x14ac:dyDescent="0.2">
      <c r="A112" s="3" t="s">
        <v>214</v>
      </c>
      <c r="B112" s="3" t="s">
        <v>1</v>
      </c>
      <c r="C112" s="3" t="s">
        <v>944</v>
      </c>
      <c r="D112" s="3" t="s">
        <v>960</v>
      </c>
    </row>
    <row r="113" spans="1:4" x14ac:dyDescent="0.2">
      <c r="A113" s="3" t="s">
        <v>215</v>
      </c>
      <c r="B113" s="3" t="s">
        <v>1</v>
      </c>
      <c r="C113" s="3" t="s">
        <v>944</v>
      </c>
      <c r="D113" s="3" t="s">
        <v>960</v>
      </c>
    </row>
    <row r="114" spans="1:4" x14ac:dyDescent="0.2">
      <c r="A114" s="3" t="s">
        <v>216</v>
      </c>
      <c r="B114" s="3" t="s">
        <v>1</v>
      </c>
      <c r="C114" s="3" t="s">
        <v>944</v>
      </c>
      <c r="D114" s="3" t="s">
        <v>960</v>
      </c>
    </row>
    <row r="115" spans="1:4" x14ac:dyDescent="0.2">
      <c r="A115" s="3" t="s">
        <v>217</v>
      </c>
      <c r="B115" s="3" t="s">
        <v>1</v>
      </c>
      <c r="C115" s="3" t="s">
        <v>944</v>
      </c>
      <c r="D115" s="3" t="s">
        <v>960</v>
      </c>
    </row>
    <row r="116" spans="1:4" x14ac:dyDescent="0.2">
      <c r="A116" s="3" t="s">
        <v>218</v>
      </c>
      <c r="B116" s="3" t="s">
        <v>1</v>
      </c>
      <c r="C116" s="3" t="s">
        <v>944</v>
      </c>
      <c r="D116" s="3" t="s">
        <v>960</v>
      </c>
    </row>
    <row r="117" spans="1:4" x14ac:dyDescent="0.2">
      <c r="A117" s="3" t="s">
        <v>219</v>
      </c>
      <c r="B117" s="3" t="s">
        <v>1</v>
      </c>
      <c r="C117" s="3" t="s">
        <v>944</v>
      </c>
      <c r="D117" s="3" t="s">
        <v>960</v>
      </c>
    </row>
    <row r="118" spans="1:4" x14ac:dyDescent="0.2">
      <c r="A118" s="3" t="s">
        <v>220</v>
      </c>
      <c r="B118" s="3" t="s">
        <v>1</v>
      </c>
      <c r="C118" s="3" t="s">
        <v>944</v>
      </c>
      <c r="D118" s="3" t="s">
        <v>960</v>
      </c>
    </row>
    <row r="119" spans="1:4" x14ac:dyDescent="0.2">
      <c r="A119" s="3" t="s">
        <v>221</v>
      </c>
      <c r="B119" s="3" t="s">
        <v>1</v>
      </c>
      <c r="C119" s="3" t="s">
        <v>944</v>
      </c>
      <c r="D119" s="3" t="s">
        <v>960</v>
      </c>
    </row>
    <row r="120" spans="1:4" x14ac:dyDescent="0.2">
      <c r="A120" s="3" t="s">
        <v>222</v>
      </c>
      <c r="B120" s="3" t="s">
        <v>1</v>
      </c>
      <c r="C120" s="3" t="s">
        <v>944</v>
      </c>
      <c r="D120" s="3" t="s">
        <v>960</v>
      </c>
    </row>
    <row r="121" spans="1:4" x14ac:dyDescent="0.2">
      <c r="A121" s="3" t="s">
        <v>223</v>
      </c>
      <c r="B121" s="3" t="s">
        <v>1</v>
      </c>
      <c r="C121" s="3" t="s">
        <v>944</v>
      </c>
      <c r="D121" s="3" t="s">
        <v>960</v>
      </c>
    </row>
    <row r="122" spans="1:4" x14ac:dyDescent="0.2">
      <c r="A122" s="3" t="s">
        <v>224</v>
      </c>
      <c r="B122" s="3" t="s">
        <v>1</v>
      </c>
      <c r="C122" s="3" t="s">
        <v>944</v>
      </c>
      <c r="D122" s="3" t="s">
        <v>960</v>
      </c>
    </row>
    <row r="123" spans="1:4" x14ac:dyDescent="0.2">
      <c r="A123" s="3" t="s">
        <v>225</v>
      </c>
      <c r="B123" s="3" t="s">
        <v>1</v>
      </c>
      <c r="C123" s="3" t="s">
        <v>944</v>
      </c>
      <c r="D123" s="3" t="s">
        <v>960</v>
      </c>
    </row>
    <row r="124" spans="1:4" x14ac:dyDescent="0.2">
      <c r="A124" s="3" t="s">
        <v>226</v>
      </c>
      <c r="B124" s="3" t="s">
        <v>1</v>
      </c>
      <c r="C124" s="3" t="s">
        <v>944</v>
      </c>
      <c r="D124" s="3" t="s">
        <v>960</v>
      </c>
    </row>
    <row r="125" spans="1:4" x14ac:dyDescent="0.2">
      <c r="A125" s="3" t="s">
        <v>227</v>
      </c>
      <c r="B125" s="3" t="s">
        <v>1</v>
      </c>
      <c r="C125" s="3" t="s">
        <v>944</v>
      </c>
      <c r="D125" s="3" t="s">
        <v>960</v>
      </c>
    </row>
    <row r="126" spans="1:4" x14ac:dyDescent="0.2">
      <c r="A126" s="3" t="s">
        <v>228</v>
      </c>
      <c r="B126" s="3" t="s">
        <v>1</v>
      </c>
      <c r="C126" s="3" t="s">
        <v>944</v>
      </c>
      <c r="D126" s="3" t="s">
        <v>960</v>
      </c>
    </row>
    <row r="127" spans="1:4" x14ac:dyDescent="0.2">
      <c r="A127" s="3" t="s">
        <v>229</v>
      </c>
      <c r="B127" s="3" t="s">
        <v>1</v>
      </c>
      <c r="C127" s="3" t="s">
        <v>944</v>
      </c>
      <c r="D127" s="3" t="s">
        <v>960</v>
      </c>
    </row>
    <row r="128" spans="1:4" x14ac:dyDescent="0.2">
      <c r="A128" s="3" t="s">
        <v>230</v>
      </c>
      <c r="B128" s="3" t="s">
        <v>1</v>
      </c>
      <c r="C128" s="3" t="s">
        <v>944</v>
      </c>
      <c r="D128" s="3" t="s">
        <v>960</v>
      </c>
    </row>
    <row r="129" spans="1:4" x14ac:dyDescent="0.2">
      <c r="A129" s="3" t="s">
        <v>231</v>
      </c>
      <c r="B129" s="3" t="s">
        <v>1</v>
      </c>
      <c r="C129" s="3" t="s">
        <v>944</v>
      </c>
      <c r="D129" s="3" t="s">
        <v>960</v>
      </c>
    </row>
    <row r="130" spans="1:4" x14ac:dyDescent="0.2">
      <c r="A130" s="3" t="s">
        <v>232</v>
      </c>
      <c r="B130" s="3" t="s">
        <v>1</v>
      </c>
      <c r="C130" s="3" t="s">
        <v>944</v>
      </c>
      <c r="D130" s="3" t="s">
        <v>960</v>
      </c>
    </row>
    <row r="131" spans="1:4" x14ac:dyDescent="0.2">
      <c r="A131" s="3" t="s">
        <v>233</v>
      </c>
      <c r="B131" s="3" t="s">
        <v>1</v>
      </c>
      <c r="C131" s="3" t="s">
        <v>944</v>
      </c>
      <c r="D131" s="3" t="s">
        <v>960</v>
      </c>
    </row>
    <row r="132" spans="1:4" x14ac:dyDescent="0.2">
      <c r="A132" s="3" t="s">
        <v>234</v>
      </c>
      <c r="B132" s="3" t="s">
        <v>1</v>
      </c>
      <c r="C132" s="3" t="s">
        <v>944</v>
      </c>
      <c r="D132" s="3" t="s">
        <v>960</v>
      </c>
    </row>
    <row r="133" spans="1:4" x14ac:dyDescent="0.2">
      <c r="A133" s="3" t="s">
        <v>237</v>
      </c>
      <c r="B133" s="3" t="s">
        <v>1</v>
      </c>
      <c r="C133" s="3" t="s">
        <v>944</v>
      </c>
      <c r="D133" s="3" t="s">
        <v>960</v>
      </c>
    </row>
    <row r="134" spans="1:4" x14ac:dyDescent="0.2">
      <c r="A134" s="3" t="s">
        <v>238</v>
      </c>
      <c r="B134" s="3" t="s">
        <v>1</v>
      </c>
      <c r="C134" s="3" t="s">
        <v>944</v>
      </c>
      <c r="D134" s="3" t="s">
        <v>960</v>
      </c>
    </row>
    <row r="135" spans="1:4" x14ac:dyDescent="0.2">
      <c r="A135" s="3" t="s">
        <v>239</v>
      </c>
      <c r="B135" s="3" t="s">
        <v>1</v>
      </c>
      <c r="C135" s="3" t="s">
        <v>944</v>
      </c>
      <c r="D135" s="3" t="s">
        <v>960</v>
      </c>
    </row>
    <row r="136" spans="1:4" x14ac:dyDescent="0.2">
      <c r="A136" s="3" t="s">
        <v>240</v>
      </c>
      <c r="B136" s="3" t="s">
        <v>1</v>
      </c>
      <c r="C136" s="3" t="s">
        <v>944</v>
      </c>
      <c r="D136" s="3" t="s">
        <v>960</v>
      </c>
    </row>
    <row r="137" spans="1:4" x14ac:dyDescent="0.2">
      <c r="A137" s="3" t="s">
        <v>242</v>
      </c>
      <c r="B137" s="3" t="s">
        <v>1</v>
      </c>
      <c r="C137" s="3" t="s">
        <v>944</v>
      </c>
      <c r="D137" s="3" t="s">
        <v>960</v>
      </c>
    </row>
    <row r="138" spans="1:4" x14ac:dyDescent="0.2">
      <c r="A138" s="3" t="s">
        <v>243</v>
      </c>
      <c r="B138" s="3" t="s">
        <v>1</v>
      </c>
      <c r="C138" s="3" t="s">
        <v>944</v>
      </c>
      <c r="D138" s="3" t="s">
        <v>960</v>
      </c>
    </row>
    <row r="139" spans="1:4" x14ac:dyDescent="0.2">
      <c r="A139" s="3" t="s">
        <v>244</v>
      </c>
      <c r="B139" s="3" t="s">
        <v>1</v>
      </c>
      <c r="C139" s="3" t="s">
        <v>944</v>
      </c>
      <c r="D139" s="3" t="s">
        <v>960</v>
      </c>
    </row>
    <row r="140" spans="1:4" x14ac:dyDescent="0.2">
      <c r="A140" s="3" t="s">
        <v>245</v>
      </c>
      <c r="B140" s="3" t="s">
        <v>1</v>
      </c>
      <c r="C140" s="3" t="s">
        <v>944</v>
      </c>
      <c r="D140" s="3" t="s">
        <v>960</v>
      </c>
    </row>
    <row r="141" spans="1:4" x14ac:dyDescent="0.2">
      <c r="A141" s="3" t="s">
        <v>246</v>
      </c>
      <c r="B141" s="3" t="s">
        <v>1</v>
      </c>
      <c r="C141" s="3" t="s">
        <v>944</v>
      </c>
      <c r="D141" s="3" t="s">
        <v>960</v>
      </c>
    </row>
    <row r="142" spans="1:4" x14ac:dyDescent="0.2">
      <c r="A142" s="3" t="s">
        <v>247</v>
      </c>
      <c r="B142" s="3" t="s">
        <v>1</v>
      </c>
      <c r="C142" s="3" t="s">
        <v>944</v>
      </c>
      <c r="D142" s="3" t="s">
        <v>960</v>
      </c>
    </row>
    <row r="143" spans="1:4" x14ac:dyDescent="0.2">
      <c r="A143" s="3" t="s">
        <v>248</v>
      </c>
      <c r="B143" s="3" t="s">
        <v>1</v>
      </c>
      <c r="C143" s="3" t="s">
        <v>944</v>
      </c>
      <c r="D143" s="3" t="s">
        <v>960</v>
      </c>
    </row>
    <row r="144" spans="1:4" x14ac:dyDescent="0.2">
      <c r="A144" s="3" t="s">
        <v>249</v>
      </c>
      <c r="B144" s="3" t="s">
        <v>1</v>
      </c>
      <c r="C144" s="3" t="s">
        <v>944</v>
      </c>
      <c r="D144" s="3" t="s">
        <v>960</v>
      </c>
    </row>
    <row r="145" spans="1:4" x14ac:dyDescent="0.2">
      <c r="A145" s="3" t="s">
        <v>250</v>
      </c>
      <c r="B145" s="3" t="s">
        <v>1</v>
      </c>
      <c r="C145" s="3" t="s">
        <v>944</v>
      </c>
      <c r="D145" s="3" t="s">
        <v>960</v>
      </c>
    </row>
    <row r="146" spans="1:4" x14ac:dyDescent="0.2">
      <c r="A146" s="3" t="s">
        <v>251</v>
      </c>
      <c r="B146" s="3" t="s">
        <v>1</v>
      </c>
      <c r="C146" s="3" t="s">
        <v>944</v>
      </c>
      <c r="D146" s="3" t="s">
        <v>960</v>
      </c>
    </row>
    <row r="147" spans="1:4" x14ac:dyDescent="0.2">
      <c r="A147" s="3" t="s">
        <v>252</v>
      </c>
      <c r="B147" s="3" t="s">
        <v>1</v>
      </c>
      <c r="C147" s="3" t="s">
        <v>944</v>
      </c>
      <c r="D147" s="3" t="s">
        <v>960</v>
      </c>
    </row>
    <row r="148" spans="1:4" x14ac:dyDescent="0.2">
      <c r="A148" s="3" t="s">
        <v>253</v>
      </c>
      <c r="B148" s="3" t="s">
        <v>1</v>
      </c>
      <c r="C148" s="3" t="s">
        <v>944</v>
      </c>
      <c r="D148" s="3" t="s">
        <v>960</v>
      </c>
    </row>
    <row r="149" spans="1:4" x14ac:dyDescent="0.2">
      <c r="A149" s="3" t="s">
        <v>254</v>
      </c>
      <c r="B149" s="3" t="s">
        <v>1</v>
      </c>
      <c r="C149" s="3" t="s">
        <v>944</v>
      </c>
      <c r="D149" s="3" t="s">
        <v>960</v>
      </c>
    </row>
    <row r="150" spans="1:4" x14ac:dyDescent="0.2">
      <c r="A150" s="3" t="s">
        <v>255</v>
      </c>
      <c r="B150" s="3" t="s">
        <v>1</v>
      </c>
      <c r="C150" s="3" t="s">
        <v>944</v>
      </c>
      <c r="D150" s="3" t="s">
        <v>960</v>
      </c>
    </row>
    <row r="151" spans="1:4" x14ac:dyDescent="0.2">
      <c r="A151" s="3" t="s">
        <v>256</v>
      </c>
      <c r="B151" s="3" t="s">
        <v>1</v>
      </c>
      <c r="C151" s="3" t="s">
        <v>944</v>
      </c>
      <c r="D151" s="3" t="s">
        <v>960</v>
      </c>
    </row>
    <row r="152" spans="1:4" x14ac:dyDescent="0.2">
      <c r="A152" s="3" t="s">
        <v>257</v>
      </c>
      <c r="B152" s="3" t="s">
        <v>1</v>
      </c>
      <c r="C152" s="3" t="s">
        <v>944</v>
      </c>
      <c r="D152" s="3" t="s">
        <v>960</v>
      </c>
    </row>
    <row r="153" spans="1:4" x14ac:dyDescent="0.2">
      <c r="A153" s="3" t="s">
        <v>259</v>
      </c>
      <c r="B153" s="3" t="s">
        <v>1</v>
      </c>
      <c r="C153" s="3" t="s">
        <v>944</v>
      </c>
      <c r="D153" s="3" t="s">
        <v>960</v>
      </c>
    </row>
    <row r="154" spans="1:4" x14ac:dyDescent="0.2">
      <c r="A154" s="3" t="s">
        <v>260</v>
      </c>
      <c r="B154" s="3" t="s">
        <v>1</v>
      </c>
      <c r="C154" s="3" t="s">
        <v>944</v>
      </c>
      <c r="D154" s="3" t="s">
        <v>960</v>
      </c>
    </row>
    <row r="155" spans="1:4" x14ac:dyDescent="0.2">
      <c r="A155" s="3" t="s">
        <v>262</v>
      </c>
      <c r="B155" s="3" t="s">
        <v>1</v>
      </c>
      <c r="C155" s="3" t="s">
        <v>944</v>
      </c>
      <c r="D155" s="3" t="s">
        <v>960</v>
      </c>
    </row>
    <row r="156" spans="1:4" x14ac:dyDescent="0.2">
      <c r="A156" s="3" t="s">
        <v>263</v>
      </c>
      <c r="B156" s="3" t="s">
        <v>1</v>
      </c>
      <c r="C156" s="3" t="s">
        <v>944</v>
      </c>
      <c r="D156" s="3" t="s">
        <v>960</v>
      </c>
    </row>
    <row r="157" spans="1:4" x14ac:dyDescent="0.2">
      <c r="A157" s="3" t="s">
        <v>264</v>
      </c>
      <c r="B157" s="3" t="s">
        <v>1</v>
      </c>
      <c r="C157" s="3" t="s">
        <v>944</v>
      </c>
      <c r="D157" s="3" t="s">
        <v>960</v>
      </c>
    </row>
    <row r="158" spans="1:4" x14ac:dyDescent="0.2">
      <c r="A158" s="3" t="s">
        <v>265</v>
      </c>
      <c r="B158" s="3" t="s">
        <v>1</v>
      </c>
      <c r="C158" s="3" t="s">
        <v>944</v>
      </c>
      <c r="D158" s="3" t="s">
        <v>960</v>
      </c>
    </row>
    <row r="159" spans="1:4" x14ac:dyDescent="0.2">
      <c r="A159" s="3" t="s">
        <v>266</v>
      </c>
      <c r="B159" s="3" t="s">
        <v>1</v>
      </c>
      <c r="C159" s="3" t="s">
        <v>944</v>
      </c>
      <c r="D159" s="3" t="s">
        <v>960</v>
      </c>
    </row>
    <row r="160" spans="1:4" x14ac:dyDescent="0.2">
      <c r="A160" s="3" t="s">
        <v>267</v>
      </c>
      <c r="B160" s="3" t="s">
        <v>1</v>
      </c>
      <c r="C160" s="3" t="s">
        <v>944</v>
      </c>
      <c r="D160" s="3" t="s">
        <v>960</v>
      </c>
    </row>
    <row r="161" spans="1:4" x14ac:dyDescent="0.2">
      <c r="A161" s="3" t="s">
        <v>268</v>
      </c>
      <c r="B161" s="3" t="s">
        <v>1</v>
      </c>
      <c r="C161" s="3" t="s">
        <v>944</v>
      </c>
      <c r="D161" s="3" t="s">
        <v>960</v>
      </c>
    </row>
    <row r="162" spans="1:4" x14ac:dyDescent="0.2">
      <c r="A162" s="3" t="s">
        <v>269</v>
      </c>
      <c r="B162" s="3" t="s">
        <v>1</v>
      </c>
      <c r="C162" s="3" t="s">
        <v>944</v>
      </c>
      <c r="D162" s="3" t="s">
        <v>960</v>
      </c>
    </row>
    <row r="163" spans="1:4" x14ac:dyDescent="0.2">
      <c r="A163" s="3" t="s">
        <v>270</v>
      </c>
      <c r="B163" s="3" t="s">
        <v>1</v>
      </c>
      <c r="C163" s="3" t="s">
        <v>944</v>
      </c>
      <c r="D163" s="3" t="s">
        <v>960</v>
      </c>
    </row>
    <row r="164" spans="1:4" x14ac:dyDescent="0.2">
      <c r="A164" s="3" t="s">
        <v>271</v>
      </c>
      <c r="B164" s="3" t="s">
        <v>1</v>
      </c>
      <c r="C164" s="3" t="s">
        <v>944</v>
      </c>
      <c r="D164" s="3" t="s">
        <v>960</v>
      </c>
    </row>
    <row r="165" spans="1:4" x14ac:dyDescent="0.2">
      <c r="A165" s="3" t="s">
        <v>272</v>
      </c>
      <c r="B165" s="3" t="s">
        <v>1</v>
      </c>
      <c r="C165" s="3" t="s">
        <v>944</v>
      </c>
      <c r="D165" s="3" t="s">
        <v>960</v>
      </c>
    </row>
    <row r="166" spans="1:4" x14ac:dyDescent="0.2">
      <c r="A166" s="3" t="s">
        <v>273</v>
      </c>
      <c r="B166" s="3" t="s">
        <v>1</v>
      </c>
      <c r="C166" s="3" t="s">
        <v>944</v>
      </c>
      <c r="D166" s="3" t="s">
        <v>960</v>
      </c>
    </row>
    <row r="167" spans="1:4" x14ac:dyDescent="0.2">
      <c r="A167" s="3" t="s">
        <v>283</v>
      </c>
      <c r="B167" s="3" t="s">
        <v>1</v>
      </c>
      <c r="C167" s="3" t="s">
        <v>944</v>
      </c>
      <c r="D167" s="3" t="s">
        <v>960</v>
      </c>
    </row>
    <row r="168" spans="1:4" x14ac:dyDescent="0.2">
      <c r="A168" s="3" t="s">
        <v>284</v>
      </c>
      <c r="B168" s="3" t="s">
        <v>1</v>
      </c>
      <c r="C168" s="3" t="s">
        <v>944</v>
      </c>
      <c r="D168" s="3" t="s">
        <v>960</v>
      </c>
    </row>
    <row r="169" spans="1:4" x14ac:dyDescent="0.2">
      <c r="A169" s="3" t="s">
        <v>285</v>
      </c>
      <c r="B169" s="3" t="s">
        <v>1</v>
      </c>
      <c r="C169" s="3" t="s">
        <v>944</v>
      </c>
      <c r="D169" s="3" t="s">
        <v>960</v>
      </c>
    </row>
    <row r="170" spans="1:4" x14ac:dyDescent="0.2">
      <c r="A170" s="3" t="s">
        <v>294</v>
      </c>
      <c r="B170" s="3" t="s">
        <v>1</v>
      </c>
      <c r="C170" s="3" t="s">
        <v>944</v>
      </c>
      <c r="D170" s="3" t="s">
        <v>960</v>
      </c>
    </row>
    <row r="171" spans="1:4" x14ac:dyDescent="0.2">
      <c r="A171" s="3" t="s">
        <v>295</v>
      </c>
      <c r="B171" s="3" t="s">
        <v>1</v>
      </c>
      <c r="C171" s="3" t="s">
        <v>944</v>
      </c>
      <c r="D171" s="3" t="s">
        <v>960</v>
      </c>
    </row>
    <row r="172" spans="1:4" x14ac:dyDescent="0.2">
      <c r="A172" s="3" t="s">
        <v>301</v>
      </c>
      <c r="B172" s="3" t="s">
        <v>1</v>
      </c>
      <c r="C172" s="3" t="s">
        <v>944</v>
      </c>
      <c r="D172" s="3" t="s">
        <v>960</v>
      </c>
    </row>
    <row r="173" spans="1:4" x14ac:dyDescent="0.2">
      <c r="A173" s="3" t="s">
        <v>302</v>
      </c>
      <c r="B173" s="3" t="s">
        <v>1</v>
      </c>
      <c r="C173" s="3" t="s">
        <v>944</v>
      </c>
      <c r="D173" s="3" t="s">
        <v>960</v>
      </c>
    </row>
    <row r="174" spans="1:4" x14ac:dyDescent="0.2">
      <c r="A174" s="3" t="s">
        <v>303</v>
      </c>
      <c r="B174" s="3" t="s">
        <v>1</v>
      </c>
      <c r="C174" s="3" t="s">
        <v>944</v>
      </c>
      <c r="D174" s="3" t="s">
        <v>960</v>
      </c>
    </row>
    <row r="175" spans="1:4" x14ac:dyDescent="0.2">
      <c r="A175" s="3" t="s">
        <v>304</v>
      </c>
      <c r="B175" s="3" t="s">
        <v>1</v>
      </c>
      <c r="C175" s="3" t="s">
        <v>944</v>
      </c>
      <c r="D175" s="3" t="s">
        <v>960</v>
      </c>
    </row>
    <row r="176" spans="1:4" x14ac:dyDescent="0.2">
      <c r="A176" s="3" t="s">
        <v>305</v>
      </c>
      <c r="B176" s="3" t="s">
        <v>1</v>
      </c>
      <c r="C176" s="3" t="s">
        <v>944</v>
      </c>
      <c r="D176" s="3" t="s">
        <v>960</v>
      </c>
    </row>
    <row r="177" spans="1:4" x14ac:dyDescent="0.2">
      <c r="A177" s="3" t="s">
        <v>306</v>
      </c>
      <c r="B177" s="3" t="s">
        <v>1</v>
      </c>
      <c r="C177" s="3" t="s">
        <v>944</v>
      </c>
      <c r="D177" s="3" t="s">
        <v>960</v>
      </c>
    </row>
    <row r="178" spans="1:4" x14ac:dyDescent="0.2">
      <c r="A178" s="3" t="s">
        <v>307</v>
      </c>
      <c r="B178" s="3" t="s">
        <v>1</v>
      </c>
      <c r="C178" s="3" t="s">
        <v>944</v>
      </c>
      <c r="D178" s="3" t="s">
        <v>960</v>
      </c>
    </row>
    <row r="179" spans="1:4" x14ac:dyDescent="0.2">
      <c r="A179" s="3" t="s">
        <v>308</v>
      </c>
      <c r="B179" s="3" t="s">
        <v>1</v>
      </c>
      <c r="C179" s="3" t="s">
        <v>944</v>
      </c>
      <c r="D179" s="3" t="s">
        <v>960</v>
      </c>
    </row>
    <row r="180" spans="1:4" x14ac:dyDescent="0.2">
      <c r="A180" s="3" t="s">
        <v>313</v>
      </c>
      <c r="B180" s="3" t="s">
        <v>1</v>
      </c>
      <c r="C180" s="3" t="s">
        <v>944</v>
      </c>
      <c r="D180" s="3" t="s">
        <v>960</v>
      </c>
    </row>
    <row r="181" spans="1:4" x14ac:dyDescent="0.2">
      <c r="A181" s="3" t="s">
        <v>331</v>
      </c>
      <c r="B181" s="3" t="s">
        <v>1</v>
      </c>
      <c r="C181" s="3" t="s">
        <v>944</v>
      </c>
      <c r="D181" s="3" t="s">
        <v>960</v>
      </c>
    </row>
    <row r="182" spans="1:4" x14ac:dyDescent="0.2">
      <c r="A182" s="3" t="s">
        <v>349</v>
      </c>
      <c r="B182" s="3" t="s">
        <v>1</v>
      </c>
      <c r="C182" s="3" t="s">
        <v>944</v>
      </c>
      <c r="D182" s="3" t="s">
        <v>960</v>
      </c>
    </row>
    <row r="183" spans="1:4" x14ac:dyDescent="0.2">
      <c r="A183" s="3" t="s">
        <v>350</v>
      </c>
      <c r="B183" s="3" t="s">
        <v>1</v>
      </c>
      <c r="C183" s="3" t="s">
        <v>944</v>
      </c>
      <c r="D183" s="3" t="s">
        <v>960</v>
      </c>
    </row>
    <row r="184" spans="1:4" x14ac:dyDescent="0.2">
      <c r="A184" s="3" t="s">
        <v>370</v>
      </c>
      <c r="B184" s="3" t="s">
        <v>1</v>
      </c>
      <c r="C184" s="3" t="s">
        <v>944</v>
      </c>
      <c r="D184" s="3" t="s">
        <v>960</v>
      </c>
    </row>
    <row r="185" spans="1:4" x14ac:dyDescent="0.2">
      <c r="A185" s="3" t="s">
        <v>388</v>
      </c>
      <c r="B185" s="3" t="s">
        <v>1</v>
      </c>
      <c r="C185" s="3" t="s">
        <v>944</v>
      </c>
      <c r="D185" s="3" t="s">
        <v>960</v>
      </c>
    </row>
    <row r="186" spans="1:4" x14ac:dyDescent="0.2">
      <c r="A186" s="3" t="s">
        <v>389</v>
      </c>
      <c r="B186" s="3" t="s">
        <v>1</v>
      </c>
      <c r="C186" s="3" t="s">
        <v>944</v>
      </c>
      <c r="D186" s="3" t="s">
        <v>960</v>
      </c>
    </row>
    <row r="187" spans="1:4" x14ac:dyDescent="0.2">
      <c r="A187" s="3" t="s">
        <v>390</v>
      </c>
      <c r="B187" s="3" t="s">
        <v>1</v>
      </c>
      <c r="C187" s="3" t="s">
        <v>944</v>
      </c>
      <c r="D187" s="3" t="s">
        <v>960</v>
      </c>
    </row>
    <row r="188" spans="1:4" x14ac:dyDescent="0.2">
      <c r="A188" s="3" t="s">
        <v>391</v>
      </c>
      <c r="B188" s="3" t="s">
        <v>1</v>
      </c>
      <c r="C188" s="3" t="s">
        <v>944</v>
      </c>
      <c r="D188" s="3" t="s">
        <v>960</v>
      </c>
    </row>
    <row r="189" spans="1:4" x14ac:dyDescent="0.2">
      <c r="A189" s="3" t="s">
        <v>392</v>
      </c>
      <c r="B189" s="3" t="s">
        <v>1</v>
      </c>
      <c r="C189" s="3" t="s">
        <v>944</v>
      </c>
      <c r="D189" s="3" t="s">
        <v>960</v>
      </c>
    </row>
    <row r="190" spans="1:4" x14ac:dyDescent="0.2">
      <c r="A190" s="3" t="s">
        <v>393</v>
      </c>
      <c r="B190" s="3" t="s">
        <v>1</v>
      </c>
      <c r="C190" s="3" t="s">
        <v>944</v>
      </c>
      <c r="D190" s="3" t="s">
        <v>960</v>
      </c>
    </row>
    <row r="191" spans="1:4" x14ac:dyDescent="0.2">
      <c r="A191" s="3" t="s">
        <v>108</v>
      </c>
      <c r="B191" s="3" t="s">
        <v>27</v>
      </c>
      <c r="C191" s="3" t="s">
        <v>944</v>
      </c>
      <c r="D191" s="3" t="s">
        <v>973</v>
      </c>
    </row>
    <row r="192" spans="1:4" x14ac:dyDescent="0.2">
      <c r="A192" s="3" t="s">
        <v>109</v>
      </c>
      <c r="B192" s="3" t="s">
        <v>27</v>
      </c>
      <c r="C192" s="3" t="s">
        <v>944</v>
      </c>
      <c r="D192" s="3" t="s">
        <v>973</v>
      </c>
    </row>
    <row r="193" spans="1:4" x14ac:dyDescent="0.2">
      <c r="A193" s="3" t="s">
        <v>110</v>
      </c>
      <c r="B193" s="3" t="s">
        <v>27</v>
      </c>
      <c r="C193" s="3" t="s">
        <v>944</v>
      </c>
      <c r="D193" s="3" t="s">
        <v>973</v>
      </c>
    </row>
    <row r="194" spans="1:4" x14ac:dyDescent="0.2">
      <c r="A194" s="3" t="s">
        <v>111</v>
      </c>
      <c r="B194" s="3" t="s">
        <v>27</v>
      </c>
      <c r="C194" s="3" t="s">
        <v>944</v>
      </c>
      <c r="D194" s="3" t="s">
        <v>973</v>
      </c>
    </row>
    <row r="195" spans="1:4" x14ac:dyDescent="0.2">
      <c r="A195" s="3" t="s">
        <v>112</v>
      </c>
      <c r="B195" s="3" t="s">
        <v>27</v>
      </c>
      <c r="C195" s="3" t="s">
        <v>944</v>
      </c>
      <c r="D195" s="3" t="s">
        <v>973</v>
      </c>
    </row>
    <row r="196" spans="1:4" x14ac:dyDescent="0.2">
      <c r="A196" s="3" t="s">
        <v>113</v>
      </c>
      <c r="B196" s="3" t="s">
        <v>27</v>
      </c>
      <c r="C196" s="3" t="s">
        <v>944</v>
      </c>
      <c r="D196" s="3" t="s">
        <v>973</v>
      </c>
    </row>
    <row r="197" spans="1:4" x14ac:dyDescent="0.2">
      <c r="A197" s="3" t="s">
        <v>121</v>
      </c>
      <c r="B197" s="3" t="s">
        <v>27</v>
      </c>
      <c r="C197" s="3" t="s">
        <v>944</v>
      </c>
      <c r="D197" s="3" t="s">
        <v>973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948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948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948</v>
      </c>
    </row>
    <row r="201" spans="1:4" x14ac:dyDescent="0.2">
      <c r="A201" s="3" t="s">
        <v>38</v>
      </c>
      <c r="B201" s="3" t="s">
        <v>949</v>
      </c>
      <c r="C201" s="3" t="s">
        <v>17</v>
      </c>
      <c r="D201" s="3" t="s">
        <v>957</v>
      </c>
    </row>
    <row r="202" spans="1:4" x14ac:dyDescent="0.2">
      <c r="A202" s="3" t="s">
        <v>403</v>
      </c>
      <c r="B202" s="3" t="s">
        <v>949</v>
      </c>
      <c r="C202" s="3" t="s">
        <v>17</v>
      </c>
      <c r="D202" s="3" t="s">
        <v>957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958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958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958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958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958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959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959</v>
      </c>
    </row>
    <row r="210" spans="1:4" x14ac:dyDescent="0.2">
      <c r="A210" s="3" t="s">
        <v>236</v>
      </c>
      <c r="B210" s="3" t="s">
        <v>1</v>
      </c>
      <c r="C210" s="3" t="s">
        <v>974</v>
      </c>
      <c r="D210" s="3" t="s">
        <v>976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962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962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962</v>
      </c>
    </row>
    <row r="214" spans="1:4" x14ac:dyDescent="0.2">
      <c r="A214" s="3" t="s">
        <v>1148</v>
      </c>
      <c r="B214" s="3" t="s">
        <v>1</v>
      </c>
      <c r="C214" s="3" t="s">
        <v>19</v>
      </c>
      <c r="D214" s="3" t="s">
        <v>961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961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961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961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961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964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964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964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964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964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964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964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964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964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964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964</v>
      </c>
    </row>
    <row r="230" spans="1:4" x14ac:dyDescent="0.2">
      <c r="A230" s="3" t="s">
        <v>1594</v>
      </c>
      <c r="B230" s="3" t="s">
        <v>28</v>
      </c>
      <c r="C230" s="3" t="s">
        <v>29</v>
      </c>
      <c r="D230" s="3" t="s">
        <v>964</v>
      </c>
    </row>
    <row r="231" spans="1:4" x14ac:dyDescent="0.2">
      <c r="A231" s="121" t="s">
        <v>1495</v>
      </c>
      <c r="B231" s="3" t="s">
        <v>28</v>
      </c>
      <c r="C231" s="3" t="s">
        <v>29</v>
      </c>
      <c r="D231" s="3" t="s">
        <v>964</v>
      </c>
    </row>
    <row r="232" spans="1:4" x14ac:dyDescent="0.2">
      <c r="A232" s="3" t="s">
        <v>106</v>
      </c>
      <c r="B232" s="3" t="s">
        <v>27</v>
      </c>
      <c r="C232" s="3" t="s">
        <v>966</v>
      </c>
      <c r="D232" s="3" t="s">
        <v>967</v>
      </c>
    </row>
    <row r="233" spans="1:4" x14ac:dyDescent="0.2">
      <c r="A233" s="3" t="s">
        <v>107</v>
      </c>
      <c r="B233" s="3" t="s">
        <v>27</v>
      </c>
      <c r="C233" s="3" t="s">
        <v>966</v>
      </c>
      <c r="D233" s="3" t="s">
        <v>967</v>
      </c>
    </row>
    <row r="234" spans="1:4" x14ac:dyDescent="0.2">
      <c r="A234" s="3" t="s">
        <v>205</v>
      </c>
      <c r="B234" s="3" t="s">
        <v>1</v>
      </c>
      <c r="C234" s="3" t="s">
        <v>17</v>
      </c>
      <c r="D234" s="3" t="s">
        <v>968</v>
      </c>
    </row>
    <row r="235" spans="1:4" x14ac:dyDescent="0.2">
      <c r="A235" s="3" t="s">
        <v>206</v>
      </c>
      <c r="B235" s="3" t="s">
        <v>1</v>
      </c>
      <c r="C235" s="3" t="s">
        <v>17</v>
      </c>
      <c r="D235" s="3" t="s">
        <v>968</v>
      </c>
    </row>
    <row r="236" spans="1:4" x14ac:dyDescent="0.2">
      <c r="A236" s="3" t="s">
        <v>207</v>
      </c>
      <c r="B236" s="3" t="s">
        <v>1</v>
      </c>
      <c r="C236" s="3" t="s">
        <v>17</v>
      </c>
      <c r="D236" s="3" t="s">
        <v>968</v>
      </c>
    </row>
    <row r="237" spans="1:4" x14ac:dyDescent="0.2">
      <c r="A237" s="3" t="s">
        <v>209</v>
      </c>
      <c r="B237" s="3" t="s">
        <v>1</v>
      </c>
      <c r="C237" s="3" t="s">
        <v>17</v>
      </c>
      <c r="D237" s="3" t="s">
        <v>970</v>
      </c>
    </row>
    <row r="238" spans="1:4" x14ac:dyDescent="0.2">
      <c r="A238" s="3" t="s">
        <v>404</v>
      </c>
      <c r="B238" s="3" t="s">
        <v>949</v>
      </c>
      <c r="C238" s="3" t="s">
        <v>17</v>
      </c>
      <c r="D238" s="3" t="s">
        <v>969</v>
      </c>
    </row>
    <row r="239" spans="1:4" x14ac:dyDescent="0.2">
      <c r="A239" s="3" t="s">
        <v>405</v>
      </c>
      <c r="B239" s="3" t="s">
        <v>949</v>
      </c>
      <c r="C239" s="3" t="s">
        <v>17</v>
      </c>
      <c r="D239" s="3" t="s">
        <v>969</v>
      </c>
    </row>
    <row r="240" spans="1:4" x14ac:dyDescent="0.2">
      <c r="A240" s="3" t="s">
        <v>406</v>
      </c>
      <c r="B240" s="3" t="s">
        <v>949</v>
      </c>
      <c r="C240" s="3" t="s">
        <v>17</v>
      </c>
      <c r="D240" s="3" t="s">
        <v>969</v>
      </c>
    </row>
    <row r="241" spans="1:4" x14ac:dyDescent="0.2">
      <c r="A241" s="3" t="s">
        <v>407</v>
      </c>
      <c r="B241" s="3" t="s">
        <v>949</v>
      </c>
      <c r="C241" s="3" t="s">
        <v>17</v>
      </c>
      <c r="D241" s="3" t="s">
        <v>969</v>
      </c>
    </row>
    <row r="242" spans="1:4" x14ac:dyDescent="0.2">
      <c r="A242" s="3" t="s">
        <v>32</v>
      </c>
      <c r="B242" s="3" t="s">
        <v>949</v>
      </c>
      <c r="C242" s="3" t="s">
        <v>17</v>
      </c>
      <c r="D242" s="3" t="s">
        <v>969</v>
      </c>
    </row>
    <row r="243" spans="1:4" x14ac:dyDescent="0.2">
      <c r="A243" s="3" t="s">
        <v>411</v>
      </c>
      <c r="B243" s="3" t="s">
        <v>949</v>
      </c>
      <c r="C243" s="3" t="s">
        <v>17</v>
      </c>
      <c r="D243" s="3" t="s">
        <v>969</v>
      </c>
    </row>
    <row r="244" spans="1:4" x14ac:dyDescent="0.2">
      <c r="A244" s="3" t="s">
        <v>1420</v>
      </c>
      <c r="B244" s="3" t="s">
        <v>949</v>
      </c>
      <c r="C244" s="3" t="s">
        <v>17</v>
      </c>
      <c r="D244" s="3" t="s">
        <v>969</v>
      </c>
    </row>
    <row r="245" spans="1:4" x14ac:dyDescent="0.2">
      <c r="A245" s="3" t="s">
        <v>204</v>
      </c>
      <c r="B245" s="3" t="s">
        <v>1</v>
      </c>
      <c r="C245" s="3" t="s">
        <v>29</v>
      </c>
      <c r="D245" s="3" t="s">
        <v>963</v>
      </c>
    </row>
    <row r="246" spans="1:4" x14ac:dyDescent="0.2">
      <c r="A246" s="3" t="s">
        <v>291</v>
      </c>
      <c r="B246" s="3" t="s">
        <v>1</v>
      </c>
      <c r="C246" s="3" t="s">
        <v>29</v>
      </c>
      <c r="D246" s="3" t="s">
        <v>963</v>
      </c>
    </row>
    <row r="247" spans="1:4" x14ac:dyDescent="0.2">
      <c r="A247" s="3" t="s">
        <v>395</v>
      </c>
      <c r="B247" s="3" t="s">
        <v>1</v>
      </c>
      <c r="C247" s="3" t="s">
        <v>29</v>
      </c>
      <c r="D247" s="3" t="s">
        <v>963</v>
      </c>
    </row>
    <row r="248" spans="1:4" x14ac:dyDescent="0.2">
      <c r="A248" s="3" t="s">
        <v>210</v>
      </c>
      <c r="B248" s="3" t="s">
        <v>1</v>
      </c>
      <c r="C248" s="3" t="s">
        <v>17</v>
      </c>
      <c r="D248" s="3" t="s">
        <v>971</v>
      </c>
    </row>
    <row r="249" spans="1:4" x14ac:dyDescent="0.2">
      <c r="A249" s="3" t="s">
        <v>211</v>
      </c>
      <c r="B249" s="3" t="s">
        <v>1</v>
      </c>
      <c r="C249" s="3" t="s">
        <v>17</v>
      </c>
      <c r="D249" s="3" t="s">
        <v>971</v>
      </c>
    </row>
    <row r="250" spans="1:4" x14ac:dyDescent="0.2">
      <c r="A250" s="3" t="s">
        <v>213</v>
      </c>
      <c r="B250" s="3" t="s">
        <v>1</v>
      </c>
      <c r="C250" s="3" t="s">
        <v>19</v>
      </c>
      <c r="D250" s="3" t="s">
        <v>972</v>
      </c>
    </row>
    <row r="251" spans="1:4" x14ac:dyDescent="0.2">
      <c r="A251" s="3" t="s">
        <v>241</v>
      </c>
      <c r="B251" s="3" t="s">
        <v>1</v>
      </c>
      <c r="C251" s="3" t="s">
        <v>19</v>
      </c>
      <c r="D251" s="3" t="s">
        <v>972</v>
      </c>
    </row>
    <row r="252" spans="1:4" x14ac:dyDescent="0.2">
      <c r="A252" s="3" t="s">
        <v>261</v>
      </c>
      <c r="B252" s="3" t="s">
        <v>1</v>
      </c>
      <c r="C252" s="3" t="s">
        <v>19</v>
      </c>
      <c r="D252" s="3" t="s">
        <v>972</v>
      </c>
    </row>
    <row r="253" spans="1:4" x14ac:dyDescent="0.2">
      <c r="A253" s="3" t="s">
        <v>278</v>
      </c>
      <c r="B253" s="3" t="s">
        <v>1</v>
      </c>
      <c r="C253" s="3" t="s">
        <v>2</v>
      </c>
      <c r="D253" s="3" t="s">
        <v>980</v>
      </c>
    </row>
    <row r="254" spans="1:4" x14ac:dyDescent="0.2">
      <c r="A254" s="3" t="s">
        <v>279</v>
      </c>
      <c r="B254" s="3" t="s">
        <v>1</v>
      </c>
      <c r="C254" s="3" t="s">
        <v>2</v>
      </c>
      <c r="D254" s="3" t="s">
        <v>980</v>
      </c>
    </row>
    <row r="255" spans="1:4" x14ac:dyDescent="0.2">
      <c r="A255" s="3" t="s">
        <v>280</v>
      </c>
      <c r="B255" s="3" t="s">
        <v>1</v>
      </c>
      <c r="C255" s="3" t="s">
        <v>2</v>
      </c>
      <c r="D255" s="3" t="s">
        <v>980</v>
      </c>
    </row>
    <row r="256" spans="1:4" x14ac:dyDescent="0.2">
      <c r="A256" s="3" t="s">
        <v>281</v>
      </c>
      <c r="B256" s="3" t="s">
        <v>1</v>
      </c>
      <c r="C256" s="3" t="s">
        <v>2</v>
      </c>
      <c r="D256" s="3" t="s">
        <v>980</v>
      </c>
    </row>
    <row r="257" spans="1:4" x14ac:dyDescent="0.2">
      <c r="A257" s="3" t="s">
        <v>275</v>
      </c>
      <c r="B257" s="3" t="s">
        <v>1</v>
      </c>
      <c r="C257" s="3" t="s">
        <v>978</v>
      </c>
      <c r="D257" s="3" t="s">
        <v>979</v>
      </c>
    </row>
    <row r="258" spans="1:4" x14ac:dyDescent="0.2">
      <c r="A258" s="3" t="s">
        <v>276</v>
      </c>
      <c r="B258" s="3" t="s">
        <v>1</v>
      </c>
      <c r="C258" s="3" t="s">
        <v>978</v>
      </c>
      <c r="D258" s="3" t="s">
        <v>979</v>
      </c>
    </row>
    <row r="259" spans="1:4" x14ac:dyDescent="0.2">
      <c r="A259" s="3" t="s">
        <v>277</v>
      </c>
      <c r="B259" s="3" t="s">
        <v>1</v>
      </c>
      <c r="C259" s="3" t="s">
        <v>978</v>
      </c>
      <c r="D259" s="3" t="s">
        <v>979</v>
      </c>
    </row>
    <row r="260" spans="1:4" x14ac:dyDescent="0.2">
      <c r="A260" s="3" t="s">
        <v>282</v>
      </c>
      <c r="B260" s="3" t="s">
        <v>1</v>
      </c>
      <c r="C260" s="3" t="s">
        <v>17</v>
      </c>
      <c r="D260" s="3" t="s">
        <v>981</v>
      </c>
    </row>
    <row r="261" spans="1:4" x14ac:dyDescent="0.2">
      <c r="A261" s="3" t="s">
        <v>179</v>
      </c>
      <c r="B261" s="3" t="s">
        <v>1</v>
      </c>
      <c r="C261" s="3" t="s">
        <v>19</v>
      </c>
      <c r="D261" s="3" t="s">
        <v>954</v>
      </c>
    </row>
    <row r="262" spans="1:4" x14ac:dyDescent="0.2">
      <c r="A262" s="3" t="s">
        <v>180</v>
      </c>
      <c r="B262" s="3" t="s">
        <v>1</v>
      </c>
      <c r="C262" s="3" t="s">
        <v>19</v>
      </c>
      <c r="D262" s="3" t="s">
        <v>954</v>
      </c>
    </row>
    <row r="263" spans="1:4" x14ac:dyDescent="0.2">
      <c r="A263" s="3" t="s">
        <v>292</v>
      </c>
      <c r="B263" s="3" t="s">
        <v>1</v>
      </c>
      <c r="C263" s="3" t="s">
        <v>19</v>
      </c>
      <c r="D263" s="3" t="s">
        <v>954</v>
      </c>
    </row>
    <row r="264" spans="1:4" x14ac:dyDescent="0.2">
      <c r="A264" s="3" t="s">
        <v>293</v>
      </c>
      <c r="B264" s="3" t="s">
        <v>1</v>
      </c>
      <c r="C264" s="3" t="s">
        <v>19</v>
      </c>
      <c r="D264" s="3" t="s">
        <v>954</v>
      </c>
    </row>
    <row r="265" spans="1:4" x14ac:dyDescent="0.2">
      <c r="A265" s="3" t="s">
        <v>342</v>
      </c>
      <c r="B265" s="3" t="s">
        <v>1</v>
      </c>
      <c r="C265" s="3" t="s">
        <v>19</v>
      </c>
      <c r="D265" s="3" t="s">
        <v>954</v>
      </c>
    </row>
    <row r="266" spans="1:4" x14ac:dyDescent="0.2">
      <c r="A266" s="3" t="s">
        <v>1451</v>
      </c>
      <c r="B266" s="3" t="s">
        <v>1</v>
      </c>
      <c r="C266" s="3" t="s">
        <v>19</v>
      </c>
      <c r="D266" s="3" t="s">
        <v>954</v>
      </c>
    </row>
    <row r="267" spans="1:4" x14ac:dyDescent="0.2">
      <c r="A267" s="3" t="s">
        <v>103</v>
      </c>
      <c r="B267" s="3" t="s">
        <v>1</v>
      </c>
      <c r="C267" s="3" t="s">
        <v>19</v>
      </c>
      <c r="D267" s="3" t="s">
        <v>982</v>
      </c>
    </row>
    <row r="268" spans="1:4" x14ac:dyDescent="0.2">
      <c r="A268" s="3" t="s">
        <v>286</v>
      </c>
      <c r="B268" s="3" t="s">
        <v>1</v>
      </c>
      <c r="C268" s="3" t="s">
        <v>19</v>
      </c>
      <c r="D268" s="3" t="s">
        <v>982</v>
      </c>
    </row>
    <row r="269" spans="1:4" x14ac:dyDescent="0.2">
      <c r="A269" s="3" t="s">
        <v>287</v>
      </c>
      <c r="B269" s="3" t="s">
        <v>1</v>
      </c>
      <c r="C269" s="3" t="s">
        <v>19</v>
      </c>
      <c r="D269" s="3" t="s">
        <v>982</v>
      </c>
    </row>
    <row r="270" spans="1:4" x14ac:dyDescent="0.2">
      <c r="A270" s="3" t="s">
        <v>288</v>
      </c>
      <c r="B270" s="3" t="s">
        <v>1</v>
      </c>
      <c r="C270" s="3" t="s">
        <v>19</v>
      </c>
      <c r="D270" s="3" t="s">
        <v>982</v>
      </c>
    </row>
    <row r="271" spans="1:4" x14ac:dyDescent="0.2">
      <c r="A271" s="3" t="s">
        <v>289</v>
      </c>
      <c r="B271" s="3" t="s">
        <v>1</v>
      </c>
      <c r="C271" s="3" t="s">
        <v>19</v>
      </c>
      <c r="D271" s="3" t="s">
        <v>982</v>
      </c>
    </row>
    <row r="272" spans="1:4" x14ac:dyDescent="0.2">
      <c r="A272" s="3" t="s">
        <v>290</v>
      </c>
      <c r="B272" s="3" t="s">
        <v>1</v>
      </c>
      <c r="C272" s="3" t="s">
        <v>19</v>
      </c>
      <c r="D272" s="3" t="s">
        <v>982</v>
      </c>
    </row>
    <row r="273" spans="1:4" x14ac:dyDescent="0.2">
      <c r="A273" s="3" t="s">
        <v>1440</v>
      </c>
      <c r="B273" s="3" t="s">
        <v>1</v>
      </c>
      <c r="C273" s="3" t="s">
        <v>19</v>
      </c>
      <c r="D273" s="3" t="s">
        <v>982</v>
      </c>
    </row>
    <row r="274" spans="1:4" x14ac:dyDescent="0.2">
      <c r="A274" s="3" t="s">
        <v>104</v>
      </c>
      <c r="B274" s="3" t="s">
        <v>1</v>
      </c>
      <c r="C274" s="3" t="s">
        <v>19</v>
      </c>
      <c r="D274" s="3" t="s">
        <v>1008</v>
      </c>
    </row>
    <row r="275" spans="1:4" x14ac:dyDescent="0.2">
      <c r="A275" s="3" t="s">
        <v>377</v>
      </c>
      <c r="B275" s="3" t="s">
        <v>1</v>
      </c>
      <c r="C275" s="3" t="s">
        <v>19</v>
      </c>
      <c r="D275" s="3" t="s">
        <v>1008</v>
      </c>
    </row>
    <row r="276" spans="1:4" x14ac:dyDescent="0.2">
      <c r="A276" s="3" t="s">
        <v>378</v>
      </c>
      <c r="B276" s="3" t="s">
        <v>1</v>
      </c>
      <c r="C276" s="3" t="s">
        <v>19</v>
      </c>
      <c r="D276" s="3" t="s">
        <v>1008</v>
      </c>
    </row>
    <row r="277" spans="1:4" x14ac:dyDescent="0.2">
      <c r="A277" s="3" t="s">
        <v>379</v>
      </c>
      <c r="B277" s="3" t="s">
        <v>1</v>
      </c>
      <c r="C277" s="3" t="s">
        <v>19</v>
      </c>
      <c r="D277" s="3" t="s">
        <v>1008</v>
      </c>
    </row>
    <row r="278" spans="1:4" x14ac:dyDescent="0.2">
      <c r="A278" s="3" t="s">
        <v>380</v>
      </c>
      <c r="B278" s="3" t="s">
        <v>1</v>
      </c>
      <c r="C278" s="3" t="s">
        <v>19</v>
      </c>
      <c r="D278" s="3" t="s">
        <v>1008</v>
      </c>
    </row>
    <row r="279" spans="1:4" x14ac:dyDescent="0.2">
      <c r="A279" s="3" t="s">
        <v>299</v>
      </c>
      <c r="B279" s="3" t="s">
        <v>1</v>
      </c>
      <c r="C279" s="3" t="s">
        <v>17</v>
      </c>
      <c r="D279" s="3" t="s">
        <v>983</v>
      </c>
    </row>
    <row r="280" spans="1:4" x14ac:dyDescent="0.2">
      <c r="A280" s="3" t="s">
        <v>300</v>
      </c>
      <c r="B280" s="3" t="s">
        <v>1</v>
      </c>
      <c r="C280" s="3" t="s">
        <v>17</v>
      </c>
      <c r="D280" s="3" t="s">
        <v>983</v>
      </c>
    </row>
    <row r="281" spans="1:4" x14ac:dyDescent="0.2">
      <c r="A281" s="3" t="s">
        <v>151</v>
      </c>
      <c r="B281" s="3" t="s">
        <v>1</v>
      </c>
      <c r="C281" s="3" t="s">
        <v>17</v>
      </c>
      <c r="D281" s="3" t="s">
        <v>939</v>
      </c>
    </row>
    <row r="282" spans="1:4" x14ac:dyDescent="0.2">
      <c r="A282" s="3" t="s">
        <v>296</v>
      </c>
      <c r="B282" s="3" t="s">
        <v>1</v>
      </c>
      <c r="C282" s="3" t="s">
        <v>17</v>
      </c>
      <c r="D282" s="3" t="s">
        <v>939</v>
      </c>
    </row>
    <row r="283" spans="1:4" x14ac:dyDescent="0.2">
      <c r="A283" s="3" t="s">
        <v>297</v>
      </c>
      <c r="B283" s="3" t="s">
        <v>1</v>
      </c>
      <c r="C283" s="3" t="s">
        <v>17</v>
      </c>
      <c r="D283" s="3" t="s">
        <v>939</v>
      </c>
    </row>
    <row r="284" spans="1:4" x14ac:dyDescent="0.2">
      <c r="A284" s="3" t="s">
        <v>298</v>
      </c>
      <c r="B284" s="3" t="s">
        <v>1</v>
      </c>
      <c r="C284" s="3" t="s">
        <v>17</v>
      </c>
      <c r="D284" s="3" t="s">
        <v>939</v>
      </c>
    </row>
    <row r="285" spans="1:4" x14ac:dyDescent="0.2">
      <c r="A285" s="3" t="s">
        <v>309</v>
      </c>
      <c r="B285" s="3" t="s">
        <v>1</v>
      </c>
      <c r="C285" s="3" t="s">
        <v>17</v>
      </c>
      <c r="D285" s="3" t="s">
        <v>939</v>
      </c>
    </row>
    <row r="286" spans="1:4" x14ac:dyDescent="0.2">
      <c r="A286" s="3" t="s">
        <v>311</v>
      </c>
      <c r="B286" s="3" t="s">
        <v>1</v>
      </c>
      <c r="C286" s="3" t="s">
        <v>985</v>
      </c>
      <c r="D286" s="3" t="s">
        <v>985</v>
      </c>
    </row>
    <row r="287" spans="1:4" x14ac:dyDescent="0.2">
      <c r="A287" s="3" t="s">
        <v>312</v>
      </c>
      <c r="B287" s="3" t="s">
        <v>1</v>
      </c>
      <c r="C287" s="3" t="s">
        <v>985</v>
      </c>
      <c r="D287" s="3" t="s">
        <v>985</v>
      </c>
    </row>
    <row r="288" spans="1:4" x14ac:dyDescent="0.2">
      <c r="A288" s="3" t="s">
        <v>40</v>
      </c>
      <c r="B288" s="3" t="s">
        <v>27</v>
      </c>
      <c r="C288" s="3" t="s">
        <v>966</v>
      </c>
      <c r="D288" s="3" t="s">
        <v>977</v>
      </c>
    </row>
    <row r="289" spans="1:4" x14ac:dyDescent="0.2">
      <c r="A289" s="3" t="s">
        <v>115</v>
      </c>
      <c r="B289" s="3" t="s">
        <v>27</v>
      </c>
      <c r="C289" s="3" t="s">
        <v>966</v>
      </c>
      <c r="D289" s="3" t="s">
        <v>977</v>
      </c>
    </row>
    <row r="290" spans="1:4" x14ac:dyDescent="0.2">
      <c r="A290" s="3" t="s">
        <v>116</v>
      </c>
      <c r="B290" s="3" t="s">
        <v>27</v>
      </c>
      <c r="C290" s="3" t="s">
        <v>966</v>
      </c>
      <c r="D290" s="3" t="s">
        <v>977</v>
      </c>
    </row>
    <row r="291" spans="1:4" x14ac:dyDescent="0.2">
      <c r="A291" s="3" t="s">
        <v>117</v>
      </c>
      <c r="B291" s="3" t="s">
        <v>27</v>
      </c>
      <c r="C291" s="3" t="s">
        <v>966</v>
      </c>
      <c r="D291" s="3" t="s">
        <v>977</v>
      </c>
    </row>
    <row r="292" spans="1:4" x14ac:dyDescent="0.2">
      <c r="A292" s="3" t="s">
        <v>41</v>
      </c>
      <c r="B292" s="3" t="s">
        <v>27</v>
      </c>
      <c r="C292" s="3" t="s">
        <v>966</v>
      </c>
      <c r="D292" s="3" t="s">
        <v>977</v>
      </c>
    </row>
    <row r="293" spans="1:4" x14ac:dyDescent="0.2">
      <c r="A293" s="3" t="s">
        <v>118</v>
      </c>
      <c r="B293" s="3" t="s">
        <v>27</v>
      </c>
      <c r="C293" s="3" t="s">
        <v>966</v>
      </c>
      <c r="D293" s="3" t="s">
        <v>977</v>
      </c>
    </row>
    <row r="294" spans="1:4" x14ac:dyDescent="0.2">
      <c r="A294" s="3" t="s">
        <v>119</v>
      </c>
      <c r="B294" s="3" t="s">
        <v>27</v>
      </c>
      <c r="C294" s="3" t="s">
        <v>966</v>
      </c>
      <c r="D294" s="3" t="s">
        <v>977</v>
      </c>
    </row>
    <row r="295" spans="1:4" x14ac:dyDescent="0.2">
      <c r="A295" s="3" t="s">
        <v>120</v>
      </c>
      <c r="B295" s="3" t="s">
        <v>27</v>
      </c>
      <c r="C295" s="3" t="s">
        <v>966</v>
      </c>
      <c r="D295" s="3" t="s">
        <v>977</v>
      </c>
    </row>
    <row r="296" spans="1:4" x14ac:dyDescent="0.2">
      <c r="A296" s="3" t="s">
        <v>310</v>
      </c>
      <c r="B296" s="3" t="s">
        <v>1</v>
      </c>
      <c r="C296" s="3" t="s">
        <v>17</v>
      </c>
      <c r="D296" s="3" t="s">
        <v>984</v>
      </c>
    </row>
    <row r="297" spans="1:4" x14ac:dyDescent="0.2">
      <c r="A297" s="3" t="s">
        <v>318</v>
      </c>
      <c r="B297" s="3" t="s">
        <v>1</v>
      </c>
      <c r="C297" s="3" t="s">
        <v>17</v>
      </c>
      <c r="D297" s="3" t="s">
        <v>987</v>
      </c>
    </row>
    <row r="298" spans="1:4" x14ac:dyDescent="0.2">
      <c r="A298" s="3" t="s">
        <v>319</v>
      </c>
      <c r="B298" s="3" t="s">
        <v>1</v>
      </c>
      <c r="C298" s="3" t="s">
        <v>17</v>
      </c>
      <c r="D298" s="3" t="s">
        <v>987</v>
      </c>
    </row>
    <row r="299" spans="1:4" x14ac:dyDescent="0.2">
      <c r="A299" s="3" t="s">
        <v>322</v>
      </c>
      <c r="B299" s="3" t="s">
        <v>1</v>
      </c>
      <c r="C299" s="3" t="s">
        <v>17</v>
      </c>
      <c r="D299" s="3" t="s">
        <v>989</v>
      </c>
    </row>
    <row r="300" spans="1:4" x14ac:dyDescent="0.2">
      <c r="A300" s="3" t="s">
        <v>323</v>
      </c>
      <c r="B300" s="3" t="s">
        <v>1</v>
      </c>
      <c r="C300" s="3" t="s">
        <v>17</v>
      </c>
      <c r="D300" s="3" t="s">
        <v>989</v>
      </c>
    </row>
    <row r="301" spans="1:4" x14ac:dyDescent="0.2">
      <c r="A301" s="3" t="s">
        <v>324</v>
      </c>
      <c r="B301" s="3" t="s">
        <v>1</v>
      </c>
      <c r="C301" s="3" t="s">
        <v>17</v>
      </c>
      <c r="D301" s="3" t="s">
        <v>990</v>
      </c>
    </row>
    <row r="302" spans="1:4" x14ac:dyDescent="0.2">
      <c r="A302" s="3" t="s">
        <v>320</v>
      </c>
      <c r="B302" s="3" t="s">
        <v>1</v>
      </c>
      <c r="C302" s="3" t="s">
        <v>17</v>
      </c>
      <c r="D302" s="3" t="s">
        <v>988</v>
      </c>
    </row>
    <row r="303" spans="1:4" x14ac:dyDescent="0.2">
      <c r="A303" s="3" t="s">
        <v>321</v>
      </c>
      <c r="B303" s="3" t="s">
        <v>1</v>
      </c>
      <c r="C303" s="3" t="s">
        <v>17</v>
      </c>
      <c r="D303" s="3" t="s">
        <v>988</v>
      </c>
    </row>
    <row r="304" spans="1:4" x14ac:dyDescent="0.2">
      <c r="A304" s="3" t="s">
        <v>325</v>
      </c>
      <c r="B304" s="3" t="s">
        <v>1</v>
      </c>
      <c r="C304" s="3" t="s">
        <v>17</v>
      </c>
      <c r="D304" s="3" t="s">
        <v>991</v>
      </c>
    </row>
    <row r="305" spans="1:4" x14ac:dyDescent="0.2">
      <c r="A305" s="3" t="s">
        <v>326</v>
      </c>
      <c r="B305" s="3" t="s">
        <v>1</v>
      </c>
      <c r="C305" s="3" t="s">
        <v>17</v>
      </c>
      <c r="D305" s="3" t="s">
        <v>991</v>
      </c>
    </row>
    <row r="306" spans="1:4" x14ac:dyDescent="0.2">
      <c r="A306" s="3" t="s">
        <v>327</v>
      </c>
      <c r="B306" s="3" t="s">
        <v>1</v>
      </c>
      <c r="C306" s="3" t="s">
        <v>17</v>
      </c>
      <c r="D306" s="3" t="s">
        <v>991</v>
      </c>
    </row>
    <row r="307" spans="1:4" x14ac:dyDescent="0.2">
      <c r="A307" s="3" t="s">
        <v>328</v>
      </c>
      <c r="B307" s="3" t="s">
        <v>1</v>
      </c>
      <c r="C307" s="3" t="s">
        <v>17</v>
      </c>
      <c r="D307" s="3" t="s">
        <v>991</v>
      </c>
    </row>
    <row r="308" spans="1:4" x14ac:dyDescent="0.2">
      <c r="A308" s="3" t="s">
        <v>329</v>
      </c>
      <c r="B308" s="3" t="s">
        <v>1</v>
      </c>
      <c r="C308" s="3" t="s">
        <v>17</v>
      </c>
      <c r="D308" s="3" t="s">
        <v>991</v>
      </c>
    </row>
    <row r="309" spans="1:4" x14ac:dyDescent="0.2">
      <c r="A309" s="3" t="s">
        <v>127</v>
      </c>
      <c r="B309" s="3" t="s">
        <v>1</v>
      </c>
      <c r="C309" s="3" t="s">
        <v>17</v>
      </c>
      <c r="D309" s="3" t="s">
        <v>992</v>
      </c>
    </row>
    <row r="310" spans="1:4" x14ac:dyDescent="0.2">
      <c r="A310" s="3" t="s">
        <v>46</v>
      </c>
      <c r="B310" s="3" t="s">
        <v>1</v>
      </c>
      <c r="C310" s="3" t="s">
        <v>17</v>
      </c>
      <c r="D310" s="3" t="s">
        <v>992</v>
      </c>
    </row>
    <row r="311" spans="1:4" x14ac:dyDescent="0.2">
      <c r="A311" s="3" t="s">
        <v>330</v>
      </c>
      <c r="B311" s="3" t="s">
        <v>1</v>
      </c>
      <c r="C311" s="3" t="s">
        <v>17</v>
      </c>
      <c r="D311" s="3" t="s">
        <v>992</v>
      </c>
    </row>
    <row r="312" spans="1:4" x14ac:dyDescent="0.2">
      <c r="A312" s="3" t="s">
        <v>335</v>
      </c>
      <c r="B312" s="3" t="s">
        <v>1</v>
      </c>
      <c r="C312" s="3" t="s">
        <v>17</v>
      </c>
      <c r="D312" s="3" t="s">
        <v>933</v>
      </c>
    </row>
    <row r="313" spans="1:4" x14ac:dyDescent="0.2">
      <c r="A313" s="3" t="s">
        <v>45</v>
      </c>
      <c r="B313" s="3" t="s">
        <v>1</v>
      </c>
      <c r="C313" s="3" t="s">
        <v>17</v>
      </c>
      <c r="D313" s="3" t="s">
        <v>933</v>
      </c>
    </row>
    <row r="314" spans="1:4" x14ac:dyDescent="0.2">
      <c r="A314" s="3" t="s">
        <v>336</v>
      </c>
      <c r="B314" s="3" t="s">
        <v>1</v>
      </c>
      <c r="C314" s="3" t="s">
        <v>17</v>
      </c>
      <c r="D314" s="3" t="s">
        <v>933</v>
      </c>
    </row>
    <row r="315" spans="1:4" x14ac:dyDescent="0.2">
      <c r="A315" s="3" t="s">
        <v>337</v>
      </c>
      <c r="B315" s="3" t="s">
        <v>1</v>
      </c>
      <c r="C315" s="3" t="s">
        <v>17</v>
      </c>
      <c r="D315" s="3" t="s">
        <v>933</v>
      </c>
    </row>
    <row r="316" spans="1:4" x14ac:dyDescent="0.2">
      <c r="A316" s="3" t="s">
        <v>44</v>
      </c>
      <c r="B316" s="3" t="s">
        <v>1</v>
      </c>
      <c r="C316" s="3" t="s">
        <v>17</v>
      </c>
      <c r="D316" s="3" t="s">
        <v>933</v>
      </c>
    </row>
    <row r="317" spans="1:4" x14ac:dyDescent="0.2">
      <c r="A317" s="3" t="s">
        <v>1153</v>
      </c>
      <c r="B317" s="3" t="s">
        <v>1</v>
      </c>
      <c r="C317" s="3" t="s">
        <v>17</v>
      </c>
      <c r="D317" s="3" t="s">
        <v>933</v>
      </c>
    </row>
    <row r="318" spans="1:4" x14ac:dyDescent="0.2">
      <c r="A318" s="3" t="s">
        <v>332</v>
      </c>
      <c r="B318" s="3" t="s">
        <v>1</v>
      </c>
      <c r="C318" s="3" t="s">
        <v>993</v>
      </c>
      <c r="D318" s="3" t="s">
        <v>994</v>
      </c>
    </row>
    <row r="319" spans="1:4" x14ac:dyDescent="0.2">
      <c r="A319" s="3" t="s">
        <v>333</v>
      </c>
      <c r="B319" s="3" t="s">
        <v>1</v>
      </c>
      <c r="C319" s="3" t="s">
        <v>993</v>
      </c>
      <c r="D319" s="3" t="s">
        <v>994</v>
      </c>
    </row>
    <row r="320" spans="1:4" x14ac:dyDescent="0.2">
      <c r="A320" s="3" t="s">
        <v>334</v>
      </c>
      <c r="B320" s="3" t="s">
        <v>1</v>
      </c>
      <c r="C320" s="3" t="s">
        <v>993</v>
      </c>
      <c r="D320" s="3" t="s">
        <v>994</v>
      </c>
    </row>
    <row r="321" spans="1:4" x14ac:dyDescent="0.2">
      <c r="A321" s="3" t="s">
        <v>338</v>
      </c>
      <c r="B321" s="3" t="s">
        <v>1</v>
      </c>
      <c r="C321" s="3" t="s">
        <v>993</v>
      </c>
      <c r="D321" s="3" t="s">
        <v>994</v>
      </c>
    </row>
    <row r="322" spans="1:4" x14ac:dyDescent="0.2">
      <c r="A322" s="3" t="s">
        <v>43</v>
      </c>
      <c r="B322" s="3" t="s">
        <v>1</v>
      </c>
      <c r="C322" s="3" t="s">
        <v>993</v>
      </c>
      <c r="D322" s="3" t="s">
        <v>994</v>
      </c>
    </row>
    <row r="323" spans="1:4" x14ac:dyDescent="0.2">
      <c r="A323" s="3" t="s">
        <v>339</v>
      </c>
      <c r="B323" s="3" t="s">
        <v>1</v>
      </c>
      <c r="C323" s="3" t="s">
        <v>993</v>
      </c>
      <c r="D323" s="3" t="s">
        <v>994</v>
      </c>
    </row>
    <row r="324" spans="1:4" x14ac:dyDescent="0.2">
      <c r="A324" s="3" t="s">
        <v>98</v>
      </c>
      <c r="B324" s="3" t="s">
        <v>1</v>
      </c>
      <c r="C324" s="3" t="s">
        <v>993</v>
      </c>
      <c r="D324" s="3" t="s">
        <v>994</v>
      </c>
    </row>
    <row r="325" spans="1:4" x14ac:dyDescent="0.2">
      <c r="A325" s="3" t="s">
        <v>340</v>
      </c>
      <c r="B325" s="3" t="s">
        <v>1</v>
      </c>
      <c r="C325" s="3" t="s">
        <v>993</v>
      </c>
      <c r="D325" s="3" t="s">
        <v>994</v>
      </c>
    </row>
    <row r="326" spans="1:4" x14ac:dyDescent="0.2">
      <c r="A326" s="3" t="s">
        <v>341</v>
      </c>
      <c r="B326" s="3" t="s">
        <v>1</v>
      </c>
      <c r="C326" s="3" t="s">
        <v>993</v>
      </c>
      <c r="D326" s="3" t="s">
        <v>994</v>
      </c>
    </row>
    <row r="327" spans="1:4" x14ac:dyDescent="0.2">
      <c r="A327" s="3" t="s">
        <v>1154</v>
      </c>
      <c r="B327" s="3" t="s">
        <v>1</v>
      </c>
      <c r="C327" s="3" t="s">
        <v>17</v>
      </c>
      <c r="D327" s="3" t="s">
        <v>995</v>
      </c>
    </row>
    <row r="328" spans="1:4" x14ac:dyDescent="0.2">
      <c r="A328" s="3" t="s">
        <v>1155</v>
      </c>
      <c r="B328" s="3" t="s">
        <v>1</v>
      </c>
      <c r="C328" s="3" t="s">
        <v>17</v>
      </c>
      <c r="D328" s="3" t="s">
        <v>995</v>
      </c>
    </row>
    <row r="329" spans="1:4" x14ac:dyDescent="0.2">
      <c r="A329" s="3" t="s">
        <v>481</v>
      </c>
      <c r="B329" s="3" t="s">
        <v>930</v>
      </c>
      <c r="C329" s="3" t="s">
        <v>944</v>
      </c>
      <c r="D329" s="3" t="s">
        <v>965</v>
      </c>
    </row>
    <row r="330" spans="1:4" x14ac:dyDescent="0.2">
      <c r="A330" s="3" t="s">
        <v>482</v>
      </c>
      <c r="B330" s="3" t="s">
        <v>930</v>
      </c>
      <c r="C330" s="3" t="s">
        <v>944</v>
      </c>
      <c r="D330" s="3" t="s">
        <v>965</v>
      </c>
    </row>
    <row r="331" spans="1:4" x14ac:dyDescent="0.2">
      <c r="A331" s="3" t="s">
        <v>485</v>
      </c>
      <c r="B331" s="3" t="s">
        <v>930</v>
      </c>
      <c r="C331" s="3" t="s">
        <v>944</v>
      </c>
      <c r="D331" s="3" t="s">
        <v>965</v>
      </c>
    </row>
    <row r="332" spans="1:4" x14ac:dyDescent="0.2">
      <c r="A332" s="3" t="s">
        <v>486</v>
      </c>
      <c r="B332" s="3" t="s">
        <v>930</v>
      </c>
      <c r="C332" s="3" t="s">
        <v>944</v>
      </c>
      <c r="D332" s="3" t="s">
        <v>965</v>
      </c>
    </row>
    <row r="333" spans="1:4" x14ac:dyDescent="0.2">
      <c r="A333" s="3" t="s">
        <v>483</v>
      </c>
      <c r="B333" s="3" t="s">
        <v>930</v>
      </c>
      <c r="C333" s="3" t="s">
        <v>944</v>
      </c>
      <c r="D333" s="3" t="s">
        <v>965</v>
      </c>
    </row>
    <row r="334" spans="1:4" x14ac:dyDescent="0.2">
      <c r="A334" s="3" t="s">
        <v>484</v>
      </c>
      <c r="B334" s="3" t="s">
        <v>930</v>
      </c>
      <c r="C334" s="3" t="s">
        <v>944</v>
      </c>
      <c r="D334" s="3" t="s">
        <v>965</v>
      </c>
    </row>
    <row r="335" spans="1:4" x14ac:dyDescent="0.2">
      <c r="A335" s="3" t="s">
        <v>343</v>
      </c>
      <c r="B335" s="3" t="s">
        <v>1</v>
      </c>
      <c r="C335" s="3" t="s">
        <v>978</v>
      </c>
      <c r="D335" s="3" t="s">
        <v>996</v>
      </c>
    </row>
    <row r="336" spans="1:4" x14ac:dyDescent="0.2">
      <c r="A336" s="3" t="s">
        <v>345</v>
      </c>
      <c r="B336" s="3" t="s">
        <v>1</v>
      </c>
      <c r="C336" s="3" t="s">
        <v>937</v>
      </c>
      <c r="D336" s="3" t="s">
        <v>998</v>
      </c>
    </row>
    <row r="337" spans="1:4" x14ac:dyDescent="0.2">
      <c r="A337" s="3" t="s">
        <v>346</v>
      </c>
      <c r="B337" s="3" t="s">
        <v>1</v>
      </c>
      <c r="C337" s="3" t="s">
        <v>937</v>
      </c>
      <c r="D337" s="3" t="s">
        <v>998</v>
      </c>
    </row>
    <row r="338" spans="1:4" x14ac:dyDescent="0.2">
      <c r="A338" s="3" t="s">
        <v>347</v>
      </c>
      <c r="B338" s="3" t="s">
        <v>1</v>
      </c>
      <c r="C338" s="3" t="s">
        <v>937</v>
      </c>
      <c r="D338" s="3" t="s">
        <v>998</v>
      </c>
    </row>
    <row r="339" spans="1:4" x14ac:dyDescent="0.2">
      <c r="A339" s="3" t="s">
        <v>348</v>
      </c>
      <c r="B339" s="3" t="s">
        <v>1</v>
      </c>
      <c r="C339" s="3" t="s">
        <v>937</v>
      </c>
      <c r="D339" s="3" t="s">
        <v>998</v>
      </c>
    </row>
    <row r="340" spans="1:4" x14ac:dyDescent="0.2">
      <c r="A340" s="3" t="s">
        <v>351</v>
      </c>
      <c r="B340" s="3" t="s">
        <v>1</v>
      </c>
      <c r="C340" s="3" t="s">
        <v>937</v>
      </c>
      <c r="D340" s="3" t="s">
        <v>998</v>
      </c>
    </row>
    <row r="341" spans="1:4" x14ac:dyDescent="0.2">
      <c r="A341" s="3" t="s">
        <v>352</v>
      </c>
      <c r="B341" s="3" t="s">
        <v>1</v>
      </c>
      <c r="C341" s="3" t="s">
        <v>937</v>
      </c>
      <c r="D341" s="3" t="s">
        <v>998</v>
      </c>
    </row>
    <row r="342" spans="1:4" x14ac:dyDescent="0.2">
      <c r="A342" s="3" t="s">
        <v>353</v>
      </c>
      <c r="B342" s="3" t="s">
        <v>1</v>
      </c>
      <c r="C342" s="3" t="s">
        <v>937</v>
      </c>
      <c r="D342" s="3" t="s">
        <v>998</v>
      </c>
    </row>
    <row r="343" spans="1:4" x14ac:dyDescent="0.2">
      <c r="A343" s="3" t="s">
        <v>354</v>
      </c>
      <c r="B343" s="3" t="s">
        <v>1</v>
      </c>
      <c r="C343" s="3" t="s">
        <v>937</v>
      </c>
      <c r="D343" s="3" t="s">
        <v>998</v>
      </c>
    </row>
    <row r="344" spans="1:4" x14ac:dyDescent="0.2">
      <c r="A344" s="3" t="s">
        <v>409</v>
      </c>
      <c r="B344" s="3" t="s">
        <v>949</v>
      </c>
      <c r="C344" s="3" t="s">
        <v>17</v>
      </c>
      <c r="D344" s="3" t="s">
        <v>1005</v>
      </c>
    </row>
    <row r="345" spans="1:4" x14ac:dyDescent="0.2">
      <c r="A345" s="3" t="s">
        <v>410</v>
      </c>
      <c r="B345" s="3" t="s">
        <v>949</v>
      </c>
      <c r="C345" s="3" t="s">
        <v>17</v>
      </c>
      <c r="D345" s="3" t="s">
        <v>1005</v>
      </c>
    </row>
    <row r="346" spans="1:4" x14ac:dyDescent="0.2">
      <c r="A346" s="3" t="s">
        <v>372</v>
      </c>
      <c r="B346" s="3" t="s">
        <v>1</v>
      </c>
      <c r="C346" s="3" t="s">
        <v>17</v>
      </c>
      <c r="D346" s="3" t="s">
        <v>1006</v>
      </c>
    </row>
    <row r="347" spans="1:4" x14ac:dyDescent="0.2">
      <c r="A347" s="3" t="s">
        <v>371</v>
      </c>
      <c r="B347" s="3" t="s">
        <v>1</v>
      </c>
      <c r="C347" s="3" t="s">
        <v>19</v>
      </c>
      <c r="D347" s="3" t="s">
        <v>1004</v>
      </c>
    </row>
    <row r="348" spans="1:4" x14ac:dyDescent="0.2">
      <c r="A348" s="3" t="s">
        <v>367</v>
      </c>
      <c r="B348" s="3" t="s">
        <v>1</v>
      </c>
      <c r="C348" s="3" t="s">
        <v>29</v>
      </c>
      <c r="D348" s="3" t="s">
        <v>1002</v>
      </c>
    </row>
    <row r="349" spans="1:4" x14ac:dyDescent="0.2">
      <c r="A349" s="3" t="s">
        <v>368</v>
      </c>
      <c r="B349" s="3" t="s">
        <v>1</v>
      </c>
      <c r="C349" s="3" t="s">
        <v>29</v>
      </c>
      <c r="D349" s="3" t="s">
        <v>1002</v>
      </c>
    </row>
    <row r="350" spans="1:4" x14ac:dyDescent="0.2">
      <c r="A350" s="3" t="s">
        <v>369</v>
      </c>
      <c r="B350" s="3" t="s">
        <v>1</v>
      </c>
      <c r="C350" s="3" t="s">
        <v>17</v>
      </c>
      <c r="D350" s="3" t="s">
        <v>1003</v>
      </c>
    </row>
    <row r="351" spans="1:4" x14ac:dyDescent="0.2">
      <c r="A351" s="3" t="s">
        <v>359</v>
      </c>
      <c r="B351" s="3" t="s">
        <v>1</v>
      </c>
      <c r="C351" s="3" t="s">
        <v>19</v>
      </c>
      <c r="D351" s="3" t="s">
        <v>1001</v>
      </c>
    </row>
    <row r="352" spans="1:4" x14ac:dyDescent="0.2">
      <c r="A352" s="3" t="s">
        <v>360</v>
      </c>
      <c r="B352" s="3" t="s">
        <v>1</v>
      </c>
      <c r="C352" s="3" t="s">
        <v>19</v>
      </c>
      <c r="D352" s="3" t="s">
        <v>1001</v>
      </c>
    </row>
    <row r="353" spans="1:4" x14ac:dyDescent="0.2">
      <c r="A353" s="3" t="s">
        <v>361</v>
      </c>
      <c r="B353" s="3" t="s">
        <v>1</v>
      </c>
      <c r="C353" s="3" t="s">
        <v>19</v>
      </c>
      <c r="D353" s="3" t="s">
        <v>1001</v>
      </c>
    </row>
    <row r="354" spans="1:4" x14ac:dyDescent="0.2">
      <c r="A354" s="3" t="s">
        <v>362</v>
      </c>
      <c r="B354" s="3" t="s">
        <v>1</v>
      </c>
      <c r="C354" s="3" t="s">
        <v>19</v>
      </c>
      <c r="D354" s="3" t="s">
        <v>1001</v>
      </c>
    </row>
    <row r="355" spans="1:4" x14ac:dyDescent="0.2">
      <c r="A355" s="3" t="s">
        <v>363</v>
      </c>
      <c r="B355" s="3" t="s">
        <v>1</v>
      </c>
      <c r="C355" s="3" t="s">
        <v>19</v>
      </c>
      <c r="D355" s="3" t="s">
        <v>1001</v>
      </c>
    </row>
    <row r="356" spans="1:4" x14ac:dyDescent="0.2">
      <c r="A356" s="3" t="s">
        <v>364</v>
      </c>
      <c r="B356" s="3" t="s">
        <v>1</v>
      </c>
      <c r="C356" s="3" t="s">
        <v>19</v>
      </c>
      <c r="D356" s="3" t="s">
        <v>1001</v>
      </c>
    </row>
    <row r="357" spans="1:4" x14ac:dyDescent="0.2">
      <c r="A357" s="3" t="s">
        <v>365</v>
      </c>
      <c r="B357" s="3" t="s">
        <v>1</v>
      </c>
      <c r="C357" s="3" t="s">
        <v>19</v>
      </c>
      <c r="D357" s="3" t="s">
        <v>1001</v>
      </c>
    </row>
    <row r="358" spans="1:4" x14ac:dyDescent="0.2">
      <c r="A358" s="3" t="s">
        <v>366</v>
      </c>
      <c r="B358" s="3" t="s">
        <v>1</v>
      </c>
      <c r="C358" s="3" t="s">
        <v>19</v>
      </c>
      <c r="D358" s="3" t="s">
        <v>1001</v>
      </c>
    </row>
    <row r="359" spans="1:4" x14ac:dyDescent="0.2">
      <c r="A359" s="3" t="s">
        <v>473</v>
      </c>
      <c r="B359" s="3" t="s">
        <v>1</v>
      </c>
      <c r="C359" s="3" t="s">
        <v>19</v>
      </c>
      <c r="D359" s="3" t="s">
        <v>1001</v>
      </c>
    </row>
    <row r="360" spans="1:4" x14ac:dyDescent="0.2">
      <c r="A360" s="3" t="s">
        <v>355</v>
      </c>
      <c r="B360" s="3" t="s">
        <v>1</v>
      </c>
      <c r="C360" s="3" t="s">
        <v>17</v>
      </c>
      <c r="D360" s="3" t="s">
        <v>1000</v>
      </c>
    </row>
    <row r="361" spans="1:4" x14ac:dyDescent="0.2">
      <c r="A361" s="3" t="s">
        <v>356</v>
      </c>
      <c r="B361" s="3" t="s">
        <v>1</v>
      </c>
      <c r="C361" s="3" t="s">
        <v>17</v>
      </c>
      <c r="D361" s="3" t="s">
        <v>1000</v>
      </c>
    </row>
    <row r="362" spans="1:4" x14ac:dyDescent="0.2">
      <c r="A362" s="3" t="s">
        <v>357</v>
      </c>
      <c r="B362" s="3" t="s">
        <v>1</v>
      </c>
      <c r="C362" s="3" t="s">
        <v>17</v>
      </c>
      <c r="D362" s="3" t="s">
        <v>1000</v>
      </c>
    </row>
    <row r="363" spans="1:4" x14ac:dyDescent="0.2">
      <c r="A363" s="3" t="s">
        <v>358</v>
      </c>
      <c r="B363" s="3" t="s">
        <v>1</v>
      </c>
      <c r="C363" s="3" t="s">
        <v>17</v>
      </c>
      <c r="D363" s="3" t="s">
        <v>1000</v>
      </c>
    </row>
    <row r="364" spans="1:4" x14ac:dyDescent="0.2">
      <c r="A364" s="3" t="s">
        <v>373</v>
      </c>
      <c r="B364" s="3" t="s">
        <v>1</v>
      </c>
      <c r="C364" s="3" t="s">
        <v>17</v>
      </c>
      <c r="D364" s="3" t="s">
        <v>1007</v>
      </c>
    </row>
    <row r="365" spans="1:4" x14ac:dyDescent="0.2">
      <c r="A365" s="3" t="s">
        <v>374</v>
      </c>
      <c r="B365" s="3" t="s">
        <v>1</v>
      </c>
      <c r="C365" s="3" t="s">
        <v>17</v>
      </c>
      <c r="D365" s="3" t="s">
        <v>1007</v>
      </c>
    </row>
    <row r="366" spans="1:4" x14ac:dyDescent="0.2">
      <c r="A366" s="3" t="s">
        <v>375</v>
      </c>
      <c r="B366" s="3" t="s">
        <v>1</v>
      </c>
      <c r="C366" s="3" t="s">
        <v>17</v>
      </c>
      <c r="D366" s="3" t="s">
        <v>1007</v>
      </c>
    </row>
    <row r="367" spans="1:4" x14ac:dyDescent="0.2">
      <c r="A367" s="3" t="s">
        <v>376</v>
      </c>
      <c r="B367" s="3" t="s">
        <v>1</v>
      </c>
      <c r="C367" s="3" t="s">
        <v>17</v>
      </c>
      <c r="D367" s="3" t="s">
        <v>1007</v>
      </c>
    </row>
    <row r="368" spans="1:4" x14ac:dyDescent="0.2">
      <c r="A368" s="3" t="s">
        <v>381</v>
      </c>
      <c r="B368" s="3" t="s">
        <v>1</v>
      </c>
      <c r="C368" s="3" t="s">
        <v>17</v>
      </c>
      <c r="D368" s="3" t="s">
        <v>1009</v>
      </c>
    </row>
    <row r="369" spans="1:4" x14ac:dyDescent="0.2">
      <c r="A369" s="3" t="s">
        <v>382</v>
      </c>
      <c r="B369" s="3" t="s">
        <v>1</v>
      </c>
      <c r="C369" s="3" t="s">
        <v>17</v>
      </c>
      <c r="D369" s="3" t="s">
        <v>1009</v>
      </c>
    </row>
    <row r="370" spans="1:4" x14ac:dyDescent="0.2">
      <c r="A370" s="3" t="s">
        <v>383</v>
      </c>
      <c r="B370" s="3" t="s">
        <v>1</v>
      </c>
      <c r="C370" s="3" t="s">
        <v>17</v>
      </c>
      <c r="D370" s="3" t="s">
        <v>1009</v>
      </c>
    </row>
    <row r="371" spans="1:4" x14ac:dyDescent="0.2">
      <c r="A371" s="3" t="s">
        <v>384</v>
      </c>
      <c r="B371" s="3" t="s">
        <v>1</v>
      </c>
      <c r="C371" s="3" t="s">
        <v>17</v>
      </c>
      <c r="D371" s="3" t="s">
        <v>1009</v>
      </c>
    </row>
    <row r="372" spans="1:4" x14ac:dyDescent="0.2">
      <c r="A372" s="3" t="s">
        <v>385</v>
      </c>
      <c r="B372" s="3" t="s">
        <v>1</v>
      </c>
      <c r="C372" s="3" t="s">
        <v>17</v>
      </c>
      <c r="D372" s="3" t="s">
        <v>1009</v>
      </c>
    </row>
    <row r="373" spans="1:4" x14ac:dyDescent="0.2">
      <c r="A373" s="3" t="s">
        <v>386</v>
      </c>
      <c r="B373" s="3" t="s">
        <v>1</v>
      </c>
      <c r="C373" s="3" t="s">
        <v>978</v>
      </c>
      <c r="D373" s="3" t="s">
        <v>1010</v>
      </c>
    </row>
    <row r="374" spans="1:4" x14ac:dyDescent="0.2">
      <c r="A374" s="3" t="s">
        <v>1597</v>
      </c>
      <c r="B374" s="3" t="s">
        <v>1</v>
      </c>
      <c r="C374" s="3" t="s">
        <v>978</v>
      </c>
      <c r="D374" s="3" t="s">
        <v>1010</v>
      </c>
    </row>
    <row r="375" spans="1:4" x14ac:dyDescent="0.2">
      <c r="A375" s="3" t="s">
        <v>314</v>
      </c>
      <c r="B375" s="3" t="s">
        <v>1</v>
      </c>
      <c r="C375" s="3" t="s">
        <v>17</v>
      </c>
      <c r="D375" s="3" t="s">
        <v>986</v>
      </c>
    </row>
    <row r="376" spans="1:4" x14ac:dyDescent="0.2">
      <c r="A376" s="3" t="s">
        <v>315</v>
      </c>
      <c r="B376" s="3" t="s">
        <v>1</v>
      </c>
      <c r="C376" s="3" t="s">
        <v>17</v>
      </c>
      <c r="D376" s="3" t="s">
        <v>986</v>
      </c>
    </row>
    <row r="377" spans="1:4" x14ac:dyDescent="0.2">
      <c r="A377" s="3" t="s">
        <v>316</v>
      </c>
      <c r="B377" s="3" t="s">
        <v>1</v>
      </c>
      <c r="C377" s="3" t="s">
        <v>17</v>
      </c>
      <c r="D377" s="3" t="s">
        <v>986</v>
      </c>
    </row>
    <row r="378" spans="1:4" x14ac:dyDescent="0.2">
      <c r="A378" s="3" t="s">
        <v>122</v>
      </c>
      <c r="B378" s="3" t="s">
        <v>27</v>
      </c>
      <c r="C378" s="3" t="s">
        <v>993</v>
      </c>
      <c r="D378" s="3" t="s">
        <v>1014</v>
      </c>
    </row>
    <row r="379" spans="1:4" x14ac:dyDescent="0.2">
      <c r="A379" s="3" t="s">
        <v>123</v>
      </c>
      <c r="B379" s="3" t="s">
        <v>27</v>
      </c>
      <c r="C379" s="3" t="s">
        <v>993</v>
      </c>
      <c r="D379" s="3" t="s">
        <v>1014</v>
      </c>
    </row>
    <row r="380" spans="1:4" x14ac:dyDescent="0.2">
      <c r="A380" s="3" t="s">
        <v>124</v>
      </c>
      <c r="B380" s="3" t="s">
        <v>27</v>
      </c>
      <c r="C380" s="3" t="s">
        <v>993</v>
      </c>
      <c r="D380" s="3" t="s">
        <v>1014</v>
      </c>
    </row>
    <row r="381" spans="1:4" x14ac:dyDescent="0.2">
      <c r="A381" s="3" t="s">
        <v>456</v>
      </c>
      <c r="B381" s="3" t="s">
        <v>1158</v>
      </c>
      <c r="C381" s="3" t="s">
        <v>993</v>
      </c>
      <c r="D381" s="3" t="s">
        <v>1011</v>
      </c>
    </row>
    <row r="382" spans="1:4" x14ac:dyDescent="0.2">
      <c r="A382" s="3" t="s">
        <v>457</v>
      </c>
      <c r="B382" s="3" t="s">
        <v>1158</v>
      </c>
      <c r="C382" s="3" t="s">
        <v>993</v>
      </c>
      <c r="D382" s="3" t="s">
        <v>1011</v>
      </c>
    </row>
    <row r="383" spans="1:4" x14ac:dyDescent="0.2">
      <c r="A383" s="3" t="s">
        <v>458</v>
      </c>
      <c r="B383" s="3" t="s">
        <v>1158</v>
      </c>
      <c r="C383" s="3" t="s">
        <v>993</v>
      </c>
      <c r="D383" s="3" t="s">
        <v>1011</v>
      </c>
    </row>
    <row r="384" spans="1:4" x14ac:dyDescent="0.2">
      <c r="A384" s="3" t="s">
        <v>459</v>
      </c>
      <c r="B384" s="3" t="s">
        <v>1158</v>
      </c>
      <c r="C384" s="3" t="s">
        <v>993</v>
      </c>
      <c r="D384" s="3" t="s">
        <v>1011</v>
      </c>
    </row>
    <row r="385" spans="1:4" x14ac:dyDescent="0.2">
      <c r="A385" s="3" t="s">
        <v>461</v>
      </c>
      <c r="B385" s="3" t="s">
        <v>1158</v>
      </c>
      <c r="C385" s="3" t="s">
        <v>993</v>
      </c>
      <c r="D385" s="3" t="s">
        <v>1011</v>
      </c>
    </row>
    <row r="386" spans="1:4" x14ac:dyDescent="0.2">
      <c r="A386" s="3" t="s">
        <v>462</v>
      </c>
      <c r="B386" s="3" t="s">
        <v>1158</v>
      </c>
      <c r="C386" s="3" t="s">
        <v>993</v>
      </c>
      <c r="D386" s="3" t="s">
        <v>1011</v>
      </c>
    </row>
    <row r="387" spans="1:4" x14ac:dyDescent="0.2">
      <c r="A387" s="3" t="s">
        <v>463</v>
      </c>
      <c r="B387" s="3" t="s">
        <v>1158</v>
      </c>
      <c r="C387" s="3" t="s">
        <v>993</v>
      </c>
      <c r="D387" s="3" t="s">
        <v>1011</v>
      </c>
    </row>
    <row r="388" spans="1:4" x14ac:dyDescent="0.2">
      <c r="A388" s="3" t="s">
        <v>464</v>
      </c>
      <c r="B388" s="3" t="s">
        <v>1158</v>
      </c>
      <c r="C388" s="3" t="s">
        <v>993</v>
      </c>
      <c r="D388" s="3" t="s">
        <v>1011</v>
      </c>
    </row>
    <row r="389" spans="1:4" x14ac:dyDescent="0.2">
      <c r="A389" s="3" t="s">
        <v>465</v>
      </c>
      <c r="B389" s="3" t="s">
        <v>1158</v>
      </c>
      <c r="C389" s="3" t="s">
        <v>993</v>
      </c>
      <c r="D389" s="3" t="s">
        <v>1011</v>
      </c>
    </row>
    <row r="390" spans="1:4" x14ac:dyDescent="0.2">
      <c r="A390" s="3" t="s">
        <v>466</v>
      </c>
      <c r="B390" s="3" t="s">
        <v>1158</v>
      </c>
      <c r="C390" s="3" t="s">
        <v>993</v>
      </c>
      <c r="D390" s="3" t="s">
        <v>1011</v>
      </c>
    </row>
    <row r="391" spans="1:4" x14ac:dyDescent="0.2">
      <c r="A391" s="3" t="s">
        <v>467</v>
      </c>
      <c r="B391" s="3" t="s">
        <v>1158</v>
      </c>
      <c r="C391" s="3" t="s">
        <v>993</v>
      </c>
      <c r="D391" s="3" t="s">
        <v>1011</v>
      </c>
    </row>
    <row r="392" spans="1:4" x14ac:dyDescent="0.2">
      <c r="A392" s="3" t="s">
        <v>468</v>
      </c>
      <c r="B392" s="3" t="s">
        <v>1158</v>
      </c>
      <c r="C392" s="3" t="s">
        <v>993</v>
      </c>
      <c r="D392" s="3" t="s">
        <v>1011</v>
      </c>
    </row>
    <row r="393" spans="1:4" x14ac:dyDescent="0.2">
      <c r="A393" s="3" t="s">
        <v>469</v>
      </c>
      <c r="B393" s="3" t="s">
        <v>1158</v>
      </c>
      <c r="C393" s="3" t="s">
        <v>993</v>
      </c>
      <c r="D393" s="3" t="s">
        <v>1011</v>
      </c>
    </row>
    <row r="394" spans="1:4" x14ac:dyDescent="0.2">
      <c r="A394" s="3" t="s">
        <v>929</v>
      </c>
      <c r="B394" s="3" t="s">
        <v>1158</v>
      </c>
      <c r="C394" s="3" t="s">
        <v>993</v>
      </c>
      <c r="D394" s="3" t="s">
        <v>1011</v>
      </c>
    </row>
    <row r="395" spans="1:4" x14ac:dyDescent="0.2">
      <c r="A395" s="3" t="s">
        <v>470</v>
      </c>
      <c r="B395" s="3" t="s">
        <v>1158</v>
      </c>
      <c r="C395" s="3" t="s">
        <v>993</v>
      </c>
      <c r="D395" s="3" t="s">
        <v>1011</v>
      </c>
    </row>
    <row r="396" spans="1:4" x14ac:dyDescent="0.2">
      <c r="A396" s="3" t="s">
        <v>471</v>
      </c>
      <c r="B396" s="3" t="s">
        <v>1158</v>
      </c>
      <c r="C396" s="3" t="s">
        <v>993</v>
      </c>
      <c r="D396" s="3" t="s">
        <v>1011</v>
      </c>
    </row>
    <row r="397" spans="1:4" x14ac:dyDescent="0.2">
      <c r="A397" s="3" t="s">
        <v>472</v>
      </c>
      <c r="B397" s="3" t="s">
        <v>1158</v>
      </c>
      <c r="C397" s="3" t="s">
        <v>993</v>
      </c>
      <c r="D397" s="3" t="s">
        <v>1011</v>
      </c>
    </row>
    <row r="398" spans="1:4" x14ac:dyDescent="0.2">
      <c r="A398" s="3" t="s">
        <v>474</v>
      </c>
      <c r="B398" s="3" t="s">
        <v>1158</v>
      </c>
      <c r="C398" s="3" t="s">
        <v>993</v>
      </c>
      <c r="D398" s="3" t="s">
        <v>1011</v>
      </c>
    </row>
    <row r="399" spans="1:4" x14ac:dyDescent="0.2">
      <c r="A399" s="3" t="s">
        <v>475</v>
      </c>
      <c r="B399" s="3" t="s">
        <v>1158</v>
      </c>
      <c r="C399" s="3" t="s">
        <v>993</v>
      </c>
      <c r="D399" s="3" t="s">
        <v>1011</v>
      </c>
    </row>
    <row r="400" spans="1:4" x14ac:dyDescent="0.2">
      <c r="A400" s="3" t="s">
        <v>476</v>
      </c>
      <c r="B400" s="3" t="s">
        <v>1158</v>
      </c>
      <c r="C400" s="3" t="s">
        <v>993</v>
      </c>
      <c r="D400" s="3" t="s">
        <v>1011</v>
      </c>
    </row>
    <row r="401" spans="1:4" x14ac:dyDescent="0.2">
      <c r="A401" s="7" t="s">
        <v>477</v>
      </c>
      <c r="B401" s="3" t="s">
        <v>1158</v>
      </c>
      <c r="C401" s="3" t="s">
        <v>993</v>
      </c>
      <c r="D401" s="3" t="s">
        <v>1011</v>
      </c>
    </row>
    <row r="402" spans="1:4" x14ac:dyDescent="0.2">
      <c r="A402" s="3" t="s">
        <v>478</v>
      </c>
      <c r="B402" s="3" t="s">
        <v>1158</v>
      </c>
      <c r="C402" s="3" t="s">
        <v>993</v>
      </c>
      <c r="D402" s="3" t="s">
        <v>1011</v>
      </c>
    </row>
    <row r="403" spans="1:4" x14ac:dyDescent="0.2">
      <c r="A403" s="3" t="s">
        <v>479</v>
      </c>
      <c r="B403" s="3" t="s">
        <v>1158</v>
      </c>
      <c r="C403" s="3" t="s">
        <v>993</v>
      </c>
      <c r="D403" s="3" t="s">
        <v>1011</v>
      </c>
    </row>
    <row r="404" spans="1:4" x14ac:dyDescent="0.2">
      <c r="A404" s="3" t="s">
        <v>480</v>
      </c>
      <c r="B404" s="3" t="s">
        <v>1158</v>
      </c>
      <c r="C404" s="3" t="s">
        <v>993</v>
      </c>
      <c r="D404" s="3" t="s">
        <v>1011</v>
      </c>
    </row>
    <row r="405" spans="1:4" x14ac:dyDescent="0.2">
      <c r="A405" s="3" t="s">
        <v>928</v>
      </c>
      <c r="B405" s="3" t="s">
        <v>1158</v>
      </c>
      <c r="C405" s="3" t="s">
        <v>993</v>
      </c>
      <c r="D405" s="3" t="s">
        <v>1011</v>
      </c>
    </row>
    <row r="406" spans="1:4" x14ac:dyDescent="0.2">
      <c r="A406" s="3" t="s">
        <v>927</v>
      </c>
      <c r="B406" s="3" t="s">
        <v>1158</v>
      </c>
      <c r="C406" s="3" t="s">
        <v>993</v>
      </c>
      <c r="D406" s="3" t="s">
        <v>1011</v>
      </c>
    </row>
    <row r="407" spans="1:4" x14ac:dyDescent="0.2">
      <c r="A407" s="3" t="s">
        <v>394</v>
      </c>
      <c r="B407" s="3" t="s">
        <v>1</v>
      </c>
      <c r="C407" s="3" t="s">
        <v>17</v>
      </c>
      <c r="D407" s="3" t="s">
        <v>1013</v>
      </c>
    </row>
    <row r="408" spans="1:4" x14ac:dyDescent="0.2">
      <c r="A408" s="3" t="s">
        <v>387</v>
      </c>
      <c r="B408" s="3" t="s">
        <v>1</v>
      </c>
      <c r="C408" s="3" t="s">
        <v>2</v>
      </c>
      <c r="D408" s="3" t="s">
        <v>1012</v>
      </c>
    </row>
    <row r="409" spans="1:4" x14ac:dyDescent="0.2">
      <c r="A409" s="3" t="s">
        <v>925</v>
      </c>
      <c r="B409" s="3" t="s">
        <v>1</v>
      </c>
      <c r="C409" s="3" t="s">
        <v>22</v>
      </c>
      <c r="D409" s="3" t="s">
        <v>1016</v>
      </c>
    </row>
    <row r="410" spans="1:4" x14ac:dyDescent="0.2">
      <c r="A410" s="3" t="s">
        <v>396</v>
      </c>
      <c r="B410" s="3" t="s">
        <v>1</v>
      </c>
      <c r="C410" s="3" t="s">
        <v>17</v>
      </c>
      <c r="D410" s="3" t="s">
        <v>1015</v>
      </c>
    </row>
    <row r="411" spans="1:4" x14ac:dyDescent="0.2">
      <c r="A411" s="3" t="s">
        <v>344</v>
      </c>
      <c r="B411" s="3" t="s">
        <v>1</v>
      </c>
      <c r="C411" s="3" t="s">
        <v>17</v>
      </c>
      <c r="D411" s="3" t="s">
        <v>997</v>
      </c>
    </row>
    <row r="412" spans="1:4" x14ac:dyDescent="0.2">
      <c r="A412" s="3" t="s">
        <v>397</v>
      </c>
      <c r="B412" s="3" t="s">
        <v>1</v>
      </c>
      <c r="C412" s="3" t="s">
        <v>17</v>
      </c>
      <c r="D412" s="3" t="s">
        <v>997</v>
      </c>
    </row>
    <row r="413" spans="1:4" x14ac:dyDescent="0.2">
      <c r="A413" s="3" t="s">
        <v>398</v>
      </c>
      <c r="B413" s="3" t="s">
        <v>1</v>
      </c>
      <c r="C413" s="3" t="s">
        <v>17</v>
      </c>
      <c r="D413" s="3" t="s">
        <v>997</v>
      </c>
    </row>
    <row r="414" spans="1:4" x14ac:dyDescent="0.2">
      <c r="A414" s="3" t="s">
        <v>399</v>
      </c>
      <c r="B414" s="3" t="s">
        <v>1</v>
      </c>
      <c r="C414" s="3" t="s">
        <v>17</v>
      </c>
      <c r="D414" s="3" t="s">
        <v>997</v>
      </c>
    </row>
    <row r="415" spans="1:4" x14ac:dyDescent="0.2">
      <c r="A415" s="3" t="s">
        <v>408</v>
      </c>
      <c r="B415" s="3" t="s">
        <v>949</v>
      </c>
      <c r="C415" s="3" t="s">
        <v>17</v>
      </c>
      <c r="D415" s="3" t="s">
        <v>999</v>
      </c>
    </row>
    <row r="416" spans="1:4" x14ac:dyDescent="0.2">
      <c r="A416" s="3" t="s">
        <v>926</v>
      </c>
      <c r="B416" s="3" t="s">
        <v>949</v>
      </c>
      <c r="C416" s="3" t="s">
        <v>17</v>
      </c>
      <c r="D416" s="3" t="s">
        <v>999</v>
      </c>
    </row>
    <row r="417" spans="1:4" x14ac:dyDescent="0.2">
      <c r="A417" s="25" t="s">
        <v>412</v>
      </c>
      <c r="B417" s="3" t="s">
        <v>949</v>
      </c>
      <c r="C417" s="3" t="s">
        <v>17</v>
      </c>
      <c r="D417" s="3" t="s">
        <v>999</v>
      </c>
    </row>
    <row r="418" spans="1:4" x14ac:dyDescent="0.2">
      <c r="A418" s="3" t="s">
        <v>413</v>
      </c>
      <c r="B418" s="3" t="s">
        <v>949</v>
      </c>
      <c r="C418" s="3" t="s">
        <v>17</v>
      </c>
      <c r="D418" s="3" t="s">
        <v>999</v>
      </c>
    </row>
    <row r="419" spans="1:4" x14ac:dyDescent="0.2">
      <c r="A419" s="25" t="s">
        <v>883</v>
      </c>
      <c r="B419" s="3" t="s">
        <v>943</v>
      </c>
      <c r="C419" s="3" t="s">
        <v>944</v>
      </c>
      <c r="D419" s="3" t="s">
        <v>945</v>
      </c>
    </row>
    <row r="420" spans="1:4" x14ac:dyDescent="0.2">
      <c r="A420" s="7" t="s">
        <v>884</v>
      </c>
      <c r="B420" s="3" t="s">
        <v>943</v>
      </c>
      <c r="C420" s="3" t="s">
        <v>944</v>
      </c>
      <c r="D420" s="3" t="s">
        <v>945</v>
      </c>
    </row>
    <row r="421" spans="1:4" x14ac:dyDescent="0.2">
      <c r="A421" s="1" t="s">
        <v>885</v>
      </c>
      <c r="B421" s="3" t="s">
        <v>943</v>
      </c>
      <c r="C421" s="3" t="s">
        <v>944</v>
      </c>
      <c r="D421" s="3" t="s">
        <v>945</v>
      </c>
    </row>
    <row r="422" spans="1:4" x14ac:dyDescent="0.2">
      <c r="A422" s="1" t="s">
        <v>886</v>
      </c>
      <c r="B422" s="3" t="s">
        <v>943</v>
      </c>
      <c r="C422" s="3" t="s">
        <v>944</v>
      </c>
      <c r="D422" s="3" t="s">
        <v>945</v>
      </c>
    </row>
    <row r="423" spans="1:4" x14ac:dyDescent="0.2">
      <c r="A423" s="1" t="s">
        <v>887</v>
      </c>
      <c r="B423" s="3" t="s">
        <v>943</v>
      </c>
      <c r="C423" s="3" t="s">
        <v>944</v>
      </c>
      <c r="D423" s="3" t="s">
        <v>945</v>
      </c>
    </row>
    <row r="424" spans="1:4" x14ac:dyDescent="0.2">
      <c r="A424" s="1" t="s">
        <v>888</v>
      </c>
      <c r="B424" s="3" t="s">
        <v>943</v>
      </c>
      <c r="C424" s="3" t="s">
        <v>944</v>
      </c>
      <c r="D424" s="3" t="s">
        <v>945</v>
      </c>
    </row>
    <row r="425" spans="1:4" x14ac:dyDescent="0.2">
      <c r="A425" s="1" t="s">
        <v>889</v>
      </c>
      <c r="B425" s="3" t="s">
        <v>943</v>
      </c>
      <c r="C425" s="3" t="s">
        <v>944</v>
      </c>
      <c r="D425" s="3" t="s">
        <v>945</v>
      </c>
    </row>
    <row r="426" spans="1:4" x14ac:dyDescent="0.2">
      <c r="A426" s="1" t="s">
        <v>890</v>
      </c>
      <c r="B426" s="3" t="s">
        <v>943</v>
      </c>
      <c r="C426" s="3" t="s">
        <v>944</v>
      </c>
      <c r="D426" s="3" t="s">
        <v>945</v>
      </c>
    </row>
    <row r="427" spans="1:4" x14ac:dyDescent="0.2">
      <c r="A427" s="7" t="s">
        <v>891</v>
      </c>
      <c r="B427" s="3" t="s">
        <v>943</v>
      </c>
      <c r="C427" s="3" t="s">
        <v>944</v>
      </c>
      <c r="D427" s="3" t="s">
        <v>945</v>
      </c>
    </row>
    <row r="428" spans="1:4" x14ac:dyDescent="0.2">
      <c r="A428" s="7" t="s">
        <v>892</v>
      </c>
      <c r="B428" s="3" t="s">
        <v>943</v>
      </c>
      <c r="C428" s="3" t="s">
        <v>944</v>
      </c>
      <c r="D428" s="3" t="s">
        <v>945</v>
      </c>
    </row>
    <row r="429" spans="1:4" x14ac:dyDescent="0.2">
      <c r="A429" s="1" t="s">
        <v>893</v>
      </c>
      <c r="B429" s="3" t="s">
        <v>943</v>
      </c>
      <c r="C429" s="3" t="s">
        <v>944</v>
      </c>
      <c r="D429" s="3" t="s">
        <v>945</v>
      </c>
    </row>
    <row r="430" spans="1:4" x14ac:dyDescent="0.2">
      <c r="A430" s="1" t="s">
        <v>894</v>
      </c>
      <c r="B430" s="3" t="s">
        <v>943</v>
      </c>
      <c r="C430" s="3" t="s">
        <v>944</v>
      </c>
      <c r="D430" s="3" t="s">
        <v>945</v>
      </c>
    </row>
    <row r="431" spans="1:4" x14ac:dyDescent="0.2">
      <c r="A431" s="1" t="s">
        <v>895</v>
      </c>
      <c r="B431" s="3" t="s">
        <v>943</v>
      </c>
      <c r="C431" s="3" t="s">
        <v>944</v>
      </c>
      <c r="D431" s="3" t="s">
        <v>945</v>
      </c>
    </row>
    <row r="432" spans="1:4" x14ac:dyDescent="0.2">
      <c r="A432" s="1" t="s">
        <v>896</v>
      </c>
      <c r="B432" s="3" t="s">
        <v>943</v>
      </c>
      <c r="C432" s="3" t="s">
        <v>944</v>
      </c>
      <c r="D432" s="3" t="s">
        <v>945</v>
      </c>
    </row>
    <row r="433" spans="1:4" x14ac:dyDescent="0.2">
      <c r="A433" s="1" t="s">
        <v>897</v>
      </c>
      <c r="B433" s="3" t="s">
        <v>943</v>
      </c>
      <c r="C433" s="3" t="s">
        <v>944</v>
      </c>
      <c r="D433" s="3" t="s">
        <v>945</v>
      </c>
    </row>
    <row r="434" spans="1:4" x14ac:dyDescent="0.2">
      <c r="A434" s="1" t="s">
        <v>898</v>
      </c>
      <c r="B434" s="3" t="s">
        <v>943</v>
      </c>
      <c r="C434" s="3" t="s">
        <v>944</v>
      </c>
      <c r="D434" s="3" t="s">
        <v>945</v>
      </c>
    </row>
    <row r="435" spans="1:4" x14ac:dyDescent="0.2">
      <c r="A435" s="1" t="s">
        <v>899</v>
      </c>
      <c r="B435" s="3" t="s">
        <v>943</v>
      </c>
      <c r="C435" s="3" t="s">
        <v>944</v>
      </c>
      <c r="D435" s="3" t="s">
        <v>945</v>
      </c>
    </row>
    <row r="436" spans="1:4" x14ac:dyDescent="0.2">
      <c r="A436" s="1" t="s">
        <v>900</v>
      </c>
      <c r="B436" s="3" t="s">
        <v>943</v>
      </c>
      <c r="C436" s="3" t="s">
        <v>944</v>
      </c>
      <c r="D436" s="3" t="s">
        <v>945</v>
      </c>
    </row>
    <row r="437" spans="1:4" x14ac:dyDescent="0.2">
      <c r="A437" s="1" t="s">
        <v>901</v>
      </c>
      <c r="B437" s="3" t="s">
        <v>943</v>
      </c>
      <c r="C437" s="3" t="s">
        <v>944</v>
      </c>
      <c r="D437" s="3" t="s">
        <v>945</v>
      </c>
    </row>
    <row r="438" spans="1:4" x14ac:dyDescent="0.2">
      <c r="A438" s="1" t="s">
        <v>902</v>
      </c>
      <c r="B438" s="3" t="s">
        <v>943</v>
      </c>
      <c r="C438" s="3" t="s">
        <v>944</v>
      </c>
      <c r="D438" s="3" t="s">
        <v>945</v>
      </c>
    </row>
    <row r="439" spans="1:4" x14ac:dyDescent="0.2">
      <c r="A439" s="1" t="s">
        <v>903</v>
      </c>
      <c r="B439" s="3" t="s">
        <v>943</v>
      </c>
      <c r="C439" s="3" t="s">
        <v>944</v>
      </c>
      <c r="D439" s="3" t="s">
        <v>945</v>
      </c>
    </row>
    <row r="440" spans="1:4" x14ac:dyDescent="0.2">
      <c r="A440" s="1" t="s">
        <v>904</v>
      </c>
      <c r="B440" s="3" t="s">
        <v>943</v>
      </c>
      <c r="C440" s="3" t="s">
        <v>944</v>
      </c>
      <c r="D440" s="3" t="s">
        <v>945</v>
      </c>
    </row>
    <row r="441" spans="1:4" x14ac:dyDescent="0.2">
      <c r="A441" s="1" t="s">
        <v>905</v>
      </c>
      <c r="B441" s="3" t="s">
        <v>943</v>
      </c>
      <c r="C441" s="3" t="s">
        <v>944</v>
      </c>
      <c r="D441" s="3" t="s">
        <v>945</v>
      </c>
    </row>
    <row r="442" spans="1:4" x14ac:dyDescent="0.2">
      <c r="A442" s="1" t="s">
        <v>906</v>
      </c>
      <c r="B442" s="3" t="s">
        <v>943</v>
      </c>
      <c r="C442" s="3" t="s">
        <v>944</v>
      </c>
      <c r="D442" s="3" t="s">
        <v>945</v>
      </c>
    </row>
    <row r="443" spans="1:4" x14ac:dyDescent="0.2">
      <c r="A443" s="1" t="s">
        <v>907</v>
      </c>
      <c r="B443" s="3" t="s">
        <v>943</v>
      </c>
      <c r="C443" s="3" t="s">
        <v>944</v>
      </c>
      <c r="D443" s="3" t="s">
        <v>945</v>
      </c>
    </row>
    <row r="444" spans="1:4" x14ac:dyDescent="0.2">
      <c r="A444" s="1" t="s">
        <v>908</v>
      </c>
      <c r="B444" s="3" t="s">
        <v>943</v>
      </c>
      <c r="C444" s="3" t="s">
        <v>944</v>
      </c>
      <c r="D444" s="3" t="s">
        <v>945</v>
      </c>
    </row>
    <row r="445" spans="1:4" x14ac:dyDescent="0.2">
      <c r="A445" s="7" t="s">
        <v>460</v>
      </c>
      <c r="B445" s="3" t="s">
        <v>1158</v>
      </c>
      <c r="C445" s="3" t="s">
        <v>993</v>
      </c>
      <c r="D445" s="3" t="s">
        <v>1011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1128</v>
      </c>
      <c r="C1" s="17" t="s">
        <v>31</v>
      </c>
      <c r="D1" s="17" t="s">
        <v>30</v>
      </c>
      <c r="E1" s="17" t="s">
        <v>1100</v>
      </c>
      <c r="F1" s="17" t="s">
        <v>1098</v>
      </c>
      <c r="G1" s="17" t="s">
        <v>1115</v>
      </c>
      <c r="H1" s="17" t="s">
        <v>1099</v>
      </c>
      <c r="I1" s="83" t="s">
        <v>1145</v>
      </c>
      <c r="J1" s="19" t="s">
        <v>1137</v>
      </c>
      <c r="K1" s="19" t="s">
        <v>1135</v>
      </c>
      <c r="L1" s="19" t="s">
        <v>1134</v>
      </c>
      <c r="M1" s="19" t="s">
        <v>1136</v>
      </c>
      <c r="N1" s="19" t="s">
        <v>1138</v>
      </c>
      <c r="O1" s="19" t="s">
        <v>1107</v>
      </c>
      <c r="P1" s="17" t="s">
        <v>1020</v>
      </c>
      <c r="Q1" s="17" t="s">
        <v>1102</v>
      </c>
      <c r="R1" s="17" t="s">
        <v>1129</v>
      </c>
      <c r="S1" s="17" t="s">
        <v>1126</v>
      </c>
      <c r="T1" s="17" t="s">
        <v>1125</v>
      </c>
      <c r="U1" s="17" t="s">
        <v>1133</v>
      </c>
      <c r="V1" s="17" t="s">
        <v>1131</v>
      </c>
      <c r="W1" s="22" t="s">
        <v>1132</v>
      </c>
      <c r="X1" s="17" t="s">
        <v>1109</v>
      </c>
    </row>
    <row r="2" spans="1:24" ht="17" thickTop="1" x14ac:dyDescent="0.2">
      <c r="A2" s="3" t="s">
        <v>1139</v>
      </c>
      <c r="B2" s="3" t="str">
        <f t="shared" ref="B2:B13" si="0">CONCATENATE(C2,"_",D2)</f>
        <v>US28_hcmva_4XT1</v>
      </c>
      <c r="C2" s="2" t="s">
        <v>42</v>
      </c>
      <c r="D2" s="3" t="s">
        <v>1123</v>
      </c>
      <c r="E2" s="3" t="s">
        <v>1105</v>
      </c>
      <c r="F2" s="3" t="s">
        <v>1111</v>
      </c>
      <c r="G2" s="3" t="s">
        <v>1124</v>
      </c>
      <c r="H2" s="3" t="s">
        <v>1114</v>
      </c>
      <c r="I2" s="16" t="s">
        <v>1142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1127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1122</v>
      </c>
    </row>
    <row r="3" spans="1:24" x14ac:dyDescent="0.2">
      <c r="A3" s="3" t="s">
        <v>1141</v>
      </c>
      <c r="B3" s="3" t="str">
        <f t="shared" si="0"/>
        <v>OPRM_mouse_5C1M</v>
      </c>
      <c r="C3" s="3" t="s">
        <v>44</v>
      </c>
      <c r="D3" s="3" t="s">
        <v>84</v>
      </c>
      <c r="E3" s="3" t="s">
        <v>1105</v>
      </c>
      <c r="F3" s="3" t="s">
        <v>1111</v>
      </c>
      <c r="G3" s="3" t="s">
        <v>1124</v>
      </c>
      <c r="H3" s="3" t="s">
        <v>1114</v>
      </c>
      <c r="I3" s="16" t="s">
        <v>1142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1127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1122</v>
      </c>
    </row>
    <row r="4" spans="1:24" x14ac:dyDescent="0.2">
      <c r="A4" s="3" t="s">
        <v>1140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1105</v>
      </c>
      <c r="F4" s="14" t="s">
        <v>24</v>
      </c>
      <c r="G4" s="3" t="s">
        <v>1124</v>
      </c>
      <c r="H4" s="3" t="s">
        <v>1114</v>
      </c>
      <c r="I4" s="16" t="s">
        <v>1142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1117</v>
      </c>
      <c r="P4" s="15" t="s">
        <v>1019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1105</v>
      </c>
      <c r="F5" s="3" t="s">
        <v>1101</v>
      </c>
      <c r="G5" s="3" t="s">
        <v>1124</v>
      </c>
      <c r="H5" s="3" t="s">
        <v>1114</v>
      </c>
      <c r="I5" s="16" t="s">
        <v>1143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1117</v>
      </c>
      <c r="P5" s="15" t="s">
        <v>1018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1110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1105</v>
      </c>
      <c r="F6" s="3" t="s">
        <v>16</v>
      </c>
      <c r="G6" s="3" t="s">
        <v>1147</v>
      </c>
      <c r="H6" s="3" t="s">
        <v>1114</v>
      </c>
      <c r="I6" s="16" t="s">
        <v>1143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1116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1105</v>
      </c>
      <c r="F7" s="3" t="s">
        <v>1111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1118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1112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1105</v>
      </c>
      <c r="F8" s="3" t="s">
        <v>1111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1118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1112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1105</v>
      </c>
      <c r="F9" s="3" t="s">
        <v>1111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1118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1112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1113</v>
      </c>
      <c r="E10" s="3" t="s">
        <v>1105</v>
      </c>
      <c r="F10" s="3" t="s">
        <v>1111</v>
      </c>
      <c r="H10" s="3" t="s">
        <v>1114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1112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1046</v>
      </c>
      <c r="E11" s="3" t="s">
        <v>1105</v>
      </c>
      <c r="F11" s="3" t="s">
        <v>1111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1112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1028</v>
      </c>
      <c r="E12" s="3" t="s">
        <v>1105</v>
      </c>
      <c r="F12" s="3" t="s">
        <v>1101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1117</v>
      </c>
      <c r="P12" s="15" t="s">
        <v>1018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1110</v>
      </c>
    </row>
    <row r="13" spans="1:24" x14ac:dyDescent="0.2">
      <c r="B13" s="3" t="str">
        <f t="shared" si="0"/>
        <v>FFAR1_human_4PHU</v>
      </c>
      <c r="C13" s="2" t="s">
        <v>1148</v>
      </c>
      <c r="D13" s="14" t="s">
        <v>52</v>
      </c>
      <c r="E13" s="3" t="s">
        <v>1104</v>
      </c>
      <c r="F13" s="3" t="s">
        <v>23</v>
      </c>
      <c r="G13" s="3" t="s">
        <v>1149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1034</v>
      </c>
      <c r="E14" s="3" t="s">
        <v>1104</v>
      </c>
      <c r="F14" s="14"/>
      <c r="I14" s="16" t="s">
        <v>1142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1104</v>
      </c>
      <c r="F15" s="3" t="s">
        <v>23</v>
      </c>
      <c r="G15" s="3" t="s">
        <v>1146</v>
      </c>
      <c r="I15" s="16" t="s">
        <v>1142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1116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1026</v>
      </c>
      <c r="E16" s="3" t="s">
        <v>1104</v>
      </c>
      <c r="F16" s="3" t="s">
        <v>23</v>
      </c>
      <c r="G16" s="3" t="s">
        <v>1124</v>
      </c>
      <c r="I16" s="16" t="s">
        <v>1144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1116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1119</v>
      </c>
      <c r="E17" s="3" t="s">
        <v>1104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1119</v>
      </c>
      <c r="E18" s="3" t="s">
        <v>1104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1104</v>
      </c>
      <c r="F19" s="3" t="s">
        <v>23</v>
      </c>
      <c r="G19" s="3" t="s">
        <v>1150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1119</v>
      </c>
      <c r="E20" s="3" t="s">
        <v>1104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1097</v>
      </c>
      <c r="D21" s="3" t="s">
        <v>1119</v>
      </c>
      <c r="E21" s="3" t="s">
        <v>1104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1017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1106</v>
      </c>
      <c r="E22" s="3" t="s">
        <v>1104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1021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1108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1130</v>
      </c>
      <c r="E23" s="3" t="s">
        <v>1104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1117</v>
      </c>
      <c r="P23" s="15" t="s">
        <v>1019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1121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1120</v>
      </c>
      <c r="E24" s="3" t="s">
        <v>1104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1117</v>
      </c>
      <c r="P24" s="15" t="s">
        <v>1019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1121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1104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1018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1103</v>
      </c>
      <c r="E26" s="3" t="s">
        <v>1104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1018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1060</v>
      </c>
      <c r="C1" s="8" t="s">
        <v>1061</v>
      </c>
      <c r="D1" s="8" t="s">
        <v>1077</v>
      </c>
      <c r="E1" s="8" t="s">
        <v>1078</v>
      </c>
      <c r="F1" s="8" t="s">
        <v>1062</v>
      </c>
      <c r="G1" s="8" t="s">
        <v>1063</v>
      </c>
      <c r="H1" s="8" t="s">
        <v>1079</v>
      </c>
      <c r="I1" s="8" t="s">
        <v>1080</v>
      </c>
      <c r="J1" s="8" t="s">
        <v>1064</v>
      </c>
      <c r="K1" s="8" t="s">
        <v>1065</v>
      </c>
      <c r="L1" s="8" t="s">
        <v>1092</v>
      </c>
      <c r="M1" s="8" t="s">
        <v>1093</v>
      </c>
      <c r="N1" s="8" t="s">
        <v>1066</v>
      </c>
      <c r="O1" s="8" t="s">
        <v>1067</v>
      </c>
      <c r="P1" s="8" t="s">
        <v>1095</v>
      </c>
      <c r="Q1" s="8" t="s">
        <v>1096</v>
      </c>
      <c r="R1" s="8" t="s">
        <v>1068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</row>
    <row r="2" spans="1:25" x14ac:dyDescent="0.2">
      <c r="A2" s="1" t="s">
        <v>1325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2020-01-16T10:23:32Z</dcterms:modified>
  <cp:category/>
  <cp:contentStatus/>
</cp:coreProperties>
</file>