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aoyan H\Downloads\"/>
    </mc:Choice>
  </mc:AlternateContent>
  <xr:revisionPtr revIDLastSave="0" documentId="13_ncr:1_{761A36E5-8625-4DD0-B26F-F068B53B8FE6}" xr6:coauthVersionLast="46" xr6:coauthVersionMax="46" xr10:uidLastSave="{00000000-0000-0000-0000-000000000000}"/>
  <bookViews>
    <workbookView xWindow="1005" yWindow="-120" windowWidth="27915" windowHeight="16440" activeTab="2" xr2:uid="{00000000-000D-0000-FFFF-FFFF00000000}"/>
  </bookViews>
  <sheets>
    <sheet name="Question2" sheetId="29" r:id="rId1"/>
    <sheet name="Question4" sheetId="35" r:id="rId2"/>
    <sheet name="Question4 Model" sheetId="31" r:id="rId3"/>
    <sheet name="Answer Report 2" sheetId="6" r:id="rId4"/>
    <sheet name="Sensitivity Report 2" sheetId="7" r:id="rId5"/>
    <sheet name="Answer Report 3" sheetId="12" r:id="rId6"/>
    <sheet name="Answer Report 1" sheetId="23" r:id="rId7"/>
    <sheet name="Sensitivity Report 1" sheetId="24" r:id="rId8"/>
    <sheet name="Input Data" sheetId="1" r:id="rId9"/>
    <sheet name="Input Data_STS" sheetId="5" state="veryHidden" r:id="rId10"/>
    <sheet name="STS_1" sheetId="16" r:id="rId11"/>
    <sheet name="STS_2" sheetId="17" r:id="rId12"/>
    <sheet name="STS_3" sheetId="22" r:id="rId13"/>
    <sheet name="STS_4" sheetId="25" r:id="rId14"/>
    <sheet name="STS_5" sheetId="26" r:id="rId15"/>
    <sheet name="STS_6" sheetId="27" r:id="rId16"/>
    <sheet name="STS_7" sheetId="28" r:id="rId17"/>
    <sheet name="STS_9" sheetId="30" r:id="rId18"/>
    <sheet name="Input Data (2)_STS" sheetId="32" state="veryHidden" r:id="rId19"/>
    <sheet name="STS_10" sheetId="33" r:id="rId20"/>
  </sheets>
  <definedNames>
    <definedName name="ChartData" localSheetId="0">Question2!$K$5:$K$25</definedName>
    <definedName name="ChartData" localSheetId="10">STS_1!$K$5:$K$17</definedName>
    <definedName name="ChartData" localSheetId="19">STS_10!$K$5:$K$45</definedName>
    <definedName name="ChartData" localSheetId="11">STS_2!$K$5:$K$35</definedName>
    <definedName name="ChartData" localSheetId="12">STS_3!$K$5:$K$35</definedName>
    <definedName name="ChartData" localSheetId="13">STS_4!$K$5:$K$104</definedName>
    <definedName name="ChartData" localSheetId="14">STS_5!$K$5:$K$104</definedName>
    <definedName name="ChartData" localSheetId="15">STS_6!$K$5:$K$24</definedName>
    <definedName name="ChartData" localSheetId="16">STS_7!$K$5:$K$17</definedName>
    <definedName name="ChartData" localSheetId="17">STS_9!$K$5:$K$45</definedName>
    <definedName name="ChartData1" localSheetId="1">Question4!#REF!</definedName>
    <definedName name="ChartData2" localSheetId="1">Question4!#REF!</definedName>
    <definedName name="InputValues" localSheetId="0">Question2!$A$5:$A$25</definedName>
    <definedName name="InputValues" localSheetId="10">STS_1!$A$5:$A$17</definedName>
    <definedName name="InputValues" localSheetId="19">STS_10!$A$5:$A$45</definedName>
    <definedName name="InputValues" localSheetId="11">STS_2!$A$5:$A$35</definedName>
    <definedName name="InputValues" localSheetId="12">STS_3!$A$5:$A$35</definedName>
    <definedName name="InputValues" localSheetId="13">STS_4!$A$5:$A$104</definedName>
    <definedName name="InputValues" localSheetId="14">STS_5!$A$5:$A$104</definedName>
    <definedName name="InputValues" localSheetId="15">STS_6!$A$5:$A$24</definedName>
    <definedName name="InputValues" localSheetId="16">STS_7!$A$5:$A$17</definedName>
    <definedName name="InputValues" localSheetId="17">STS_9!$A$5:$A$45</definedName>
    <definedName name="InputValues1" localSheetId="1">Question4!$A$5:$A$45</definedName>
    <definedName name="InputValues2" localSheetId="1">Question4!$B$4:$E$4</definedName>
    <definedName name="OutputAddresses" localSheetId="0">Question2!$B$4</definedName>
    <definedName name="OutputAddresses" localSheetId="1">Question4!$R$2</definedName>
    <definedName name="OutputAddresses" localSheetId="10">STS_1!$B$4</definedName>
    <definedName name="OutputAddresses" localSheetId="19">STS_10!$B$4</definedName>
    <definedName name="OutputAddresses" localSheetId="11">STS_2!$B$4</definedName>
    <definedName name="OutputAddresses" localSheetId="12">STS_3!$B$4</definedName>
    <definedName name="OutputAddresses" localSheetId="13">STS_4!$B$4</definedName>
    <definedName name="OutputAddresses" localSheetId="14">STS_5!$B$4</definedName>
    <definedName name="OutputAddresses" localSheetId="15">STS_6!$B$4</definedName>
    <definedName name="OutputAddresses" localSheetId="16">STS_7!$B$4</definedName>
    <definedName name="OutputAddresses" localSheetId="17">STS_9!$B$4</definedName>
    <definedName name="OutputValues" localSheetId="0">Question2!$B$5:$B$25</definedName>
    <definedName name="OutputValues" localSheetId="10">STS_1!$B$5:$B$17</definedName>
    <definedName name="OutputValues" localSheetId="19">STS_10!$B$5:$B$45</definedName>
    <definedName name="OutputValues" localSheetId="11">STS_2!$B$5:$B$35</definedName>
    <definedName name="OutputValues" localSheetId="12">STS_3!$B$5:$B$35</definedName>
    <definedName name="OutputValues" localSheetId="13">STS_4!$B$5:$B$104</definedName>
    <definedName name="OutputValues" localSheetId="14">STS_5!$B$5:$B$104</definedName>
    <definedName name="OutputValues" localSheetId="15">STS_6!$B$5:$B$24</definedName>
    <definedName name="OutputValues" localSheetId="16">STS_7!$B$5:$B$17</definedName>
    <definedName name="OutputValues" localSheetId="17">STS_9!$B$5:$B$45</definedName>
    <definedName name="OutputValues_1" localSheetId="1">Question4!$B$5:$E$45</definedName>
    <definedName name="solver_adj" localSheetId="8" hidden="1">'Input Data'!$I$8:$J$15,'Input Data'!$I$30:$J$38</definedName>
    <definedName name="solver_adj" localSheetId="2" hidden="1">'Question4 Model'!$I$8:$J$15,'Question4 Model'!$I$30:$J$38</definedName>
    <definedName name="solver_cvg" localSheetId="8" hidden="1">0.0001</definedName>
    <definedName name="solver_cvg" localSheetId="2" hidden="1">0.0001</definedName>
    <definedName name="solver_drv" localSheetId="8" hidden="1">1</definedName>
    <definedName name="solver_drv" localSheetId="2" hidden="1">1</definedName>
    <definedName name="solver_eng" localSheetId="8" hidden="1">2</definedName>
    <definedName name="solver_eng" localSheetId="2" hidden="1">2</definedName>
    <definedName name="solver_est" localSheetId="8" hidden="1">1</definedName>
    <definedName name="solver_est" localSheetId="2" hidden="1">1</definedName>
    <definedName name="solver_itr" localSheetId="8" hidden="1">2147483647</definedName>
    <definedName name="solver_itr" localSheetId="2" hidden="1">2147483647</definedName>
    <definedName name="solver_lhs1" localSheetId="8" hidden="1">'Input Data'!$I$40:$J$40</definedName>
    <definedName name="solver_lhs1" localSheetId="2" hidden="1">'Question4 Model'!$I$40:$J$40</definedName>
    <definedName name="solver_lhs10" localSheetId="8" hidden="1">'Input Data'!$K$30:$K$38</definedName>
    <definedName name="solver_lhs10" localSheetId="2" hidden="1">'Question4 Model'!$K$30:$K$38</definedName>
    <definedName name="solver_lhs11" localSheetId="8" hidden="1">'Input Data'!$K$8:$K$15</definedName>
    <definedName name="solver_lhs11" localSheetId="2" hidden="1">'Question4 Model'!$K$8:$K$15</definedName>
    <definedName name="solver_lhs12" localSheetId="8" hidden="1">'Input Data'!$K$8:$K$15</definedName>
    <definedName name="solver_lhs12" localSheetId="2" hidden="1">'Question4 Model'!$K$8:$K$15</definedName>
    <definedName name="solver_lhs2" localSheetId="8" hidden="1">'Input Data'!$J$19:$K$19</definedName>
    <definedName name="solver_lhs2" localSheetId="2" hidden="1">'Question4 Model'!$J$19:$K$19</definedName>
    <definedName name="solver_lhs3" localSheetId="8" hidden="1">'Input Data'!$J$19:$K$19</definedName>
    <definedName name="solver_lhs3" localSheetId="2" hidden="1">'Question4 Model'!$J$19:$K$19</definedName>
    <definedName name="solver_lhs4" localSheetId="8" hidden="1">'Input Data'!$J$21</definedName>
    <definedName name="solver_lhs4" localSheetId="2" hidden="1">'Question4 Model'!$J$21</definedName>
    <definedName name="solver_lhs5" localSheetId="8" hidden="1">'Input Data'!$K$21</definedName>
    <definedName name="solver_lhs5" localSheetId="2" hidden="1">'Question4 Model'!$K$21</definedName>
    <definedName name="solver_lhs6" localSheetId="8" hidden="1">'Input Data'!$K$30:$K$38</definedName>
    <definedName name="solver_lhs6" localSheetId="2" hidden="1">'Question4 Model'!$K$30:$K$38</definedName>
    <definedName name="solver_lhs7" localSheetId="8" hidden="1">'Input Data'!$K$30:$K$38</definedName>
    <definedName name="solver_lhs7" localSheetId="2" hidden="1">'Question4 Model'!$K$30:$K$38</definedName>
    <definedName name="solver_lhs8" localSheetId="8" hidden="1">'Input Data'!$K$8:$K$15</definedName>
    <definedName name="solver_lhs8" localSheetId="2" hidden="1">'Question4 Model'!$K$8:$K$15</definedName>
    <definedName name="solver_lhs9" localSheetId="8" hidden="1">'Input Data'!$K$30:$K$38</definedName>
    <definedName name="solver_lhs9" localSheetId="2" hidden="1">'Question4 Model'!$K$30:$K$38</definedName>
    <definedName name="solver_lin" localSheetId="8" hidden="1">1</definedName>
    <definedName name="solver_lin" localSheetId="2" hidden="1">1</definedName>
    <definedName name="solver_mip" localSheetId="8" hidden="1">2147483647</definedName>
    <definedName name="solver_mip" localSheetId="2" hidden="1">2147483647</definedName>
    <definedName name="solver_mni" localSheetId="8" hidden="1">30</definedName>
    <definedName name="solver_mni" localSheetId="2" hidden="1">30</definedName>
    <definedName name="solver_mrt" localSheetId="8" hidden="1">0.075</definedName>
    <definedName name="solver_mrt" localSheetId="2" hidden="1">0.075</definedName>
    <definedName name="solver_msl" localSheetId="8" hidden="1">2</definedName>
    <definedName name="solver_msl" localSheetId="2" hidden="1">2</definedName>
    <definedName name="solver_neg" localSheetId="8" hidden="1">1</definedName>
    <definedName name="solver_neg" localSheetId="2" hidden="1">1</definedName>
    <definedName name="solver_nod" localSheetId="8" hidden="1">2147483647</definedName>
    <definedName name="solver_nod" localSheetId="2" hidden="1">2147483647</definedName>
    <definedName name="solver_num" localSheetId="8" hidden="1">8</definedName>
    <definedName name="solver_num" localSheetId="2" hidden="1">8</definedName>
    <definedName name="solver_nwt" localSheetId="8" hidden="1">1</definedName>
    <definedName name="solver_nwt" localSheetId="2" hidden="1">1</definedName>
    <definedName name="solver_opt" localSheetId="8" hidden="1">'Input Data'!$K$55</definedName>
    <definedName name="solver_opt" localSheetId="2" hidden="1">'Question4 Model'!$K$55</definedName>
    <definedName name="solver_pre" localSheetId="8" hidden="1">0.000001</definedName>
    <definedName name="solver_pre" localSheetId="2" hidden="1">0.000001</definedName>
    <definedName name="solver_rbv" localSheetId="8" hidden="1">1</definedName>
    <definedName name="solver_rbv" localSheetId="2" hidden="1">1</definedName>
    <definedName name="solver_rel1" localSheetId="8" hidden="1">3</definedName>
    <definedName name="solver_rel1" localSheetId="2" hidden="1">3</definedName>
    <definedName name="solver_rel10" localSheetId="8" hidden="1">3</definedName>
    <definedName name="solver_rel10" localSheetId="2" hidden="1">3</definedName>
    <definedName name="solver_rel11" localSheetId="8" hidden="1">1</definedName>
    <definedName name="solver_rel11" localSheetId="2" hidden="1">1</definedName>
    <definedName name="solver_rel12" localSheetId="8" hidden="1">2</definedName>
    <definedName name="solver_rel12" localSheetId="2" hidden="1">2</definedName>
    <definedName name="solver_rel2" localSheetId="8" hidden="1">1</definedName>
    <definedName name="solver_rel2" localSheetId="2" hidden="1">1</definedName>
    <definedName name="solver_rel3" localSheetId="8" hidden="1">3</definedName>
    <definedName name="solver_rel3" localSheetId="2" hidden="1">3</definedName>
    <definedName name="solver_rel4" localSheetId="8" hidden="1">1</definedName>
    <definedName name="solver_rel4" localSheetId="2" hidden="1">1</definedName>
    <definedName name="solver_rel5" localSheetId="8" hidden="1">1</definedName>
    <definedName name="solver_rel5" localSheetId="2" hidden="1">1</definedName>
    <definedName name="solver_rel6" localSheetId="8" hidden="1">1</definedName>
    <definedName name="solver_rel6" localSheetId="2" hidden="1">1</definedName>
    <definedName name="solver_rel7" localSheetId="8" hidden="1">3</definedName>
    <definedName name="solver_rel7" localSheetId="2" hidden="1">3</definedName>
    <definedName name="solver_rel8" localSheetId="8" hidden="1">1</definedName>
    <definedName name="solver_rel8" localSheetId="2" hidden="1">1</definedName>
    <definedName name="solver_rel9" localSheetId="8" hidden="1">1</definedName>
    <definedName name="solver_rel9" localSheetId="2" hidden="1">1</definedName>
    <definedName name="solver_rhs1" localSheetId="8" hidden="1">'Input Data'!$I$39:$J$39</definedName>
    <definedName name="solver_rhs1" localSheetId="2" hidden="1">'Question4 Model'!$I$39:$J$39</definedName>
    <definedName name="solver_rhs10" localSheetId="8" hidden="1">'Input Data'!$L$30:$L$38</definedName>
    <definedName name="solver_rhs10" localSheetId="2" hidden="1">'Question4 Model'!$L$30:$L$38</definedName>
    <definedName name="solver_rhs11" localSheetId="8" hidden="1">'Input Data'!$M$8:$M$15</definedName>
    <definedName name="solver_rhs11" localSheetId="2" hidden="1">'Question4 Model'!$M$8:$M$15</definedName>
    <definedName name="solver_rhs12" localSheetId="8" hidden="1">'Input Data'!$B$8:$B$15</definedName>
    <definedName name="solver_rhs12" localSheetId="2" hidden="1">'Question4 Model'!$B$8:$B$15</definedName>
    <definedName name="solver_rhs2" localSheetId="8" hidden="1">'Input Data'!$N$19:$O$19</definedName>
    <definedName name="solver_rhs2" localSheetId="2" hidden="1">'Question4 Model'!$N$19:$O$19</definedName>
    <definedName name="solver_rhs3" localSheetId="8" hidden="1">'Input Data'!$L$19:$M$19</definedName>
    <definedName name="solver_rhs3" localSheetId="2" hidden="1">'Question4 Model'!$L$19:$M$19</definedName>
    <definedName name="solver_rhs4" localSheetId="8" hidden="1">'Input Data'!$M$21</definedName>
    <definedName name="solver_rhs4" localSheetId="2" hidden="1">'Question4 Model'!$M$21</definedName>
    <definedName name="solver_rhs5" localSheetId="8" hidden="1">'Input Data'!$O$21</definedName>
    <definedName name="solver_rhs5" localSheetId="2" hidden="1">'Question4 Model'!$O$21</definedName>
    <definedName name="solver_rhs6" localSheetId="8" hidden="1">'Input Data'!$M$30:$M$38</definedName>
    <definedName name="solver_rhs6" localSheetId="2" hidden="1">'Question4 Model'!$M$30:$M$38</definedName>
    <definedName name="solver_rhs7" localSheetId="8" hidden="1">'Input Data'!$L$30:$L$38</definedName>
    <definedName name="solver_rhs7" localSheetId="2" hidden="1">'Question4 Model'!$L$30:$L$38</definedName>
    <definedName name="solver_rhs8" localSheetId="8" hidden="1">'Input Data'!$M$8:$M$15</definedName>
    <definedName name="solver_rhs8" localSheetId="2" hidden="1">'Question4 Model'!$M$8:$M$15</definedName>
    <definedName name="solver_rhs9" localSheetId="8" hidden="1">'Input Data'!$M$30:$M$38</definedName>
    <definedName name="solver_rhs9" localSheetId="2" hidden="1">'Question4 Model'!$M$30:$M$38</definedName>
    <definedName name="solver_rlx" localSheetId="8" hidden="1">2</definedName>
    <definedName name="solver_rlx" localSheetId="2" hidden="1">2</definedName>
    <definedName name="solver_rsd" localSheetId="8" hidden="1">0</definedName>
    <definedName name="solver_rsd" localSheetId="2" hidden="1">0</definedName>
    <definedName name="solver_scl" localSheetId="8" hidden="1">1</definedName>
    <definedName name="solver_scl" localSheetId="2" hidden="1">1</definedName>
    <definedName name="solver_sho" localSheetId="8" hidden="1">2</definedName>
    <definedName name="solver_sho" localSheetId="2" hidden="1">2</definedName>
    <definedName name="solver_ssz" localSheetId="8" hidden="1">100</definedName>
    <definedName name="solver_ssz" localSheetId="2" hidden="1">100</definedName>
    <definedName name="solver_tim" localSheetId="8" hidden="1">2147483647</definedName>
    <definedName name="solver_tim" localSheetId="2" hidden="1">2147483647</definedName>
    <definedName name="solver_tol" localSheetId="8" hidden="1">0.01</definedName>
    <definedName name="solver_tol" localSheetId="2" hidden="1">0.01</definedName>
    <definedName name="solver_typ" localSheetId="8" hidden="1">1</definedName>
    <definedName name="solver_typ" localSheetId="2" hidden="1">1</definedName>
    <definedName name="solver_val" localSheetId="8" hidden="1">0</definedName>
    <definedName name="solver_val" localSheetId="2" hidden="1">0</definedName>
    <definedName name="solver_ver" localSheetId="8" hidden="1">3</definedName>
    <definedName name="solver_ver" localSheetId="2" hidden="1">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31" l="1"/>
  <c r="J46" i="31" s="1"/>
  <c r="K1" i="33"/>
  <c r="K43" i="33"/>
  <c r="K39" i="33"/>
  <c r="K35" i="33"/>
  <c r="K31" i="33"/>
  <c r="K27" i="33"/>
  <c r="K23" i="33"/>
  <c r="K19" i="33"/>
  <c r="K15" i="33"/>
  <c r="K11" i="33"/>
  <c r="K7" i="33"/>
  <c r="J4" i="33"/>
  <c r="K42" i="33" s="1"/>
  <c r="O38" i="31"/>
  <c r="N38" i="31" s="1"/>
  <c r="O37" i="31"/>
  <c r="N37" i="31" s="1"/>
  <c r="O36" i="31"/>
  <c r="N36" i="31" s="1"/>
  <c r="O35" i="31"/>
  <c r="N35" i="31" s="1"/>
  <c r="O34" i="31"/>
  <c r="N34" i="31" s="1"/>
  <c r="O33" i="31"/>
  <c r="N33" i="31" s="1"/>
  <c r="O32" i="31"/>
  <c r="N32" i="31" s="1"/>
  <c r="O31" i="31"/>
  <c r="N31" i="31" s="1"/>
  <c r="O30" i="31"/>
  <c r="N30" i="31" s="1"/>
  <c r="N15" i="31"/>
  <c r="N14" i="31"/>
  <c r="N13" i="31"/>
  <c r="N12" i="31"/>
  <c r="N11" i="31"/>
  <c r="N10" i="31"/>
  <c r="N9" i="31"/>
  <c r="N8" i="31"/>
  <c r="J47" i="31"/>
  <c r="J45" i="31"/>
  <c r="J44" i="31"/>
  <c r="J39" i="31"/>
  <c r="I39" i="31"/>
  <c r="K38" i="31"/>
  <c r="K37" i="31"/>
  <c r="K36" i="31"/>
  <c r="K35" i="31"/>
  <c r="K34" i="31"/>
  <c r="K33" i="31"/>
  <c r="K32" i="31"/>
  <c r="K31" i="31"/>
  <c r="K30" i="31"/>
  <c r="C26" i="31"/>
  <c r="B26" i="31"/>
  <c r="K25" i="31"/>
  <c r="J25" i="31"/>
  <c r="O21" i="31"/>
  <c r="M21" i="31"/>
  <c r="O19" i="31"/>
  <c r="N19" i="31"/>
  <c r="M19" i="31"/>
  <c r="L19" i="31"/>
  <c r="K19" i="31"/>
  <c r="K22" i="31" s="1"/>
  <c r="J19" i="31"/>
  <c r="J22" i="31" s="1"/>
  <c r="K15" i="31"/>
  <c r="K14" i="31"/>
  <c r="K13" i="31"/>
  <c r="K12" i="31"/>
  <c r="K11" i="31"/>
  <c r="K10" i="31"/>
  <c r="K9" i="31"/>
  <c r="K8" i="31"/>
  <c r="K1" i="30"/>
  <c r="J4" i="30"/>
  <c r="K42" i="30" s="1"/>
  <c r="K1" i="29"/>
  <c r="K15" i="29"/>
  <c r="J4" i="29"/>
  <c r="K25" i="29" s="1"/>
  <c r="K1" i="28"/>
  <c r="K10" i="28"/>
  <c r="J4" i="28"/>
  <c r="K16" i="28" s="1"/>
  <c r="K1" i="27"/>
  <c r="J4" i="27"/>
  <c r="K22" i="27" s="1"/>
  <c r="K1" i="26"/>
  <c r="K103" i="26"/>
  <c r="K102" i="26"/>
  <c r="K95" i="26"/>
  <c r="K94" i="26"/>
  <c r="K87" i="26"/>
  <c r="K86" i="26"/>
  <c r="K79" i="26"/>
  <c r="K78" i="26"/>
  <c r="K71" i="26"/>
  <c r="K70" i="26"/>
  <c r="K63" i="26"/>
  <c r="K62" i="26"/>
  <c r="K55" i="26"/>
  <c r="K54" i="26"/>
  <c r="K47" i="26"/>
  <c r="K46" i="26"/>
  <c r="K39" i="26"/>
  <c r="K38" i="26"/>
  <c r="K31" i="26"/>
  <c r="K30" i="26"/>
  <c r="K23" i="26"/>
  <c r="K22" i="26"/>
  <c r="K15" i="26"/>
  <c r="K14" i="26"/>
  <c r="K7" i="26"/>
  <c r="K6" i="26"/>
  <c r="J4" i="26"/>
  <c r="K104" i="26" s="1"/>
  <c r="K1" i="25"/>
  <c r="J4" i="25"/>
  <c r="K97" i="25" s="1"/>
  <c r="K1" i="22"/>
  <c r="J4" i="22"/>
  <c r="K34" i="22" s="1"/>
  <c r="B63" i="1"/>
  <c r="N30" i="1"/>
  <c r="K19" i="1"/>
  <c r="K21" i="1" s="1"/>
  <c r="J19" i="1"/>
  <c r="J21" i="1" s="1"/>
  <c r="N31" i="1"/>
  <c r="N32" i="1"/>
  <c r="N33" i="1"/>
  <c r="N34" i="1"/>
  <c r="N35" i="1"/>
  <c r="N36" i="1"/>
  <c r="N37" i="1"/>
  <c r="N38" i="1"/>
  <c r="L19" i="1"/>
  <c r="K1" i="17"/>
  <c r="J4" i="17"/>
  <c r="K32" i="17" s="1"/>
  <c r="K1" i="16"/>
  <c r="J4" i="16"/>
  <c r="K15" i="16" s="1"/>
  <c r="K17" i="1"/>
  <c r="L17" i="1" s="1"/>
  <c r="K11" i="28" l="1"/>
  <c r="K19" i="29"/>
  <c r="K8" i="33"/>
  <c r="K12" i="33"/>
  <c r="K16" i="33"/>
  <c r="K20" i="33"/>
  <c r="K24" i="33"/>
  <c r="K28" i="33"/>
  <c r="K32" i="33"/>
  <c r="K36" i="33"/>
  <c r="K40" i="33"/>
  <c r="K44" i="33"/>
  <c r="K10" i="26"/>
  <c r="K18" i="26"/>
  <c r="K26" i="26"/>
  <c r="K34" i="26"/>
  <c r="K42" i="26"/>
  <c r="K50" i="26"/>
  <c r="K58" i="26"/>
  <c r="K66" i="26"/>
  <c r="K74" i="26"/>
  <c r="K82" i="26"/>
  <c r="K90" i="26"/>
  <c r="K98" i="26"/>
  <c r="K6" i="28"/>
  <c r="K14" i="28"/>
  <c r="K7" i="29"/>
  <c r="K23" i="29"/>
  <c r="K5" i="33"/>
  <c r="K9" i="33"/>
  <c r="K13" i="33"/>
  <c r="K17" i="33"/>
  <c r="K21" i="33"/>
  <c r="K25" i="33"/>
  <c r="K29" i="33"/>
  <c r="K33" i="33"/>
  <c r="K37" i="33"/>
  <c r="K41" i="33"/>
  <c r="K45" i="33"/>
  <c r="K11" i="26"/>
  <c r="K19" i="26"/>
  <c r="K27" i="26"/>
  <c r="K35" i="26"/>
  <c r="K43" i="26"/>
  <c r="K51" i="26"/>
  <c r="K59" i="26"/>
  <c r="K67" i="26"/>
  <c r="K75" i="26"/>
  <c r="K83" i="26"/>
  <c r="K91" i="26"/>
  <c r="K99" i="26"/>
  <c r="K7" i="28"/>
  <c r="K15" i="28"/>
  <c r="K11" i="29"/>
  <c r="K6" i="33"/>
  <c r="K10" i="33"/>
  <c r="K14" i="33"/>
  <c r="K18" i="33"/>
  <c r="K22" i="33"/>
  <c r="K26" i="33"/>
  <c r="K30" i="33"/>
  <c r="K34" i="33"/>
  <c r="K38" i="33"/>
  <c r="K24" i="31"/>
  <c r="K26" i="31" s="1"/>
  <c r="K20" i="31"/>
  <c r="J40" i="31" s="1"/>
  <c r="L8" i="31"/>
  <c r="L12" i="31"/>
  <c r="K39" i="31"/>
  <c r="I46" i="31" s="1"/>
  <c r="K46" i="31" s="1"/>
  <c r="L9" i="31"/>
  <c r="L13" i="31"/>
  <c r="L10" i="31"/>
  <c r="L14" i="31"/>
  <c r="J20" i="31"/>
  <c r="I40" i="31" s="1"/>
  <c r="J24" i="31"/>
  <c r="J26" i="31" s="1"/>
  <c r="L11" i="31"/>
  <c r="L15" i="31"/>
  <c r="N39" i="31"/>
  <c r="K52" i="31" s="1"/>
  <c r="I47" i="31"/>
  <c r="K47" i="31" s="1"/>
  <c r="K13" i="27"/>
  <c r="K12" i="29"/>
  <c r="K20" i="29"/>
  <c r="K5" i="30"/>
  <c r="K13" i="30"/>
  <c r="K21" i="30"/>
  <c r="K29" i="30"/>
  <c r="K37" i="30"/>
  <c r="K45" i="30"/>
  <c r="K5" i="26"/>
  <c r="K9" i="26"/>
  <c r="K13" i="26"/>
  <c r="K17" i="26"/>
  <c r="K21" i="26"/>
  <c r="K25" i="26"/>
  <c r="K29" i="26"/>
  <c r="K33" i="26"/>
  <c r="K37" i="26"/>
  <c r="K41" i="26"/>
  <c r="K45" i="26"/>
  <c r="K49" i="26"/>
  <c r="K53" i="26"/>
  <c r="K57" i="26"/>
  <c r="K61" i="26"/>
  <c r="K65" i="26"/>
  <c r="K69" i="26"/>
  <c r="K73" i="26"/>
  <c r="K77" i="26"/>
  <c r="K81" i="26"/>
  <c r="K85" i="26"/>
  <c r="K89" i="26"/>
  <c r="K93" i="26"/>
  <c r="K97" i="26"/>
  <c r="K101" i="26"/>
  <c r="K7" i="27"/>
  <c r="K11" i="27"/>
  <c r="K15" i="27"/>
  <c r="K19" i="27"/>
  <c r="K23" i="27"/>
  <c r="K5" i="28"/>
  <c r="K9" i="28"/>
  <c r="K13" i="28"/>
  <c r="K17" i="28"/>
  <c r="K6" i="29"/>
  <c r="K10" i="29"/>
  <c r="K14" i="29"/>
  <c r="K18" i="29"/>
  <c r="K22" i="29"/>
  <c r="K7" i="30"/>
  <c r="K11" i="30"/>
  <c r="K15" i="30"/>
  <c r="K19" i="30"/>
  <c r="K23" i="30"/>
  <c r="K27" i="30"/>
  <c r="K31" i="30"/>
  <c r="K35" i="30"/>
  <c r="K39" i="30"/>
  <c r="K43" i="30"/>
  <c r="K21" i="31"/>
  <c r="I45" i="31" s="1"/>
  <c r="K45" i="31" s="1"/>
  <c r="K8" i="27"/>
  <c r="K12" i="27"/>
  <c r="K16" i="27"/>
  <c r="K20" i="27"/>
  <c r="K24" i="27"/>
  <c r="K8" i="30"/>
  <c r="K12" i="30"/>
  <c r="K16" i="30"/>
  <c r="K20" i="30"/>
  <c r="K24" i="30"/>
  <c r="K28" i="30"/>
  <c r="K32" i="30"/>
  <c r="K36" i="30"/>
  <c r="K40" i="30"/>
  <c r="K44" i="30"/>
  <c r="K5" i="27"/>
  <c r="K9" i="27"/>
  <c r="K17" i="27"/>
  <c r="K21" i="27"/>
  <c r="K8" i="29"/>
  <c r="K16" i="29"/>
  <c r="K24" i="29"/>
  <c r="K9" i="30"/>
  <c r="K17" i="30"/>
  <c r="K25" i="30"/>
  <c r="K33" i="30"/>
  <c r="K41" i="30"/>
  <c r="K8" i="26"/>
  <c r="K12" i="26"/>
  <c r="K16" i="26"/>
  <c r="K20" i="26"/>
  <c r="K24" i="26"/>
  <c r="K28" i="26"/>
  <c r="K32" i="26"/>
  <c r="K36" i="26"/>
  <c r="K40" i="26"/>
  <c r="K44" i="26"/>
  <c r="K48" i="26"/>
  <c r="K52" i="26"/>
  <c r="K56" i="26"/>
  <c r="K60" i="26"/>
  <c r="K64" i="26"/>
  <c r="K68" i="26"/>
  <c r="K72" i="26"/>
  <c r="K76" i="26"/>
  <c r="K80" i="26"/>
  <c r="K84" i="26"/>
  <c r="K88" i="26"/>
  <c r="K92" i="26"/>
  <c r="K96" i="26"/>
  <c r="K100" i="26"/>
  <c r="K6" i="27"/>
  <c r="K10" i="27"/>
  <c r="K14" i="27"/>
  <c r="K18" i="27"/>
  <c r="K8" i="28"/>
  <c r="K12" i="28"/>
  <c r="K5" i="29"/>
  <c r="K9" i="29"/>
  <c r="K13" i="29"/>
  <c r="K17" i="29"/>
  <c r="K21" i="29"/>
  <c r="K6" i="30"/>
  <c r="K10" i="30"/>
  <c r="K14" i="30"/>
  <c r="K18" i="30"/>
  <c r="K22" i="30"/>
  <c r="K26" i="30"/>
  <c r="K30" i="30"/>
  <c r="K34" i="30"/>
  <c r="K38" i="30"/>
  <c r="J21" i="31"/>
  <c r="I44" i="31" s="1"/>
  <c r="K44" i="31" s="1"/>
  <c r="K12" i="17"/>
  <c r="K20" i="17"/>
  <c r="K28" i="17"/>
  <c r="K8" i="16"/>
  <c r="K16" i="16"/>
  <c r="K9" i="17"/>
  <c r="K17" i="17"/>
  <c r="K25" i="17"/>
  <c r="K33" i="17"/>
  <c r="K11" i="22"/>
  <c r="K19" i="22"/>
  <c r="K27" i="22"/>
  <c r="K35" i="22"/>
  <c r="K10" i="25"/>
  <c r="K18" i="25"/>
  <c r="K26" i="25"/>
  <c r="K34" i="25"/>
  <c r="K42" i="25"/>
  <c r="K50" i="25"/>
  <c r="K58" i="25"/>
  <c r="K66" i="25"/>
  <c r="K74" i="25"/>
  <c r="K82" i="25"/>
  <c r="K90" i="25"/>
  <c r="K98" i="25"/>
  <c r="K11" i="25"/>
  <c r="K19" i="25"/>
  <c r="K27" i="25"/>
  <c r="K35" i="25"/>
  <c r="K43" i="25"/>
  <c r="K51" i="25"/>
  <c r="K59" i="25"/>
  <c r="K67" i="25"/>
  <c r="K75" i="25"/>
  <c r="K83" i="25"/>
  <c r="K91" i="25"/>
  <c r="K99" i="25"/>
  <c r="K12" i="25"/>
  <c r="K20" i="25"/>
  <c r="K28" i="25"/>
  <c r="K36" i="25"/>
  <c r="K44" i="25"/>
  <c r="K52" i="25"/>
  <c r="K60" i="25"/>
  <c r="K68" i="25"/>
  <c r="K76" i="25"/>
  <c r="K84" i="25"/>
  <c r="K92" i="25"/>
  <c r="K100" i="25"/>
  <c r="K22" i="22"/>
  <c r="K13" i="25"/>
  <c r="K29" i="25"/>
  <c r="K37" i="25"/>
  <c r="K45" i="25"/>
  <c r="K53" i="25"/>
  <c r="K61" i="25"/>
  <c r="K69" i="25"/>
  <c r="K77" i="25"/>
  <c r="K85" i="25"/>
  <c r="K93" i="25"/>
  <c r="K101" i="25"/>
  <c r="K6" i="22"/>
  <c r="K14" i="22"/>
  <c r="K30" i="22"/>
  <c r="K5" i="25"/>
  <c r="K21" i="25"/>
  <c r="K102" i="25"/>
  <c r="K9" i="16"/>
  <c r="K17" i="16"/>
  <c r="K10" i="17"/>
  <c r="K18" i="17"/>
  <c r="K26" i="17"/>
  <c r="K34" i="17"/>
  <c r="K5" i="22"/>
  <c r="K13" i="22"/>
  <c r="K29" i="22"/>
  <c r="K8" i="22"/>
  <c r="K16" i="22"/>
  <c r="K24" i="22"/>
  <c r="K32" i="22"/>
  <c r="K7" i="25"/>
  <c r="K15" i="25"/>
  <c r="K23" i="25"/>
  <c r="K31" i="25"/>
  <c r="K39" i="25"/>
  <c r="K47" i="25"/>
  <c r="K55" i="25"/>
  <c r="K63" i="25"/>
  <c r="K71" i="25"/>
  <c r="K79" i="25"/>
  <c r="K87" i="25"/>
  <c r="K95" i="25"/>
  <c r="K103" i="25"/>
  <c r="K12" i="22"/>
  <c r="K20" i="22"/>
  <c r="K28" i="22"/>
  <c r="K10" i="16"/>
  <c r="K11" i="17"/>
  <c r="K19" i="17"/>
  <c r="K27" i="17"/>
  <c r="K35" i="17"/>
  <c r="K21" i="22"/>
  <c r="K11" i="16"/>
  <c r="K9" i="22"/>
  <c r="K17" i="22"/>
  <c r="K25" i="22"/>
  <c r="K33" i="22"/>
  <c r="K8" i="25"/>
  <c r="K16" i="25"/>
  <c r="K24" i="25"/>
  <c r="K32" i="25"/>
  <c r="K40" i="25"/>
  <c r="K48" i="25"/>
  <c r="K56" i="25"/>
  <c r="K64" i="25"/>
  <c r="K72" i="25"/>
  <c r="K80" i="25"/>
  <c r="K88" i="25"/>
  <c r="K96" i="25"/>
  <c r="K104" i="25"/>
  <c r="K12" i="16"/>
  <c r="K5" i="17"/>
  <c r="K13" i="17"/>
  <c r="K21" i="17"/>
  <c r="K29" i="17"/>
  <c r="K7" i="22"/>
  <c r="K15" i="22"/>
  <c r="K23" i="22"/>
  <c r="K31" i="22"/>
  <c r="K6" i="25"/>
  <c r="K14" i="25"/>
  <c r="K22" i="25"/>
  <c r="K30" i="25"/>
  <c r="K38" i="25"/>
  <c r="K46" i="25"/>
  <c r="K54" i="25"/>
  <c r="K62" i="25"/>
  <c r="K70" i="25"/>
  <c r="K78" i="25"/>
  <c r="K86" i="25"/>
  <c r="K94" i="25"/>
  <c r="K5" i="16"/>
  <c r="K13" i="16"/>
  <c r="K6" i="17"/>
  <c r="K14" i="17"/>
  <c r="K22" i="17"/>
  <c r="K30" i="17"/>
  <c r="K6" i="16"/>
  <c r="K14" i="16"/>
  <c r="K7" i="17"/>
  <c r="K15" i="17"/>
  <c r="K23" i="17"/>
  <c r="K31" i="17"/>
  <c r="K7" i="16"/>
  <c r="K8" i="17"/>
  <c r="K16" i="17"/>
  <c r="K24" i="17"/>
  <c r="K10" i="22"/>
  <c r="K18" i="22"/>
  <c r="K26" i="22"/>
  <c r="K9" i="25"/>
  <c r="K17" i="25"/>
  <c r="K25" i="25"/>
  <c r="K33" i="25"/>
  <c r="K41" i="25"/>
  <c r="K49" i="25"/>
  <c r="K57" i="25"/>
  <c r="K65" i="25"/>
  <c r="K73" i="25"/>
  <c r="K81" i="25"/>
  <c r="K89" i="25"/>
  <c r="J24" i="1"/>
  <c r="J20" i="1"/>
  <c r="I40" i="1" s="1"/>
  <c r="O19" i="1"/>
  <c r="N19" i="1"/>
  <c r="M19" i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8" i="1"/>
  <c r="L8" i="1" s="1"/>
  <c r="I44" i="1"/>
  <c r="K51" i="31" l="1"/>
  <c r="L16" i="31"/>
  <c r="K50" i="31" s="1"/>
  <c r="K48" i="31"/>
  <c r="L16" i="1"/>
  <c r="K20" i="1"/>
  <c r="J40" i="1" s="1"/>
  <c r="K30" i="1"/>
  <c r="K31" i="1"/>
  <c r="K32" i="1"/>
  <c r="K33" i="1"/>
  <c r="K34" i="1"/>
  <c r="K35" i="1"/>
  <c r="K36" i="1"/>
  <c r="K37" i="1"/>
  <c r="K38" i="1"/>
  <c r="J47" i="1"/>
  <c r="J46" i="1"/>
  <c r="J45" i="1"/>
  <c r="J44" i="1"/>
  <c r="J39" i="1"/>
  <c r="I39" i="1"/>
  <c r="O21" i="1"/>
  <c r="M21" i="1"/>
  <c r="K25" i="1"/>
  <c r="J25" i="1"/>
  <c r="C26" i="1"/>
  <c r="B26" i="1"/>
  <c r="J22" i="1" s="1"/>
  <c r="K53" i="31" l="1"/>
  <c r="K55" i="31" s="1"/>
  <c r="K50" i="1"/>
  <c r="K24" i="1"/>
  <c r="K26" i="1" s="1"/>
  <c r="I45" i="1"/>
  <c r="K45" i="1" s="1"/>
  <c r="K44" i="1"/>
  <c r="K39" i="1"/>
  <c r="N39" i="1"/>
  <c r="K52" i="1" s="1"/>
  <c r="J26" i="1"/>
  <c r="K22" i="1"/>
  <c r="I47" i="1" s="1"/>
  <c r="K47" i="1" s="1"/>
  <c r="K51" i="1" l="1"/>
  <c r="K53" i="1" s="1"/>
  <c r="I46" i="1"/>
  <c r="K46" i="1" s="1"/>
  <c r="K48" i="1" s="1"/>
  <c r="K5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Haoyan H</author>
  </authors>
  <commentList>
    <comment ref="B5" authorId="0" shapeId="0" xr:uid="{B6610C00-2456-4AD7-8D9B-0D9E1A4001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E70121D8-7A69-4265-B710-3E863A34BE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D9B1941-664B-4C70-8B01-AA1B6D4CAC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71C3E49C-2F81-49D7-BECF-79343D13DE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8CE82D7-72ED-49E3-AC03-8D1A1BD761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1ADAD225-6A21-4F22-946F-D880DBBC8C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9415351A-EB62-4001-8757-ECAADBE0C7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93410235-009E-4FB0-9EB1-8E4C41D308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169F666-F221-44C5-AFD2-30622A5850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15B96507-F909-4509-85BF-ABF9D0A4A6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77D5F3FC-0DDD-48F7-A010-61B3EE6051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DDD04C37-6363-4308-AC69-AD21089BA9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9632095F-D25C-4905-AB7E-3D7BEE36D2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EFA16E26-B26C-4A35-99D2-8856DCFEE2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3FC09AF7-8CFC-4EEB-9182-DC645B837D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C392793E-49DA-4DBF-9BAB-3D91849F4C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48583DFE-3DBC-4495-8953-D4A8990A8E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E145EEFB-2DCA-4A1E-85ED-10D90BEEA3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C5A8529E-D99F-4EEA-A708-910A6F7B84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28D8CC9A-1D32-49E4-9362-4069ED013E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9B7B467F-28E9-4594-8E7C-FAAE781724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Haoyan H</author>
  </authors>
  <commentList>
    <comment ref="B5" authorId="0" shapeId="0" xr:uid="{2461EE6D-07C3-4ECA-B5B8-55799C5BC2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DB365061-97BB-46BC-A8B4-9A4C37DC94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BD787157-DAE4-4EC5-9D31-89220B0A8D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DBC16179-6A86-4B38-82BE-B3298C0D24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21AC3DF-5364-48DF-9481-FC53C2C790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783F2C5-C97D-41CF-A743-C1DCF34268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DBCC0156-2812-4943-9362-E4ECBEBB2A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67F2C56E-FCBE-4CB7-9745-AC57A065F9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5BCFFE73-09FE-4BEE-89C6-B421DE5163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54D142BD-FC96-4BDC-93DA-C717F2C25C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1D07B5B5-0537-4CC4-8321-C80344DD26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BDFECD03-F371-401E-A9D1-C7813DD215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375277B0-3BDF-4EA0-8D42-72A24FFC58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8260E51C-666F-4355-A52D-3E8C41059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44117B58-90F6-4528-9BE0-9D3BC62CFD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EEAAE28F-AAB9-4B60-9B05-378100ED7E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E280655F-9669-40A6-9623-A87633E668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7355AE19-844F-4F9A-93BB-A9DFAF45B4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66EDEECF-32CC-4BA8-B7CF-3063252141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D9FC7689-9E8D-42F5-98D6-86417056D5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5E88D7B8-4624-4BAE-A165-FB9B10A9E0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6B99C7C4-F6CC-43DC-BD83-82F25A19BE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21F32F1F-A0CD-4DD5-971C-06ED40284C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30E41E01-2E05-49DD-AF58-62A90E5C83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3BDA3961-2CB5-4DF1-BCFE-674B66B63E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FDE32AF7-76EB-481D-941A-72581FE2DC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6B7A9FA4-DE7D-4884-A8C9-9F68F76441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C1F4E2F9-5EC2-45A7-B8F7-B348B95C63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0EE85BDB-651F-469D-AE90-90FC6D1138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80E10694-07FD-4456-8138-E5FA7116E2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BB9918A4-5828-40E0-BC61-C722CB4B64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611FDBD8-AC01-488C-8B11-393DBAADD9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58A88EC7-827C-4777-9EF0-1C91221FF2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FD738784-95C6-4E94-9D1B-5156FCF85A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57B48E49-B870-4A3F-A27D-1F84F0803B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F91118C8-711A-49F2-A6AD-98F1DEFBA0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6FFD2145-7EF0-4152-B4B6-5A8DF9B515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8A6FB272-D502-42D2-B93B-FBB6225212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93678E8C-1CCE-4087-8E39-25C5B160A6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E3F3AEF5-B9CD-40A7-8D4D-A76A958FE8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B363428A-0A31-458F-9E5E-A2B8FE3345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Haoyan H</author>
  </authors>
  <commentList>
    <comment ref="B5" authorId="0" shapeId="0" xr:uid="{3248F50A-A8CD-47EC-AD7F-A2A87DB7FA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7EAD7874-A009-4A41-B2A6-7DD623A914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31E8FF9-315C-4651-A706-676EC0460D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F29526CD-4D5A-4E93-B891-53AAD05751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66E73B5B-EA05-4DCE-9DC2-A9A82FC5B1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E1AFFD5A-6AFE-4684-A214-9EBB17F7C6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EF5B7066-1DB5-4B89-BA78-56E2100B96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5E62B1FD-C13C-476A-A790-BB7052F831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19D85C7-7865-42FE-B3A9-FD17106226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521E5BC6-46CB-447A-BD3A-8C9897B126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793083E5-0F57-481F-83E4-61603807C4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B4A2F422-14BF-40A6-B904-B0A5256922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81A4EC1E-9B9A-4196-8A5E-410F4C2391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865270C6-AF78-4D82-AF07-EAE2D3E28E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2B97478A-56EE-4573-8B4F-5B3D54B23C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D2B92C59-56ED-4971-856C-1877A726BF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5982F8D1-20D4-4351-ADD8-010F099A2C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21125201-7B40-4C21-84D8-9AE1B5D55B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14A32BDE-C2E3-4BDC-9976-D7262B2D77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EDEAD6A5-B7E6-407F-A72D-83541BD044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A5A25590-D83D-41D9-A24E-E86ACA886A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B3E4A7A4-366F-4BD4-8CA2-65640D9420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57F2DB5E-45DE-47AC-8556-64C4FD346B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20133E74-9D98-4836-B927-A1DD56083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43F66CE5-CD5C-482D-83A2-ABC282BCFA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7B9896CD-437C-4BBF-8C93-9F0F6ACBBA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928AAA60-DF44-4ED6-BE08-AC563A640E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04BB4247-0547-4EA2-A480-9B099480AF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8FD64FE3-5FF3-4116-A9F1-C1D10C2C7F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C73266D9-0932-47D6-95B8-1B298208B0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28DE65A3-548F-44B7-AFC0-0012A1424B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1E207400-BAC1-4C91-98A3-2A3C7FA2A9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23FD29D3-5BDC-4005-994B-23E15AC4AD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B55F0661-6D0F-4F9B-8097-A13839B7ED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AE592487-6088-489D-90C2-D20E207593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447A01DD-A9AA-449A-B9E6-CEAC7FBD6E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6BFBBF96-75D5-4C68-BCC3-E247035AED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6F130AC4-EBD6-490A-A1C6-B1C418E436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B9DB7A80-7889-4320-8D76-4D7F9F7904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AA57CF57-46E6-4732-8B38-BBCFC70C48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31FFB885-7042-4078-AD35-194BD1B751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Haoyan H</author>
  </authors>
  <commentList>
    <comment ref="B5" authorId="0" shapeId="0" xr:uid="{6B719A4C-2130-4931-B5CF-D933A4278C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B936F265-3144-4E33-9FB4-4DB1EDA9A4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7809774F-9E6B-40B3-8EC4-6B2ADAADD0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7AC7EBAE-36BA-425D-B048-43B0ACA028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528D0B2D-EB2D-4BD0-A552-31DD6A67D3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9CF02DF2-A4E8-4531-B2C7-569431549A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76F0F059-63C3-4733-BAF5-46CB895149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C4AD9EFC-6031-427D-BA02-EF693FF18E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BA670D6A-5E9F-4923-86D6-1CB0BAB11C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567419C4-3DDD-4867-B791-6269068D7A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49AE92E5-472E-4CFE-A7FD-1CFCD39CBE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6959E2DA-78EC-472E-9829-4A5FF7F423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905C4C7A-69A3-4615-88D7-64A125B576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D26617AC-BF77-410E-9120-D0D16BF662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DB85D279-05C6-48AA-AB2B-C8A170F064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833C8CA3-0799-4B70-A973-E14668E151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A7319B3B-5AB7-41F6-925F-5BD65A3B1F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0C8C08AD-7A42-49D0-8D05-FCA3A7EE0C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2D760914-CA3A-4AF1-85AB-FC7BDA21CF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D90670CD-7A22-49B7-959A-8A45CA3A6C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15D07633-E6C5-4D00-AC4E-BBBC38B270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0BCDF5A7-71B1-4216-894C-2BAF980BB9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530015A0-9FC0-4A6C-A839-ECAEFB50D8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8B233A59-6BD2-4E42-B5A2-C415827E99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57BEE969-F3F3-4A92-AD2F-A9EEBB854D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80EB32AE-649F-4809-B9FC-8B22187DB0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C3A78142-B712-4F31-BB36-7086FA1612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3BADCB6E-2A6F-4D4A-BB7F-0C56A8A5EE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204A5FF5-D308-45C0-9C3D-78DC2B5B73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25C476B0-FDFC-4D0F-9B85-930908CFBE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3E152C25-7FA4-415F-9389-15ACF72884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 shapeId="0" xr:uid="{839D4BD5-559A-4F18-B3E4-A1D691CE4D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1C54EDDD-3277-4E70-8CB4-FF402E464A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ED04FF24-5309-4641-9381-7B744B7A17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55483F48-B899-44A6-B324-74E516957E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08B9F970-CA19-4A47-A865-1FED177378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D5C8C58E-F165-4E11-8659-E3E552E9A0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07294903-194D-4DAA-AEBD-761B2B3F89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B51E49C1-3464-4B5C-A30D-73D502B08D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9DF95A63-131B-4CFF-83D4-A78219B02B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291F14C9-CDBC-4BCA-885D-BA0CB7A499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51366ACC-DF94-4F00-AA4E-C7600F55AA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34EF26C4-3E08-4203-BF4A-BBB4A339C1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6291074D-1BB1-47F5-A4D5-ADE5C10F30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64725897-5AA2-4CA1-8B4F-44F7B5C395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 shapeId="0" xr:uid="{450FF6BE-1C55-44D4-A3C7-3E253E66E7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 xr:uid="{C39BD0B2-9570-44E8-AD7C-DDA769E3DF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" authorId="0" shapeId="0" xr:uid="{1B660E9C-7296-4DA2-93A1-CE33F6B5AF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F5F34E71-5A27-49F7-B061-DFC41835FD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 xr:uid="{2D9CA02F-F29B-4DB2-8538-700C206D9D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9628617C-4AB1-4F67-9D33-4A0F07FC79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 shapeId="0" xr:uid="{46AC797A-D7D3-451D-9095-2310897270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B898CEBD-C6AC-4CDF-9F8D-EDC2F8A583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618AECCF-842E-43CE-B791-A12BC31776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55BA95CC-5D54-4FCC-B25E-0068E34A43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6C108B73-7A21-481A-8B70-86581A2B9B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EECC0A42-0CC4-40A5-94A3-034C439470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 shapeId="0" xr:uid="{4FF05AAE-82FA-4798-886D-E96DDCB4AC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6D4BCC9C-5D00-4842-9767-5538BBF21A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 shapeId="0" xr:uid="{20EC9A08-92F5-46B1-AF2C-CFC0B79D67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F43D558A-1094-44B8-873D-F635D75203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 shapeId="0" xr:uid="{E867755C-48EC-4443-890C-2DF6E2BAC3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43AF3CFA-4E56-4909-BFF7-12AC91DA5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 shapeId="0" xr:uid="{8ED34CC7-08ED-4E43-80FC-0147BEDA57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946E6A80-B2B3-4FE4-9649-272672E5B7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 xr:uid="{92C4B671-224C-4853-B288-D3F8B2B0D8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A77DAAA7-ED4D-4FEB-BC95-F1ED3CB92D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 xr:uid="{ED0A73EA-C147-4678-918A-0E16CAFC54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C5DA8D8E-7714-4D81-9EFE-79401CF90E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 xr:uid="{2CA281FE-472E-4A2F-A972-FF4F9B2E9A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264F1A65-FBE6-4A0E-9863-0CC369B0A5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 shapeId="0" xr:uid="{4C731B48-9943-4C6F-850C-A5D40EFC5F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C09E81CB-1A30-4F57-AC9F-5A5C3318B2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 xr:uid="{272F5927-DABA-40D5-8531-7F8417B97B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4CF9A8FB-9B04-4851-9917-A2749F055B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 xr:uid="{D2474D73-EDA9-4EC4-B0BB-EDAE5D110C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D62D6A13-543B-4CBD-ABA3-20EA6DDB75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83729790-99FF-40B0-A5BF-C467F9EC41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D7C9517E-6C77-4AE7-8C93-E0CF7EE9E3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 xr:uid="{5054DBFC-1F44-4FF3-806F-3152AC6602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38C7B183-59AC-49E4-9EAF-D19F0F09B5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 xr:uid="{A87604E4-58A3-440E-8F3B-FC01AC2F5F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4CEEA024-F4A1-4ACC-8AD9-9AC8E86DFB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 shapeId="0" xr:uid="{F9B00BA7-236E-4D48-91A2-2328DBAA08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38D1FBB8-9B04-43AF-A246-1CBF554EDF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 shapeId="0" xr:uid="{5B8DE4B0-C0E0-4808-A94E-D02AE8C291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 xr:uid="{9947755B-1C1D-4D88-90B9-3E2AC763A3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 shapeId="0" xr:uid="{BCD69293-6FC9-4F01-9894-581CDA7B36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915E5358-68A0-49BB-801D-7B81E6522C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" authorId="0" shapeId="0" xr:uid="{C05815AA-F526-4542-B7E7-FB9B2FAC63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" authorId="0" shapeId="0" xr:uid="{794B8D6B-D2E1-450A-B529-C094CFC250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" authorId="0" shapeId="0" xr:uid="{34DDD380-A6BE-4B70-8E0A-99116332A7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1620B93E-78D1-42D7-9873-C349F7A8D0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" authorId="0" shapeId="0" xr:uid="{960A8796-95B0-4A89-A0A2-0819BFFD3A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" authorId="0" shapeId="0" xr:uid="{C45FE28B-37FA-4F8D-872E-E56C62328A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" authorId="0" shapeId="0" xr:uid="{92443FFB-2B17-479A-A53E-A1BCAAD547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91A454A1-ACFA-4E8D-ADDA-31E430F3DA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" authorId="0" shapeId="0" xr:uid="{254899BC-6055-4DA2-8ED4-226A2225BF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 shapeId="0" xr:uid="{62ECFBF7-447A-42E2-8A19-100ACF7696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" authorId="0" shapeId="0" xr:uid="{CF2531F0-98C1-499F-85C6-91D1809582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969B652B-0005-457B-9066-7A502A5D21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" authorId="0" shapeId="0" xr:uid="{A6C5D38A-C77B-44F8-BA74-14BD56FF38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" authorId="0" shapeId="0" xr:uid="{0F870CF9-8234-4837-A922-CC14032A7D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" authorId="0" shapeId="0" xr:uid="{C37BB497-8E96-485D-B79C-3518E26CBE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E27DCDB2-D7CD-458B-9E16-F911E8D4C1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" authorId="0" shapeId="0" xr:uid="{987496BF-BFA8-429E-A2F3-819F4DC084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" authorId="0" shapeId="0" xr:uid="{0F7CA15C-3B70-44B5-BA7C-A412BF72F4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" authorId="0" shapeId="0" xr:uid="{45B6306D-E7C7-4E30-884A-9003C40A89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397E1404-CF3D-479C-956E-5BFDE90606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F0DC7ABE-F84C-4E02-BBBB-1E39BF1655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13136C97-424A-4612-85B8-2E3D9CE501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 xr:uid="{25B07EE6-2CF0-43B9-AAB2-8A30D4814D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9A1FB785-0A52-4869-9D39-BCBC4EA0DA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 shapeId="0" xr:uid="{5EDF1345-E71D-4C5A-BF54-2A4DF5F86F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 shapeId="0" xr:uid="{A26FBBAA-664A-48CC-B519-3790347290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 shapeId="0" xr:uid="{55A933F4-01C9-4F4B-AA9D-3ED5D7EFA4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46181386-E3E6-484B-AE7C-27124539E8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 xr:uid="{1E0AB38A-52C0-42A6-A118-DEF8F90DDC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 xr:uid="{168CEDCF-3143-4447-B70A-438B866835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 xr:uid="{CC46DA43-647B-4B94-9925-C3AC1D3B06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1B889B2E-CCF2-44A0-B09A-70D5CEB51E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" authorId="0" shapeId="0" xr:uid="{C0DCC44D-D366-420C-8E2D-9CF04A27ED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 shapeId="0" xr:uid="{01DE5BA4-5A9F-4BA6-A352-39F4A2D04E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" authorId="0" shapeId="0" xr:uid="{4A41140A-47F7-40ED-90A1-6BBADFAB9A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B1A4C2CC-E8DC-46C3-B4BF-A55AC6A9FE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 shapeId="0" xr:uid="{D9DBC963-89C9-4472-A28B-813FDA7899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 shapeId="0" xr:uid="{DB448090-3C09-469E-9303-BEC9041327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 shapeId="0" xr:uid="{9EF4D6CF-42AD-44B2-A443-B33C980E13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8456185A-D77A-4D57-B73F-361C3FE38F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 xr:uid="{15C91A8A-C747-482D-8640-7B65F70C3D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ACD3CEFB-DCEA-41F1-81C2-800F77B7E6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 shapeId="0" xr:uid="{8826DA23-AE5D-4924-ADDD-0B32A3E447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2D44D9A5-EC65-46C6-8C9B-33198AE5CE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9FD436C0-73D1-4DCD-A26D-4A3F5F0C99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E9D3DFF0-34A9-43F6-AC76-A9CDC95221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3492DEBB-86DC-413B-A648-67EBE29E9F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754A1092-5CAA-4992-BE2F-7206748D81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" authorId="0" shapeId="0" xr:uid="{E3F1D175-2A91-4024-BC8D-157B49429A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 xr:uid="{A6986DA8-7C72-4A67-88E0-DDDCD6F977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" authorId="0" shapeId="0" xr:uid="{38D5837A-5296-4F49-8092-872C58A67D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E5E8AD0B-5C55-46B0-BF87-8DFF57C2C9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AD56FE7A-7129-4DC3-B1B9-97C529F6A5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FC4BE782-89B4-4811-943E-B4B61002AA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 xr:uid="{1C30C183-3B26-4BF6-96D5-6B33343D2C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78FE73CE-B3B7-4EE6-AD8C-0E0FEF3183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 shapeId="0" xr:uid="{E56035C3-52E7-4A76-B18B-49E93E97E7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 xr:uid="{BD946FF5-441D-4B01-8E0C-337F43507A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 shapeId="0" xr:uid="{F8BF456F-4A24-4767-8DFB-ACE6D0537F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1943896A-9DAE-49D9-B12B-E06DC8D214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" authorId="0" shapeId="0" xr:uid="{B44CD962-D152-434B-866A-10621E1407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 shapeId="0" xr:uid="{702561F3-31DA-40A1-8880-4A8567638F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" authorId="0" shapeId="0" xr:uid="{97C8D1D0-4142-422A-88F4-9142C10E77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37A1FE7C-B3DA-44FA-9579-D5BB4501A4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" authorId="0" shapeId="0" xr:uid="{918E75B9-129E-473F-912C-303C975B79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" authorId="0" shapeId="0" xr:uid="{7DE5AA40-0D23-47F0-9DF0-75DD948A57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" authorId="0" shapeId="0" xr:uid="{DF2E61C7-2465-428D-8D25-7B7AF62B6D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3AB83A23-4B41-4E79-ADE6-0E410AC655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" authorId="0" shapeId="0" xr:uid="{2C6DC799-1443-45C6-8C73-B46EDCB71D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 shapeId="0" xr:uid="{68DE4DF5-F749-4DAA-8FFB-1EF8C08A10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" authorId="0" shapeId="0" xr:uid="{E98CD01E-8C5E-4714-9D1B-9159E87DD9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64802581-00B3-4537-9723-0C8BAA27B3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 shapeId="0" xr:uid="{A121CAF8-B34E-4D3F-B00B-D9C38B5E4B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 xr:uid="{E8E8B88F-7B52-4E3B-8977-5B0057AF37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 shapeId="0" xr:uid="{C88D7CF4-AB7C-442C-8642-D23552D435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Chujie Zhang</author>
  </authors>
  <commentList>
    <comment ref="B5" authorId="0" shapeId="0" xr:uid="{E0801BA5-22A2-4362-B44A-798F95B28D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8C5141AC-3331-4E5A-A154-EBCFA14166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2B86CD72-44E5-4AED-9003-0E483A17E2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9ADBF023-CD1D-4029-806E-57170F0031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C2F3A076-F54C-4EFB-9528-E15BC569BD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E3915B85-8AFC-467B-8D52-4534174600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63838B19-4E34-460F-A1A2-E36812137F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2ACAFF2-8D66-4461-BE1F-3C19803D41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E95349F7-EBCB-4B8A-81FC-4695E4AFA8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346210F3-2AFE-4DD8-84CD-83A07FE481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F3DD6798-D9BD-4D42-949F-E6DD567F10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541A4ED9-F3E7-4DDC-9886-3401E5E4C3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BE1E7221-2224-429C-850D-3F4A263878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Chujie Zhang</author>
  </authors>
  <commentList>
    <comment ref="B5" authorId="0" shapeId="0" xr:uid="{92230E5C-BD9D-4CB1-9FB2-5A7F1311F4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48557F40-B863-46BB-8ED8-719B7F65A4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CB9BB479-5E72-4151-A84A-8DD0833ADB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BAF5AF73-7E18-4DAA-A4FC-90955D10FA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1A300FF3-53C2-4D0A-9C81-C9AB80B21F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53B4F09A-8CA9-40D0-BEFD-6F7B4225E1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8EEAFF44-FAD6-4F1C-8EEB-1F9B3782AB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FBE30FDF-ABC6-4D2E-A163-743BEA9CAB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4D5A2E3F-99AA-44A3-901E-C55BAD9F97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31333571-16C9-458F-8749-041DA1C764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32BF6B03-0A67-4367-BA7F-4D08229322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2854DDD4-54F0-4F25-8014-B79BC161E6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853AF94B-7E8E-4A9B-8440-EEC0AA4068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71A00268-7DA5-4D4F-AF91-FD9C63321C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3909C567-AED1-4165-9277-858D1CCA80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E383D421-0B9A-4494-B9CD-7C69DC0A1B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9531B775-95AB-4A8D-9F9A-4326983CAE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AAE8AB66-84BC-47BB-B77E-09127F5D62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0857AF26-EA2A-4F9D-8269-56001CFF33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22B1C294-1076-4733-8B93-5CED2BB391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86C77D34-75A6-4EB0-BEFA-D53D5E57FE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52C7E8E4-2EB7-439C-BF07-B3B32F341F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524EF660-F2FD-477B-B7F8-0D7D1A6D2A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7D6D4816-6006-489B-9C16-2385D0AB21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4F9A88D0-3E18-43F7-BAF6-D020C0D27D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73AE162E-92FA-48FA-A1CC-D723B30DBA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452DDEA2-0AC3-4E9F-86A7-B0D28FCC31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013687C0-85B9-4571-8304-6DFEDAB023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9FA2442C-F9D9-4D71-8E1D-E0966ACF2D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36A2A876-942C-4DCE-A8D6-0D9727937C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A14C1F63-8F49-40DE-99D7-1A40DC3FA0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Chujie Zhang</author>
  </authors>
  <commentList>
    <comment ref="B5" authorId="0" shapeId="0" xr:uid="{28C72276-1828-4A57-8125-265B8876AE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3AF16E2-BCC3-43A2-BF59-059B2B32B4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824AF47-7324-49C7-91B0-245D851698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CD23FE94-E79E-4861-AE14-D1BA5EC9F0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98D20331-8D35-4B2D-95B8-0E1C846977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8CCE207A-6781-490E-82FE-BEFB8A2B13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479DB6F4-C6CC-4504-8C68-9C2CD938CB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E1ABA2F0-C654-43F0-AC4C-E960B68025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0152655-C21B-4A68-A4F7-8430B7B70E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31038365-498D-4E2C-98D9-7469127EEA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41FF309D-826A-426B-936D-541CE62AFD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EEC437C9-14C3-4CE1-A0D0-9AA5622437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1C9A1F4A-C868-489E-ADBD-A94D422803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A62C295D-B917-4EAA-85D8-F760234559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ABF98455-B65D-435E-B55A-BE89B2ED5B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7CF383A0-0EA3-494C-ACBD-95FC33DA50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4267E5C0-415D-4DD0-B7C1-5CB13840C3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4AD3B5CB-A3B6-48EA-9CD7-8760FFB3DF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26E801D8-0FC2-40A7-9091-7493191E04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2EA36DF6-90F0-4576-8812-C70D472B81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D2ED71D5-786F-4FF4-9E7E-D2EB88EC97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E4410F04-4F5E-45D3-975B-ECBE5A096D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28FF05DC-4700-498D-A0A1-11047F4926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ED3EE07F-67BD-4142-A873-AC3A71AFB1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70869C9B-4878-45C4-B93D-E46E5D494A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29FEF744-53D3-4BE3-A94D-D1C644EAAA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B0833293-FEE4-4C84-86DB-B1A5442855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CF74161F-438B-4E89-A1F7-40B1F80CED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48010747-1948-4DF9-9ED0-3DDC498F72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454D18E0-5E6A-4381-A0AB-957F7F6864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882317D4-DBFB-4273-AF9B-A4DB9F7CD7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Chujie Zhang</author>
  </authors>
  <commentList>
    <comment ref="B5" authorId="0" shapeId="0" xr:uid="{20229B10-2DFC-406D-A5F4-EF50D73334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4BF4C277-1FE9-4208-A031-F11E8006A8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FCAD8621-F5A7-4C30-9AD8-806F9852A1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D89D1EFB-B040-4919-BDC2-01B5D47596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6F278651-5DC8-46E1-A6F6-1DE81B1875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75FB77D-D35F-4F01-B511-8D68EE1051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46516D09-07A4-41F8-AEA1-0914960534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A37D952-4C12-4667-8F5E-1AED2E5E6C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6E13DC3-292F-4DE8-AA7C-CA126DA648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51984C30-5E3E-4EF6-8C1D-F2D2D0CC72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39CBF66E-E9E8-4B1B-B5F8-817EDB66A5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43B48F07-2EB7-4B14-88CE-1007094210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268CD2CC-D3DE-4ECE-ABA2-D71DDBB746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3FD135AF-1D5A-487D-890B-E0C2AEDAFC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9E2D262A-3945-4E8B-A0AF-B4427CD98A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DFFB6AA1-9F2F-45CA-9393-114DEB7957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44F74C9F-F8B6-4C1B-961C-3A81E026BB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B646E9A4-67C4-4C7A-8D98-4C3787B97A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E0A6434D-A4C1-44EC-9395-9D62A6DE52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FD17CE41-F98E-4FD7-800A-158C66837A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841BEB34-3087-4ACD-8ACF-B4206AD6FC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B3B7F55A-D1D5-4316-BEB2-22CB0D0F5B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9C66D98B-9FD1-4DB0-BF85-30ABC6C49D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3E65A6AD-1819-4B9A-8D56-73AC73678B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1951A433-FAD5-431C-BD82-2961E3A01C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D7A49416-3134-4482-80E1-55CF31F09A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B32C790E-ED57-41DF-B67D-E9F838B141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024BA6CD-351D-40BC-B000-C70E1305FC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432A0BCE-0522-45D6-B90B-3843EA4CEB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19D611E6-6E24-4346-BB0E-A161DBB10B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4EB0C63E-407E-4F78-9AFC-0FABAE0890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0B8D492A-DBC6-418A-8E9F-3A9B57A0CA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921AD36E-8B7E-4A23-8D84-49DCD0BE42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DE462431-DFEE-4E5A-9A50-DD34DC206F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2BCAEFEE-091D-46F3-AF0C-7355AE4300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E87E4F2E-709B-4331-8535-28CF5DCE31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300480E9-B10F-4D2A-9DA9-E50907CEBB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59639881-55DC-48EE-A8DE-34508D5DA7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62DE573B-0E93-44A3-ABDA-2D1ED3E493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2858BB87-05A2-49A3-875F-B3D5EC5DE7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9E27902A-14ED-4A36-B7E3-180D6689F7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56FE2B90-6CB6-44A8-972A-10678BF0DD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B7F1F6D8-BCF1-49F1-9924-42CC03CD53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A93EEA0F-8215-44E4-BFAE-8E5D0C4BC6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37D17DBA-5D0E-4791-9548-7C1BB05D5D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91D9A2A8-E1BD-4B92-B123-E92EF43B1A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" authorId="0" shapeId="0" xr:uid="{5A807B21-8032-40C4-B82B-BB92B91F33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 shapeId="0" xr:uid="{508B5A75-32D7-4CE3-8136-28FDCDFB4F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D7FE1FC8-86DA-42DB-B453-C88FAA2A32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 xr:uid="{41C0DB8E-E6B1-489A-B9E9-9CEE5236A8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" authorId="0" shapeId="0" xr:uid="{844A5EBB-B261-452B-8087-CE8E43B21F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" authorId="0" shapeId="0" xr:uid="{B34FD212-0C34-443E-905A-5C90085789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 shapeId="0" xr:uid="{8487FE90-4F98-4CEE-A213-7C757574D0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 xr:uid="{D1E0FBD4-D8C7-4619-B7F6-65723B5C6E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" authorId="0" shapeId="0" xr:uid="{D055C7D9-B70E-4EDC-9746-E7435CC11F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" authorId="0" shapeId="0" xr:uid="{6A4631B9-BCF0-4FC9-A9E0-7B85B1A5DB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 shapeId="0" xr:uid="{1BDD2102-BD4B-4984-85C2-C53832B3E0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" authorId="0" shapeId="0" xr:uid="{19443C17-B813-4F16-A04D-D11076B0FE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" authorId="0" shapeId="0" xr:uid="{E0424DB2-1738-4D69-9BEE-7D40EDE368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" authorId="0" shapeId="0" xr:uid="{0B625BC8-08A2-4D7A-BE2E-BFC2ED294E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" authorId="0" shapeId="0" xr:uid="{D7C05A39-448F-4496-9742-2E25D7AAA5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" authorId="0" shapeId="0" xr:uid="{7829844A-E836-41CF-923C-08917439C1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" authorId="0" shapeId="0" xr:uid="{25D3FE83-0E9D-41DA-8E4A-B56B8C3CE5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" authorId="0" shapeId="0" xr:uid="{B43F4BE4-3A53-467F-AC47-A4020FC455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 shapeId="0" xr:uid="{27275B51-F96A-4840-A44F-25C4BB02AC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" authorId="0" shapeId="0" xr:uid="{F67584A2-C150-4263-AA6F-FAE3E62505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 shapeId="0" xr:uid="{E989F483-E518-44E2-A0FB-A3B1370068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 shapeId="0" xr:uid="{E85B7D60-AF65-4CC8-8C90-2F35296DF9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" authorId="0" shapeId="0" xr:uid="{887425F9-0568-46A0-804D-96D9438C13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 shapeId="0" xr:uid="{15AE742E-C31E-477B-9514-6C841605AE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" authorId="0" shapeId="0" xr:uid="{BACA9227-8AA5-46CF-9068-7AB65E9CF0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" authorId="0" shapeId="0" xr:uid="{5C508C9F-4EAD-4DCA-8CBE-FDA20CD1A2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 shapeId="0" xr:uid="{A77A9817-9F07-48D2-9EE4-0D4D6DC378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" authorId="0" shapeId="0" xr:uid="{D6DBCC7B-3AA0-41B9-84EE-0E3D413847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 shapeId="0" xr:uid="{12DC1AB1-86E2-4843-8DD4-2CB81B0021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 xr:uid="{2FDDE7EF-C9E1-48D7-AFAB-8938F380E9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1" authorId="0" shapeId="0" xr:uid="{B069C83F-BAB8-43B9-831B-CE37270C0A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2" authorId="0" shapeId="0" xr:uid="{E7537170-FE65-405F-B6E2-AB899548D2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3" authorId="0" shapeId="0" xr:uid="{9E496838-E271-4A22-AEA4-E991C55906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4" authorId="0" shapeId="0" xr:uid="{C605AB1B-BCF4-4D2A-B876-6B69BC36E4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 shapeId="0" xr:uid="{BCA0CE1A-97FF-44F6-A051-1E3A4EBC20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6" authorId="0" shapeId="0" xr:uid="{CC6946A2-51EB-4F9A-8CE0-8C33247BF3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7" authorId="0" shapeId="0" xr:uid="{133AB38B-BC5E-462B-8D53-93368BC269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 shapeId="0" xr:uid="{D86302C5-B67C-4889-ABA4-C86E4D83A4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 shapeId="0" xr:uid="{C8D803EA-9A0C-425A-8044-96D3B512C4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0" authorId="0" shapeId="0" xr:uid="{5DD1DA02-755A-4069-9D6E-84A37B8C0B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1" authorId="0" shapeId="0" xr:uid="{43DEE78A-25B4-4B24-B699-248D72B1EF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2" authorId="0" shapeId="0" xr:uid="{EC8F16A7-BCA3-4F40-BCC0-236B684A7B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3" authorId="0" shapeId="0" xr:uid="{EE5B3D08-4CB0-47AD-9AF6-40B31984C7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4" authorId="0" shapeId="0" xr:uid="{75D1562C-9F61-44EF-869E-E8D0503604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5" authorId="0" shapeId="0" xr:uid="{EF11310E-4543-4467-B167-3595FAFE21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6" authorId="0" shapeId="0" xr:uid="{98232719-9CFF-4931-A8FA-4A1326E51C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7" authorId="0" shapeId="0" xr:uid="{787E4211-7410-4E93-A72F-502ED5E69F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8" authorId="0" shapeId="0" xr:uid="{24FEFFF2-35BF-462C-89B5-BEC9327173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9" authorId="0" shapeId="0" xr:uid="{79622F75-F790-432A-A74E-BCD31332F3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0" authorId="0" shapeId="0" xr:uid="{FD2864AA-702D-41CD-A120-49D33F1B4C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1" authorId="0" shapeId="0" xr:uid="{C903BE92-2382-4259-8644-32A46C51AC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2" authorId="0" shapeId="0" xr:uid="{42B1DAFA-0099-4FB5-9F1D-55D3155F58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3" authorId="0" shapeId="0" xr:uid="{6D458089-B251-4F72-AE12-576869FC3B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4" authorId="0" shapeId="0" xr:uid="{1D0B2C85-B79E-4109-AA9D-346A3353C1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Haoyan H</author>
  </authors>
  <commentList>
    <comment ref="B5" authorId="0" shapeId="0" xr:uid="{0F1E0DA8-5145-44C2-8360-EFF67787BF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1964710D-0D9A-4FE9-8C46-C538DF32C4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777F9802-B292-433A-BDEF-B79EEDC323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3D6B1188-51BC-4DC0-A1E1-B74AC87E0D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C81DC808-4304-42D2-BF19-3FA29D3EE6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A77964B7-E714-4B16-8A95-7F5F4893CE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6A1EC1DA-C4E6-4DE8-89C0-C0AA1FA35C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20AF1291-A72F-4D40-A8E1-4336A38C00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F68B02F5-4980-4EB0-8D79-7F808DC601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F97EFE7A-CA21-4DF0-ADAD-5F98610992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329F7771-9682-4692-B044-9CE1C9DA49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41B935F2-3842-4633-A19D-B81320E85F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BE5F30EE-3A8F-4BE6-BAA8-7A659006A7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 shapeId="0" xr:uid="{6F2BF3CA-85C2-495D-A0A9-AED765A0BB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E61DBE80-A567-4118-A363-AB47883533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133B4085-5E28-4348-8582-93A70BC07E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3006359D-BCA1-44AB-AAC1-29AD0F3D4E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2" authorId="0" shapeId="0" xr:uid="{DD750D70-8A5C-4C09-AEF7-BBF57F34583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3" authorId="0" shapeId="0" xr:uid="{0576333D-067B-4E45-B18F-05D2DEEA90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AB0FA2D5-0B61-4247-8F8C-F3DEE51039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F04C1AB8-3854-4E00-9A13-EF7FDB91D2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6" authorId="0" shapeId="0" xr:uid="{B2BD6CD1-3D0C-4D13-A6A6-60C73374A9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7" authorId="0" shapeId="0" xr:uid="{EC34674F-AD86-416D-9E67-35512A3373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8" authorId="0" shapeId="0" xr:uid="{BE412C54-58D5-4957-B220-C3A24F2011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9" authorId="0" shapeId="0" xr:uid="{DBFB2E1B-9E68-462E-B660-823E0C7B30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0" authorId="0" shapeId="0" xr:uid="{8261715F-56D4-4E18-BB47-0AE165A09D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1" authorId="0" shapeId="0" xr:uid="{165A4ACE-F688-4964-BEFF-34D2439425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2" authorId="0" shapeId="0" xr:uid="{A46451B7-1605-44DA-8C64-400E3C5D93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3" authorId="0" shapeId="0" xr:uid="{E55637F1-E955-4382-A25C-A7A06F1B08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4" authorId="0" shapeId="0" xr:uid="{DA8DF45A-D190-47E9-BC0F-044CF143CA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5" authorId="0" shapeId="0" xr:uid="{55225ABD-FACB-4C13-95A2-BE7FFE3870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6" authorId="0" shapeId="0" xr:uid="{02B29483-73C9-4F40-A44E-349B17BBA2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7" authorId="0" shapeId="0" xr:uid="{3D8BD4FD-4152-457C-824B-74895FA4C2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8" authorId="0" shapeId="0" xr:uid="{F154E3EA-CACB-46E0-9D66-EFB1CA747D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9" authorId="0" shapeId="0" xr:uid="{6FD67A2F-6285-4E8E-813A-24BF1139BF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0" authorId="0" shapeId="0" xr:uid="{E44789C4-7D26-4126-8CF0-6017EB639B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1" authorId="0" shapeId="0" xr:uid="{F39E4E2A-65B8-437C-B1B6-27C48136BF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2" authorId="0" shapeId="0" xr:uid="{DF691BA0-F4F8-4FB5-80C5-2D9C3AA134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3" authorId="0" shapeId="0" xr:uid="{6A895B48-5072-44CF-82DD-C6AEB42160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4" authorId="0" shapeId="0" xr:uid="{C8C99CA1-87CB-4B75-AD36-8821AF67EC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5" authorId="0" shapeId="0" xr:uid="{BAD8452C-8535-4D8F-B25F-66B5679A0A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6" authorId="0" shapeId="0" xr:uid="{EBEACA49-2D91-497C-80CB-7D5550ECFB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7" authorId="0" shapeId="0" xr:uid="{BEB93335-7D8D-41DF-A897-C5C585070E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8" authorId="0" shapeId="0" xr:uid="{0786A006-5928-49A0-8706-2F24F55C0D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9" authorId="0" shapeId="0" xr:uid="{8C035C3A-AB97-4546-86FB-8D0C620932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0" authorId="0" shapeId="0" xr:uid="{87044AA2-6B6F-4F53-9DDB-81E1B5943D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1" authorId="0" shapeId="0" xr:uid="{E86C5B89-50E4-4E29-A92A-FD15A01740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2" authorId="0" shapeId="0" xr:uid="{AB48C6CE-776E-4ADF-A1BB-32E4269CD4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3" authorId="0" shapeId="0" xr:uid="{22376A82-968D-4B1A-82AA-5762D8E5CD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4" authorId="0" shapeId="0" xr:uid="{51181C8A-D717-470F-9552-113537A607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5" authorId="0" shapeId="0" xr:uid="{83A7DF34-3765-46A5-8908-8BE0A270CF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6" authorId="0" shapeId="0" xr:uid="{E541B0BF-5845-4AB1-BC8B-2BF8318D39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7" authorId="0" shapeId="0" xr:uid="{632F9835-2C69-4722-800F-16F2EAD0CD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8" authorId="0" shapeId="0" xr:uid="{6D04F696-15E1-48A6-9289-00DDD6990B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9" authorId="0" shapeId="0" xr:uid="{D343CAD3-4DBF-4511-99A3-4377DA2541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0" authorId="0" shapeId="0" xr:uid="{DF8F23E0-AFE5-473F-A15E-57208E570E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1" authorId="0" shapeId="0" xr:uid="{EA63C5C3-2AB7-4571-9CD9-4FD0C52938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2" authorId="0" shapeId="0" xr:uid="{8EBEE9DF-7AFC-4239-BF65-7847952B74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3" authorId="0" shapeId="0" xr:uid="{FBDBF3AB-E3AD-4DA9-87CB-390B5F5A7B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4" authorId="0" shapeId="0" xr:uid="{5E91F945-C29D-4ADC-842D-D761386BD4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5" authorId="0" shapeId="0" xr:uid="{FC5F5E28-9832-4337-A48D-32243B18EF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6" authorId="0" shapeId="0" xr:uid="{924EB133-9420-4C7C-A88E-F50EE2E340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7" authorId="0" shapeId="0" xr:uid="{A89EBF56-97BB-482D-B4E8-8C6A027F9F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8" authorId="0" shapeId="0" xr:uid="{E89353EA-6C85-4A0F-80F2-496FEF02A0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9" authorId="0" shapeId="0" xr:uid="{1D5F1222-FFA0-4FF8-BD2D-D0B54A78FF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0" authorId="0" shapeId="0" xr:uid="{3E2370E5-8A84-4A84-B990-C8100EA6A2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1" authorId="0" shapeId="0" xr:uid="{758C5D2A-A951-4FCF-91F0-9DC6DDB8B2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2" authorId="0" shapeId="0" xr:uid="{8CB11F1A-97BB-44B6-B3B6-F29FFB3C6F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3" authorId="0" shapeId="0" xr:uid="{6D836E7C-419A-4F0B-AA34-218A5D3263D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4" authorId="0" shapeId="0" xr:uid="{6FE85FC8-5C04-4950-B145-6D9A74211A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5" authorId="0" shapeId="0" xr:uid="{EE64D07F-4CAC-4924-8C7B-13A6977872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6" authorId="0" shapeId="0" xr:uid="{1C5A7F78-A381-493F-A5A9-8734A79A39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7" authorId="0" shapeId="0" xr:uid="{ACB75709-AEA7-4852-B338-F23627CD02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8" authorId="0" shapeId="0" xr:uid="{DE5C2B6C-C740-4537-9E55-F73AD3285F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9" authorId="0" shapeId="0" xr:uid="{3FD21045-C304-4782-A405-F3663D1E30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0" authorId="0" shapeId="0" xr:uid="{42A092B0-5BFC-4F1F-8FB6-1F622F9673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1" authorId="0" shapeId="0" xr:uid="{6DDA457D-5095-4DCD-AAC8-C217D76B8B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2" authorId="0" shapeId="0" xr:uid="{6CF297FC-53D7-4BFC-A800-3F41B8943A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3" authorId="0" shapeId="0" xr:uid="{674D7CF7-D316-49FB-B8CC-5E56AFF9C9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4" authorId="0" shapeId="0" xr:uid="{2D7E09FE-11E9-4677-9A45-2E61A48C7A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5" authorId="0" shapeId="0" xr:uid="{F6DDC30A-1C02-4FA6-8FC8-353B0AC24B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6" authorId="0" shapeId="0" xr:uid="{64A40D27-A025-4EFC-8A0C-6803F7F49C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7" authorId="0" shapeId="0" xr:uid="{115655DB-671F-46CF-B053-C397CF60B3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8" authorId="0" shapeId="0" xr:uid="{FCBCC6BD-1CC0-48FE-93F2-79A779AC0A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9" authorId="0" shapeId="0" xr:uid="{D74C34FE-A4DB-406E-AB4D-A2F446E218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0" authorId="0" shapeId="0" xr:uid="{A44CF079-BC0F-4536-864A-A24CB533A1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1" authorId="0" shapeId="0" xr:uid="{FC73015C-68A4-4D8C-8491-61F3F24D65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2" authorId="0" shapeId="0" xr:uid="{4FF76FD2-E6FC-4C52-951B-65E8DE85D5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3" authorId="0" shapeId="0" xr:uid="{3B6B941B-A372-4A52-B412-6C098C15E2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4" authorId="0" shapeId="0" xr:uid="{C620A6A6-EBFF-4BD5-BEF2-A7230F9657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5" authorId="0" shapeId="0" xr:uid="{76B45CEE-C725-4D77-88FF-CD4CA2FF94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6" authorId="0" shapeId="0" xr:uid="{8298B672-D19D-4C07-83DA-FBEEE058EC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7" authorId="0" shapeId="0" xr:uid="{49029882-F9BC-4D8B-926B-E2C9769287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8" authorId="0" shapeId="0" xr:uid="{312ACDA0-0B50-438B-8D51-AC03AAA97D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9" authorId="0" shapeId="0" xr:uid="{AAF8600B-65DD-4746-AB91-A895CF25DB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0" authorId="0" shapeId="0" xr:uid="{05FC6259-E0EF-4E13-93A8-4DD0869152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1" authorId="0" shapeId="0" xr:uid="{9E7DB368-3000-4DA1-9664-4D794D1679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2" authorId="0" shapeId="0" xr:uid="{412A71BA-2431-4CAA-BD7A-0083497CE4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3" authorId="0" shapeId="0" xr:uid="{FECE2FB8-6714-4356-8F22-87D1F4745D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4" authorId="0" shapeId="0" xr:uid="{B18EB7D8-7C55-42A3-9C27-8C068A9B5A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Haoyan H</author>
  </authors>
  <commentList>
    <comment ref="B5" authorId="0" shapeId="0" xr:uid="{C4E7412A-C9FC-4E33-A9C2-0B0512C04B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F189CD30-425E-4B26-B3EA-E04411FE87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20A0952-07A3-4638-B618-4C357F554F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18009F1-BC7A-491D-8BC8-3D871905B4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14C9223D-2E2C-47B0-89B8-BC4DFB8C80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3B684533-A91F-4376-AD63-4F291CFAC0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BD41EE48-66CF-4EDD-BCFD-66E2251B30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6A7F9716-8FEC-4881-AE2D-7245F7037C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942FC05B-EC3A-40EE-8F5E-237B365C66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FDD62E30-6242-41EC-B50F-DF528086CE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7AAE250B-1F23-45D8-99C8-BF6C30A6DD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5BFF6EE2-DF0C-4C6C-BFE5-04C3F3E21B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763936CA-3F12-4767-9E34-D67DC3EDF6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F9DDFC26-0A21-4822-B073-316BD3900D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BA9E162F-3924-418D-A68C-6FBA9DC311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9B7CF458-CE2F-4B5F-BCB9-1A86AAAA8D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BA971BD2-5F58-428D-BA70-CF490490AE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B7A32F44-5CBD-4AB6-B665-A89B4BF02A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92129F28-373B-4EB8-953F-864D24AF44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49B1A9E7-6CBA-4673-9DDE-D4015C3563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Haoyan H</author>
  </authors>
  <commentList>
    <comment ref="B5" authorId="0" shapeId="0" xr:uid="{166D8398-1582-42F5-BEA4-A97CA65F8F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467E4CC2-3ED9-4BA1-A076-38AB52A70B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5F33E1F-1220-43E3-8779-1E93640F62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24E74A78-FF72-475A-845C-42BF1EA81C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DE04168A-5A05-4B36-92A8-37DC2A5BE1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280913A-223F-4B76-8C3C-843E2A40F2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60A74E7C-9514-4898-8F6C-35F4138F73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FB3AE99D-3E52-4F8F-8C93-CC21A62B29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D1F951EC-10BB-4278-A8A2-F38EDB9647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A1110363-E404-4421-81B1-A5FC0935CA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25EA8194-1AAD-4A78-9847-6451BA911D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326624A1-B8CA-4F7A-94AF-1656925266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DC595769-0B88-4400-A1CE-AC81B78CF6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<sst xmlns="http://schemas.openxmlformats.org/spreadsheetml/2006/main" count="1590" uniqueCount="332">
  <si>
    <t>Grupo Nogueira</t>
  </si>
  <si>
    <t>SUGARCANE SUPPLIES</t>
  </si>
  <si>
    <t>Available</t>
  </si>
  <si>
    <t>Cost of Freight to</t>
  </si>
  <si>
    <t>Supplier</t>
  </si>
  <si>
    <t>Quantity</t>
  </si>
  <si>
    <t>Price</t>
  </si>
  <si>
    <t>Londrina</t>
  </si>
  <si>
    <t>Franca</t>
  </si>
  <si>
    <t>(t/month)</t>
  </si>
  <si>
    <t>(R$/t)</t>
  </si>
  <si>
    <t>Maringá</t>
  </si>
  <si>
    <t>Paranavaí</t>
  </si>
  <si>
    <t>Frutal</t>
  </si>
  <si>
    <t>Rancharia</t>
  </si>
  <si>
    <t>Apucarana</t>
  </si>
  <si>
    <t>Bastos</t>
  </si>
  <si>
    <t>Sacramento</t>
  </si>
  <si>
    <t>Iturama</t>
  </si>
  <si>
    <t>PRODUCTION DATA</t>
  </si>
  <si>
    <t>Physical yield loss (% of  sugarcane purchased)</t>
  </si>
  <si>
    <t>Supplier-to-factory transport losses</t>
  </si>
  <si>
    <t>Actual recovery rates (% of  sugarcane delivered)</t>
  </si>
  <si>
    <t>Molasses</t>
  </si>
  <si>
    <t>Sugar</t>
  </si>
  <si>
    <t>Production costs</t>
  </si>
  <si>
    <t>Fixed (R$/month)</t>
  </si>
  <si>
    <t>Production constraints (t/month)</t>
  </si>
  <si>
    <t>Sugarcane refining</t>
  </si>
  <si>
    <t>Purified sugar</t>
  </si>
  <si>
    <t>Operating range (% of capacity)</t>
  </si>
  <si>
    <t>Min</t>
  </si>
  <si>
    <t>Max</t>
  </si>
  <si>
    <t>ETHANOL DISTILLERIES</t>
  </si>
  <si>
    <t>Guaranteed</t>
  </si>
  <si>
    <t>Maximum</t>
  </si>
  <si>
    <t>Cost of Freight from</t>
  </si>
  <si>
    <t>Distillery</t>
  </si>
  <si>
    <t>Capacity</t>
  </si>
  <si>
    <t>Jaú</t>
  </si>
  <si>
    <t>Bariri</t>
  </si>
  <si>
    <t>Cosmópolis</t>
  </si>
  <si>
    <t>Itapira</t>
  </si>
  <si>
    <t>Pirassununga</t>
  </si>
  <si>
    <t>São Carlos</t>
  </si>
  <si>
    <t>Diadema</t>
  </si>
  <si>
    <t>Santa Bárbara d'Oeste</t>
  </si>
  <si>
    <t>Araraquara</t>
  </si>
  <si>
    <t>OPEN MARKET PRICES</t>
  </si>
  <si>
    <t>Commodity</t>
  </si>
  <si>
    <t>Londrina sugar</t>
  </si>
  <si>
    <t>Franca sugar</t>
  </si>
  <si>
    <t>Bagasse</t>
  </si>
  <si>
    <t>Variable (R$/t of  sugarcane)</t>
  </si>
  <si>
    <t>Bagasse</t>
    <phoneticPr fontId="3" type="noConversion"/>
  </si>
  <si>
    <t>Objective: Maximize Profit, Optimize GN allocation of sugarcane from partner plantations to its plants &amp; molasses from its plants to distilleries</t>
    <phoneticPr fontId="3" type="noConversion"/>
  </si>
  <si>
    <t>Allocation of Sugarcane from Partners to Plants</t>
    <phoneticPr fontId="3" type="noConversion"/>
  </si>
  <si>
    <t>Partners</t>
    <phoneticPr fontId="3" type="noConversion"/>
  </si>
  <si>
    <t>Quantity</t>
    <phoneticPr fontId="3" type="noConversion"/>
  </si>
  <si>
    <t>To Londrina</t>
    <phoneticPr fontId="3" type="noConversion"/>
  </si>
  <si>
    <t>To Franca</t>
    <phoneticPr fontId="3" type="noConversion"/>
  </si>
  <si>
    <t>Total Cost (Price + Freight)</t>
    <phoneticPr fontId="3" type="noConversion"/>
  </si>
  <si>
    <t>Production</t>
    <phoneticPr fontId="3" type="noConversion"/>
  </si>
  <si>
    <t>Londrina</t>
    <phoneticPr fontId="3" type="noConversion"/>
  </si>
  <si>
    <t>Franca</t>
    <phoneticPr fontId="3" type="noConversion"/>
  </si>
  <si>
    <t>Amount of Sugarcane (after loss)</t>
    <phoneticPr fontId="3" type="noConversion"/>
  </si>
  <si>
    <t>Molasses produced</t>
    <phoneticPr fontId="3" type="noConversion"/>
  </si>
  <si>
    <t>Sugar produced</t>
    <phoneticPr fontId="3" type="noConversion"/>
  </si>
  <si>
    <t>Bagasse produced</t>
    <phoneticPr fontId="3" type="noConversion"/>
  </si>
  <si>
    <t>Variable cost</t>
    <phoneticPr fontId="3" type="noConversion"/>
  </si>
  <si>
    <t>Fixed cost</t>
    <phoneticPr fontId="3" type="noConversion"/>
  </si>
  <si>
    <t>Total cost</t>
    <phoneticPr fontId="3" type="noConversion"/>
  </si>
  <si>
    <t>Constraint (min) Londrina</t>
    <phoneticPr fontId="3" type="noConversion"/>
  </si>
  <si>
    <t>Allocation of Molasses to Distillers</t>
    <phoneticPr fontId="3" type="noConversion"/>
  </si>
  <si>
    <t>Distillery</t>
    <phoneticPr fontId="3" type="noConversion"/>
  </si>
  <si>
    <t>Constraint (min)</t>
    <phoneticPr fontId="3" type="noConversion"/>
  </si>
  <si>
    <t>Constraint (max)</t>
    <phoneticPr fontId="3" type="noConversion"/>
  </si>
  <si>
    <t>Total</t>
    <phoneticPr fontId="3" type="noConversion"/>
  </si>
  <si>
    <t>From Londrina</t>
    <phoneticPr fontId="3" type="noConversion"/>
  </si>
  <si>
    <t>From Franca</t>
    <phoneticPr fontId="3" type="noConversion"/>
  </si>
  <si>
    <t>Production Constraint</t>
    <phoneticPr fontId="3" type="noConversion"/>
  </si>
  <si>
    <t>Cost</t>
  </si>
  <si>
    <t>Cost</t>
    <phoneticPr fontId="3" type="noConversion"/>
  </si>
  <si>
    <t>Total Cost</t>
    <phoneticPr fontId="3" type="noConversion"/>
  </si>
  <si>
    <t>Revenue &amp; Cost</t>
    <phoneticPr fontId="3" type="noConversion"/>
  </si>
  <si>
    <t>Revenue</t>
    <phoneticPr fontId="3" type="noConversion"/>
  </si>
  <si>
    <t>Londrina sugar</t>
    <phoneticPr fontId="3" type="noConversion"/>
  </si>
  <si>
    <t>Franca sugar</t>
    <phoneticPr fontId="3" type="noConversion"/>
  </si>
  <si>
    <t>Molasses</t>
    <phoneticPr fontId="3" type="noConversion"/>
  </si>
  <si>
    <t>Price</t>
    <phoneticPr fontId="3" type="noConversion"/>
  </si>
  <si>
    <t>Sugarcane + Freight</t>
    <phoneticPr fontId="3" type="noConversion"/>
  </si>
  <si>
    <t>Molasses Freight</t>
    <phoneticPr fontId="3" type="noConversion"/>
  </si>
  <si>
    <t>Profit</t>
    <phoneticPr fontId="3" type="noConversion"/>
  </si>
  <si>
    <t>Cell</t>
  </si>
  <si>
    <t>Name</t>
  </si>
  <si>
    <t>Cell Value</t>
  </si>
  <si>
    <t>Formula</t>
  </si>
  <si>
    <t>Status</t>
  </si>
  <si>
    <t>Slack</t>
  </si>
  <si>
    <t>Binding</t>
  </si>
  <si>
    <t>$J$21</t>
  </si>
  <si>
    <t>Sugar produced Londrina</t>
  </si>
  <si>
    <t>$J$21&lt;=$M$21</t>
  </si>
  <si>
    <t>$K$30</t>
  </si>
  <si>
    <t>Jaú Total</t>
  </si>
  <si>
    <t>$K$30&gt;=$L$30</t>
  </si>
  <si>
    <t>$K$31</t>
  </si>
  <si>
    <t>Bariri Total</t>
  </si>
  <si>
    <t>$K$31&gt;=$L$31</t>
  </si>
  <si>
    <t>$K$32</t>
  </si>
  <si>
    <t>Cosmópolis Total</t>
  </si>
  <si>
    <t>$K$32&gt;=$L$32</t>
  </si>
  <si>
    <t>$K$33</t>
  </si>
  <si>
    <t>Itapira Total</t>
  </si>
  <si>
    <t>$K$33&gt;=$L$33</t>
  </si>
  <si>
    <t>$K$34</t>
  </si>
  <si>
    <t>Pirassununga Total</t>
  </si>
  <si>
    <t>$K$34&gt;=$L$34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</si>
  <si>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</si>
  <si>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</si>
  <si>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</si>
  <si>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</si>
  <si>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(Max)</t>
  </si>
  <si>
    <t>Original Value</t>
  </si>
  <si>
    <t>Final Value</t>
  </si>
  <si>
    <t>Variable Cells</t>
  </si>
  <si>
    <t>Integer</t>
  </si>
  <si>
    <t>Constraints</t>
  </si>
  <si>
    <t>$K$55</t>
  </si>
  <si>
    <t>Profit Revenue</t>
  </si>
  <si>
    <t>$I$8</t>
  </si>
  <si>
    <t>Maringá To Londrina</t>
  </si>
  <si>
    <t>Contin</t>
  </si>
  <si>
    <t>$I$9</t>
  </si>
  <si>
    <t>Paranavaí To Londrina</t>
  </si>
  <si>
    <t>$I$10</t>
  </si>
  <si>
    <t>Frutal To Londrina</t>
  </si>
  <si>
    <t>$I$11</t>
  </si>
  <si>
    <t>Rancharia To Londrina</t>
  </si>
  <si>
    <t>$I$12</t>
  </si>
  <si>
    <t>Apucarana To Londrina</t>
  </si>
  <si>
    <t>$I$13</t>
  </si>
  <si>
    <t>Bastos To Londrina</t>
  </si>
  <si>
    <t>$I$14</t>
  </si>
  <si>
    <t>Sacramento To Londrina</t>
  </si>
  <si>
    <t>$I$15</t>
  </si>
  <si>
    <t>Iturama To Londrina</t>
  </si>
  <si>
    <t>$I$30</t>
  </si>
  <si>
    <t>Jaú From Londrina</t>
  </si>
  <si>
    <t>$J$30</t>
  </si>
  <si>
    <t>Jaú From Franca</t>
  </si>
  <si>
    <t>$I$31</t>
  </si>
  <si>
    <t>Bariri From Londrina</t>
  </si>
  <si>
    <t>$J$31</t>
  </si>
  <si>
    <t>Bariri From Franca</t>
  </si>
  <si>
    <t>$I$32</t>
  </si>
  <si>
    <t>Cosmópolis From Londrina</t>
  </si>
  <si>
    <t>$J$32</t>
  </si>
  <si>
    <t>Cosmópolis From Franca</t>
  </si>
  <si>
    <t>$I$33</t>
  </si>
  <si>
    <t>Itapira From Londrina</t>
  </si>
  <si>
    <t>$J$33</t>
  </si>
  <si>
    <t>Itapira From Franca</t>
  </si>
  <si>
    <t>$I$34</t>
  </si>
  <si>
    <t>Pirassununga From Londrina</t>
  </si>
  <si>
    <t>$J$34</t>
  </si>
  <si>
    <t>Pirassununga From Franca</t>
  </si>
  <si>
    <t>$I$35</t>
  </si>
  <si>
    <t>São Carlos From Londrina</t>
  </si>
  <si>
    <t>$J$35</t>
  </si>
  <si>
    <t>São Carlos From Franca</t>
  </si>
  <si>
    <t>$I$36</t>
  </si>
  <si>
    <t>Diadema From Londrina</t>
  </si>
  <si>
    <t>$J$36</t>
  </si>
  <si>
    <t>Diadema From Franca</t>
  </si>
  <si>
    <t>$I$37</t>
  </si>
  <si>
    <t>Santa Bárbara d'Oeste From Londrina</t>
  </si>
  <si>
    <t>$J$37</t>
  </si>
  <si>
    <t>Santa Bárbara d'Oeste From Franca</t>
  </si>
  <si>
    <t>$I$38</t>
  </si>
  <si>
    <t>Araraquara From Londrina</t>
  </si>
  <si>
    <t>$J$38</t>
  </si>
  <si>
    <t>Araraquara From Franca</t>
  </si>
  <si>
    <t>$J$19</t>
  </si>
  <si>
    <t>Amount of Sugarcane (after loss) Londrina</t>
  </si>
  <si>
    <t>Not Binding</t>
  </si>
  <si>
    <t>$J$19&gt;=$L$19</t>
  </si>
  <si>
    <t>$K$19</t>
  </si>
  <si>
    <t>Amount of Sugarcane (after loss) Franca</t>
  </si>
  <si>
    <t>$K$19&lt;=$O$19</t>
  </si>
  <si>
    <t>$K$21</t>
  </si>
  <si>
    <t>Sugar produced Franca</t>
  </si>
  <si>
    <t>$K$21&lt;=$O$21</t>
  </si>
  <si>
    <t>$K$30&lt;=$M$30</t>
  </si>
  <si>
    <t>$K$31&lt;=$M$31</t>
  </si>
  <si>
    <t>$K$32&lt;=$M$32</t>
  </si>
  <si>
    <t>$K$33&lt;=$M$33</t>
  </si>
  <si>
    <t>$K$34&lt;=$M$34</t>
  </si>
  <si>
    <t>$K$35</t>
  </si>
  <si>
    <t>São Carlos Total</t>
  </si>
  <si>
    <t>$K$35&lt;=$M$35</t>
  </si>
  <si>
    <t>$K$36</t>
  </si>
  <si>
    <t>Diadema Total</t>
  </si>
  <si>
    <t>$K$36&lt;=$M$36</t>
  </si>
  <si>
    <t>$K$37</t>
  </si>
  <si>
    <t>Santa Bárbara d'Oeste Total</t>
  </si>
  <si>
    <t>$K$37&lt;=$M$37</t>
  </si>
  <si>
    <t>$K$38</t>
  </si>
  <si>
    <t>Araraquara Total</t>
  </si>
  <si>
    <t>$K$38&lt;=$M$38</t>
  </si>
  <si>
    <t>$K$35&gt;=$L$35</t>
  </si>
  <si>
    <t>$K$36&gt;=$L$36</t>
  </si>
  <si>
    <t>$K$37&gt;=$L$37</t>
  </si>
  <si>
    <t>$K$38&gt;=$L$38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</si>
  <si>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</si>
  <si>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</si>
  <si>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</si>
  <si>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</si>
  <si>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</si>
  <si>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</si>
  <si>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</si>
  <si>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</si>
  <si>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</si>
  <si>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</si>
  <si>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</si>
  <si>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r>
      <rPr>
        <b/>
        <sz val="12"/>
        <color theme="3" tint="0.39997558519241921"/>
        <rFont val="Arial"/>
        <family val="2"/>
      </rPr>
      <t>Blue = Variables</t>
    </r>
    <r>
      <rPr>
        <b/>
        <sz val="12"/>
        <rFont val="Arial"/>
        <family val="2"/>
      </rPr>
      <t xml:space="preserve">
</t>
    </r>
    <r>
      <rPr>
        <b/>
        <sz val="12"/>
        <color rgb="FFFFC000"/>
        <rFont val="Arial"/>
        <family val="2"/>
      </rPr>
      <t>Yellow = Constraints</t>
    </r>
    <r>
      <rPr>
        <b/>
        <sz val="12"/>
        <rFont val="Arial"/>
        <family val="2"/>
      </rPr>
      <t xml:space="preserve">
</t>
    </r>
    <r>
      <rPr>
        <b/>
        <sz val="12"/>
        <color rgb="FF00B050"/>
        <rFont val="Arial"/>
        <family val="2"/>
      </rPr>
      <t>Green = Objective</t>
    </r>
    <phoneticPr fontId="3" type="noConversion"/>
  </si>
  <si>
    <t>Constraint 1: total quantity from each partner planation must euqal to each available quantity
Constraint 2: Amount of sugarcane processed at each plant must be above 50% and below 100% capacity
Constraint 3: Amount of sugar produced at each plant subject to maximum capacity at that plant (2000, 4000)
Constraint 4: Allocation of Molasses from each plant to distilleries must be equal to the amount the plant produced
Constraint 5: Total Molasses to each distillery must be equal to or larger than the guaranteed amount but below maximum amount</t>
    <phoneticPr fontId="3" type="noConversion"/>
  </si>
  <si>
    <t>Available Quantity</t>
  </si>
  <si>
    <t>Total Quantity</t>
  </si>
  <si>
    <t>Constraint (min) Franca</t>
  </si>
  <si>
    <t>Constraint (max) Londrina</t>
  </si>
  <si>
    <t>Constraint (max) Franca</t>
  </si>
  <si>
    <t>Microsoft Excel 16.44 Answer Report</t>
  </si>
  <si>
    <t>Worksheet: [GN Data (1) (version 1).xlsb]Input Data</t>
  </si>
  <si>
    <t>Report Created: 3/21/21 6:19:08 AM</t>
  </si>
  <si>
    <t>Result: Solver found a solution.  All constraints and optimality conditions are satisfied.</t>
  </si>
  <si>
    <t>Solution Time: 17179997.733 Seconds.</t>
  </si>
  <si>
    <t>Iterations: 39 Subproblems: 0</t>
  </si>
  <si>
    <t>Max Time Unlimited, Iterations Unlimited, Precision 0.000001, Use Automatic Scaling</t>
  </si>
  <si>
    <t>$J$8</t>
  </si>
  <si>
    <t>Maringá To Franca</t>
  </si>
  <si>
    <t>$J$9</t>
  </si>
  <si>
    <t>Paranavaí To Franca</t>
  </si>
  <si>
    <t>$J$10</t>
  </si>
  <si>
    <t>Frutal To Franca</t>
  </si>
  <si>
    <t>$J$11</t>
  </si>
  <si>
    <t>Rancharia To Franca</t>
  </si>
  <si>
    <t>$J$12</t>
  </si>
  <si>
    <t>Apucarana To Franca</t>
  </si>
  <si>
    <t>$J$13</t>
  </si>
  <si>
    <t>Bastos To Franca</t>
  </si>
  <si>
    <t>$J$14</t>
  </si>
  <si>
    <t>Sacramento To Franca</t>
  </si>
  <si>
    <t>$J$15</t>
  </si>
  <si>
    <t>Iturama To Franca</t>
  </si>
  <si>
    <t>$I$40</t>
  </si>
  <si>
    <t>Production Constraint From Londrina</t>
  </si>
  <si>
    <t>$I$40&gt;=$I$39</t>
  </si>
  <si>
    <t>$J$40</t>
  </si>
  <si>
    <t>Production Constraint From Franca</t>
  </si>
  <si>
    <t>$J$40&gt;=$J$39</t>
  </si>
  <si>
    <t>$J$19&lt;=$N$19</t>
  </si>
  <si>
    <t>$K$19&gt;=$M$19</t>
  </si>
  <si>
    <t>$K$8</t>
  </si>
  <si>
    <t>Maringá Total Quantity</t>
  </si>
  <si>
    <t>$K$8&lt;=$M$8</t>
  </si>
  <si>
    <t>$K$9</t>
  </si>
  <si>
    <t>Paranavaí Total Quantity</t>
  </si>
  <si>
    <t>$K$9&lt;=$M$9</t>
  </si>
  <si>
    <t>$K$10</t>
  </si>
  <si>
    <t>Frutal Total Quantity</t>
  </si>
  <si>
    <t>$K$10&lt;=$M$10</t>
  </si>
  <si>
    <t>$K$11</t>
  </si>
  <si>
    <t>Rancharia Total Quantity</t>
  </si>
  <si>
    <t>$K$11&lt;=$M$11</t>
  </si>
  <si>
    <t>$K$12</t>
  </si>
  <si>
    <t>Apucarana Total Quantity</t>
  </si>
  <si>
    <t>$K$12&lt;=$M$12</t>
  </si>
  <si>
    <t>$K$13</t>
  </si>
  <si>
    <t>Bastos Total Quantity</t>
  </si>
  <si>
    <t>$K$13&lt;=$M$13</t>
  </si>
  <si>
    <t>$K$14</t>
  </si>
  <si>
    <t>Sacramento Total Quantity</t>
  </si>
  <si>
    <t>$K$14&lt;=$M$14</t>
  </si>
  <si>
    <t>$K$15</t>
  </si>
  <si>
    <t>Iturama Total Quantity</t>
  </si>
  <si>
    <t>$K$15&lt;=$M$15</t>
  </si>
  <si>
    <t>Microsoft Excel 16.44 Sensitivity Report</t>
  </si>
  <si>
    <t>Report Created: 3/21/21 6:19:09 AM</t>
  </si>
  <si>
    <t>Microsoft Excel 16.0 Answer Report</t>
  </si>
  <si>
    <t>Worksheet: [GN Data.Model.xlsx]Input Data</t>
  </si>
  <si>
    <t>Result: Solver found a solution.  All Constraints and optimality conditions are satisfied.</t>
  </si>
  <si>
    <t>Max Time Unlimited,  Iterations Unlimited, Precision 0.000001, Use Automatic Scaling</t>
  </si>
  <si>
    <t>Microsoft Excel 16.0 Sensitivity Report</t>
  </si>
  <si>
    <t>Oneway analysis for Solver model in Input Data worksheet</t>
  </si>
  <si>
    <t>Input (cell $C$17) values along side, output cell(s) along top</t>
  </si>
  <si>
    <t>Data for chart</t>
  </si>
  <si>
    <t>Report Created: 3/21/2021 5:05:40 PM</t>
  </si>
  <si>
    <t>Solution Time: 0.172 Seconds.</t>
  </si>
  <si>
    <t>Iterations: 51 Subproblems: 0</t>
  </si>
  <si>
    <t>$I$17</t>
  </si>
  <si>
    <t>To Londrina</t>
  </si>
  <si>
    <t>$J$17</t>
  </si>
  <si>
    <t>To Franca</t>
  </si>
  <si>
    <t xml:space="preserve">Changes in Diesel </t>
  </si>
  <si>
    <t>Input (cell $D$4) values along side, output cell(s) along top</t>
  </si>
  <si>
    <t>Report Created: 3/21/2021 6:54:48 PM</t>
  </si>
  <si>
    <t>Solution Time: 0.063 Seconds.</t>
  </si>
  <si>
    <t>Report Created: 3/21/2021 6:54:49 PM</t>
  </si>
  <si>
    <t>$K$55</t>
    <phoneticPr fontId="3" type="noConversion"/>
  </si>
  <si>
    <t>Input</t>
    <phoneticPr fontId="3" type="noConversion"/>
  </si>
  <si>
    <t>Input (cell $B$33) values along side, output cell(s) along top</t>
  </si>
  <si>
    <t>Not feasible</t>
  </si>
  <si>
    <t>Input (cell $C$33) values along side, output cell(s) along top</t>
  </si>
  <si>
    <t>Input (cell $B$34) values along side, output cell(s) along top</t>
  </si>
  <si>
    <t>$C$34</t>
    <phoneticPr fontId="3" type="noConversion"/>
  </si>
  <si>
    <t>Input (cell $C$34) values along side, output cell(s) along top</t>
  </si>
  <si>
    <t>Additional Fuel Cost</t>
    <phoneticPr fontId="3" type="noConversion"/>
  </si>
  <si>
    <t>Oil change</t>
    <phoneticPr fontId="3" type="noConversion"/>
  </si>
  <si>
    <t>Additonal Fuel Cost</t>
    <phoneticPr fontId="3" type="noConversion"/>
  </si>
  <si>
    <t>$N$3</t>
  </si>
  <si>
    <t>% Change in Fuel Cost</t>
  </si>
  <si>
    <t>Oneway analysis for Solver model in Input Data (2) worksheet</t>
  </si>
  <si>
    <t>% Change in Fuel Cost (cell $N$3) values along side, output cell(s) along top</t>
  </si>
  <si>
    <t>Correlation between fuel price and molasses price</t>
    <phoneticPr fontId="3" type="noConversion"/>
  </si>
  <si>
    <t/>
  </si>
  <si>
    <t>$N$5</t>
  </si>
  <si>
    <t>Ratio between diesel price and molasses</t>
  </si>
  <si>
    <t>Twoway analysis for Solver model in Input Data (2) worksheet</t>
  </si>
  <si>
    <t>% Change in Fuel Cost (cell $N$3) values along side, Ratio between diesel price and molasses (cell $N$5) values along top, output cell in corner</t>
  </si>
  <si>
    <t>$N$3</t>
    <phoneticPr fontId="3" type="noConversion"/>
  </si>
  <si>
    <t>% Change in Fuel Cost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</si>
</sst>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0.0%"/>
    <numFmt numFmtId="177" formatCode="_(&quot;$&quot;* #,##0_);_(&quot;$&quot;* \(#,##0\);_(&quot;$&quot;* &quot;-&quot;??_);_(@_)"/>
  </numFmts>
  <fonts count="1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b/>
      <sz val="12"/>
      <name val="Arial"/>
      <family val="2"/>
    </font>
    <font>
      <b/>
      <sz val="12"/>
      <color theme="3" tint="0.39997558519241921"/>
      <name val="Arial"/>
      <family val="2"/>
    </font>
    <font>
      <b/>
      <sz val="12"/>
      <color rgb="FFFFC000"/>
      <name val="Arial"/>
      <family val="2"/>
    </font>
    <font>
      <b/>
      <sz val="12"/>
      <color rgb="FF00B050"/>
      <name val="Arial"/>
      <family val="2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</cellStyleXfs>
  <cellXfs count="12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  <xf numFmtId="176" fontId="0" fillId="0" borderId="0" xfId="1" applyNumberFormat="1" applyFont="1"/>
    <xf numFmtId="3" fontId="0" fillId="0" borderId="0" xfId="0" applyNumberFormat="1"/>
    <xf numFmtId="9" fontId="0" fillId="0" borderId="0" xfId="1" applyFon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3" borderId="0" xfId="0" applyFill="1"/>
    <xf numFmtId="3" fontId="0" fillId="3" borderId="0" xfId="0" applyNumberFormat="1" applyFill="1"/>
    <xf numFmtId="0" fontId="1" fillId="0" borderId="0" xfId="0" applyFont="1" applyFill="1"/>
    <xf numFmtId="0" fontId="0" fillId="0" borderId="0" xfId="0" applyFill="1"/>
    <xf numFmtId="3" fontId="0" fillId="0" borderId="0" xfId="0" applyNumberFormat="1" applyFill="1"/>
    <xf numFmtId="0" fontId="2" fillId="0" borderId="0" xfId="0" applyFont="1" applyAlignment="1">
      <alignment horizontal="left"/>
    </xf>
    <xf numFmtId="0" fontId="0" fillId="4" borderId="0" xfId="0" applyFill="1"/>
    <xf numFmtId="0" fontId="0" fillId="0" borderId="1" xfId="0" applyBorder="1"/>
    <xf numFmtId="0" fontId="2" fillId="4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49" fontId="0" fillId="0" borderId="0" xfId="0" applyNumberFormat="1"/>
    <xf numFmtId="1" fontId="0" fillId="0" borderId="0" xfId="0" applyNumberFormat="1"/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2" fillId="3" borderId="0" xfId="0" applyFont="1" applyFill="1"/>
    <xf numFmtId="0" fontId="2" fillId="0" borderId="1" xfId="0" applyFont="1" applyBorder="1"/>
    <xf numFmtId="0" fontId="2" fillId="0" borderId="7" xfId="0" applyFont="1" applyBorder="1"/>
    <xf numFmtId="0" fontId="0" fillId="0" borderId="7" xfId="0" applyBorder="1"/>
    <xf numFmtId="0" fontId="2" fillId="0" borderId="0" xfId="0" applyFont="1" applyFill="1"/>
    <xf numFmtId="1" fontId="2" fillId="4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77" fontId="2" fillId="5" borderId="0" xfId="2" applyNumberFormat="1" applyFont="1" applyFill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9" fillId="0" borderId="2" xfId="0" applyFont="1" applyFill="1" applyBorder="1" applyAlignment="1">
      <alignment horizontal="center"/>
    </xf>
    <xf numFmtId="177" fontId="0" fillId="0" borderId="5" xfId="0" applyNumberFormat="1" applyFill="1" applyBorder="1" applyAlignment="1"/>
    <xf numFmtId="1" fontId="0" fillId="0" borderId="6" xfId="0" applyNumberFormat="1" applyFill="1" applyBorder="1" applyAlignment="1"/>
    <xf numFmtId="1" fontId="0" fillId="0" borderId="5" xfId="0" applyNumberFormat="1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7" borderId="0" xfId="0" applyFill="1"/>
    <xf numFmtId="1" fontId="0" fillId="0" borderId="0" xfId="0" applyNumberForma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4" borderId="0" xfId="0" applyFill="1" applyAlignment="1">
      <alignment horizontal="right" textRotation="90"/>
    </xf>
    <xf numFmtId="0" fontId="11" fillId="0" borderId="0" xfId="0" applyFont="1"/>
    <xf numFmtId="177" fontId="0" fillId="0" borderId="15" xfId="0" applyNumberFormat="1" applyBorder="1"/>
    <xf numFmtId="177" fontId="0" fillId="0" borderId="16" xfId="0" applyNumberFormat="1" applyBorder="1"/>
    <xf numFmtId="177" fontId="0" fillId="0" borderId="17" xfId="0" applyNumberFormat="1" applyBorder="1"/>
    <xf numFmtId="0" fontId="0" fillId="0" borderId="6" xfId="0" applyNumberFormat="1" applyFill="1" applyBorder="1" applyAlignment="1"/>
    <xf numFmtId="0" fontId="0" fillId="8" borderId="0" xfId="0" applyNumberFormat="1" applyFill="1"/>
    <xf numFmtId="177" fontId="0" fillId="8" borderId="16" xfId="0" applyNumberFormat="1" applyFill="1" applyBorder="1"/>
    <xf numFmtId="0" fontId="0" fillId="8" borderId="0" xfId="0" applyFill="1"/>
    <xf numFmtId="9" fontId="0" fillId="8" borderId="0" xfId="1" applyFont="1" applyFill="1"/>
    <xf numFmtId="9" fontId="0" fillId="0" borderId="0" xfId="0" applyNumberFormat="1"/>
    <xf numFmtId="0" fontId="0" fillId="0" borderId="0" xfId="0" applyAlignment="1">
      <alignment horizontal="center"/>
    </xf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177" fontId="0" fillId="0" borderId="8" xfId="0" applyNumberFormat="1" applyBorder="1"/>
    <xf numFmtId="177" fontId="0" fillId="0" borderId="10" xfId="0" applyNumberFormat="1" applyBorder="1"/>
    <xf numFmtId="177" fontId="0" fillId="0" borderId="12" xfId="0" applyNumberFormat="1" applyBorder="1"/>
    <xf numFmtId="177" fontId="0" fillId="0" borderId="14" xfId="0" applyNumberFormat="1" applyBorder="1"/>
    <xf numFmtId="177" fontId="0" fillId="0" borderId="0" xfId="0" applyNumberFormat="1" applyBorder="1"/>
    <xf numFmtId="177" fontId="0" fillId="0" borderId="1" xfId="0" applyNumberFormat="1" applyBorder="1"/>
    <xf numFmtId="0" fontId="13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DB00"/>
      <color rgb="FFFFEE15"/>
      <color rgb="FFE8FA00"/>
      <color rgb="FFCC0000"/>
      <color rgb="FFBC5908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altLang="zh-CN" sz="1200"/>
              <a:t>Sensitivity of Profit to</a:t>
            </a:r>
            <a:r>
              <a:rPr lang="en-US" altLang="zh-CN" sz="1200" baseline="0"/>
              <a:t> Londrina Sugar Production</a:t>
            </a:r>
            <a:endParaRPr lang="en-US" altLang="zh-CN" sz="12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Question2!$A$5:$A$25</c:f>
              <c:numCache>
                <c:formatCode>#,##0</c:formatCode>
                <c:ptCount val="21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4000</c:v>
                </c:pt>
              </c:numCache>
            </c:numRef>
          </c:cat>
          <c:val>
            <c:numRef>
              <c:f>Question2!$K$5:$K$25</c:f>
              <c:numCache>
                <c:formatCode>General</c:formatCode>
                <c:ptCount val="21"/>
                <c:pt idx="0">
                  <c:v>183135.11</c:v>
                </c:pt>
                <c:pt idx="1">
                  <c:v>189113.63</c:v>
                </c:pt>
                <c:pt idx="2">
                  <c:v>195092.14</c:v>
                </c:pt>
                <c:pt idx="3">
                  <c:v>201070.66</c:v>
                </c:pt>
                <c:pt idx="4">
                  <c:v>206455.03</c:v>
                </c:pt>
                <c:pt idx="5">
                  <c:v>211602.66</c:v>
                </c:pt>
                <c:pt idx="6">
                  <c:v>216750.28</c:v>
                </c:pt>
                <c:pt idx="7">
                  <c:v>221842.57</c:v>
                </c:pt>
                <c:pt idx="8">
                  <c:v>226837.46</c:v>
                </c:pt>
                <c:pt idx="9">
                  <c:v>231832.35</c:v>
                </c:pt>
                <c:pt idx="10">
                  <c:v>236827.24</c:v>
                </c:pt>
                <c:pt idx="11">
                  <c:v>240675.53</c:v>
                </c:pt>
                <c:pt idx="12">
                  <c:v>243275.33</c:v>
                </c:pt>
                <c:pt idx="13">
                  <c:v>244004.84</c:v>
                </c:pt>
                <c:pt idx="14">
                  <c:v>244004.84</c:v>
                </c:pt>
                <c:pt idx="15">
                  <c:v>244004.84</c:v>
                </c:pt>
                <c:pt idx="16">
                  <c:v>244004.84</c:v>
                </c:pt>
                <c:pt idx="17">
                  <c:v>244004.84</c:v>
                </c:pt>
                <c:pt idx="18">
                  <c:v>244004.84</c:v>
                </c:pt>
                <c:pt idx="19">
                  <c:v>244004.84</c:v>
                </c:pt>
                <c:pt idx="20">
                  <c:v>244004.84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0-48BF-80B2-A16DAFE9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48063"/>
        <c:axId val="1828163455"/>
      </c:lineChart>
      <c:catAx>
        <c:axId val="182814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Londrina</a:t>
                </a:r>
                <a:r>
                  <a:rPr lang="en-US" altLang="zh-CN" baseline="0"/>
                  <a:t> Sugar Production</a:t>
                </a:r>
                <a:endParaRPr lang="en-US" altLang="zh-CN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28163455"/>
        <c:crosses val="autoZero"/>
        <c:auto val="1"/>
        <c:lblAlgn val="ctr"/>
        <c:lblOffset val="100"/>
        <c:noMultiLvlLbl val="0"/>
      </c:catAx>
      <c:valAx>
        <c:axId val="18281634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Profit</a:t>
                </a:r>
                <a:r>
                  <a:rPr lang="en-US" altLang="zh-CN" baseline="0"/>
                  <a:t> (R$)</a:t>
                </a:r>
                <a:endParaRPr lang="en-US" alt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14806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STS_6!$K$1</c:f>
          <c:strCache>
            <c:ptCount val="1"/>
            <c:pt idx="0">
              <c:v>Sensitivity of $K$55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STS_6!$A$5:$A$24</c:f>
              <c:numCache>
                <c:formatCode>#,##0</c:formatCode>
                <c:ptCount val="20"/>
                <c:pt idx="0">
                  <c:v>8030</c:v>
                </c:pt>
                <c:pt idx="1">
                  <c:v>8130</c:v>
                </c:pt>
                <c:pt idx="2">
                  <c:v>8230</c:v>
                </c:pt>
                <c:pt idx="3">
                  <c:v>8330</c:v>
                </c:pt>
                <c:pt idx="4">
                  <c:v>8430</c:v>
                </c:pt>
                <c:pt idx="5">
                  <c:v>8530</c:v>
                </c:pt>
                <c:pt idx="6">
                  <c:v>8630</c:v>
                </c:pt>
                <c:pt idx="7">
                  <c:v>8730</c:v>
                </c:pt>
                <c:pt idx="8">
                  <c:v>8830</c:v>
                </c:pt>
                <c:pt idx="9">
                  <c:v>8930</c:v>
                </c:pt>
                <c:pt idx="10">
                  <c:v>9030</c:v>
                </c:pt>
                <c:pt idx="11">
                  <c:v>9130</c:v>
                </c:pt>
                <c:pt idx="12">
                  <c:v>9230</c:v>
                </c:pt>
                <c:pt idx="13">
                  <c:v>9330</c:v>
                </c:pt>
                <c:pt idx="14">
                  <c:v>9430</c:v>
                </c:pt>
                <c:pt idx="15">
                  <c:v>9530</c:v>
                </c:pt>
                <c:pt idx="16">
                  <c:v>9630</c:v>
                </c:pt>
                <c:pt idx="17">
                  <c:v>9730</c:v>
                </c:pt>
                <c:pt idx="18">
                  <c:v>9830</c:v>
                </c:pt>
                <c:pt idx="19">
                  <c:v>9930</c:v>
                </c:pt>
              </c:numCache>
            </c:numRef>
          </c:cat>
          <c:val>
            <c:numRef>
              <c:f>STS_6!$K$5:$K$24</c:f>
              <c:numCache>
                <c:formatCode>General</c:formatCode>
                <c:ptCount val="20"/>
                <c:pt idx="0">
                  <c:v>183135.11</c:v>
                </c:pt>
                <c:pt idx="1">
                  <c:v>183135.11</c:v>
                </c:pt>
                <c:pt idx="2">
                  <c:v>183135.11</c:v>
                </c:pt>
                <c:pt idx="3">
                  <c:v>183135.11</c:v>
                </c:pt>
                <c:pt idx="4">
                  <c:v>183135.11</c:v>
                </c:pt>
                <c:pt idx="5">
                  <c:v>183135.11</c:v>
                </c:pt>
                <c:pt idx="6">
                  <c:v>183135.11</c:v>
                </c:pt>
                <c:pt idx="7">
                  <c:v>183135.11</c:v>
                </c:pt>
                <c:pt idx="8">
                  <c:v>183135.11</c:v>
                </c:pt>
                <c:pt idx="9">
                  <c:v>183135.11</c:v>
                </c:pt>
                <c:pt idx="10">
                  <c:v>183135.11</c:v>
                </c:pt>
                <c:pt idx="11">
                  <c:v>183135.11</c:v>
                </c:pt>
                <c:pt idx="12">
                  <c:v>183135.11</c:v>
                </c:pt>
                <c:pt idx="13">
                  <c:v>183135.11</c:v>
                </c:pt>
                <c:pt idx="14">
                  <c:v>183135.11</c:v>
                </c:pt>
                <c:pt idx="15">
                  <c:v>183135.11</c:v>
                </c:pt>
                <c:pt idx="16">
                  <c:v>183135.11</c:v>
                </c:pt>
                <c:pt idx="17">
                  <c:v>183135.11</c:v>
                </c:pt>
                <c:pt idx="18">
                  <c:v>183135.11</c:v>
                </c:pt>
                <c:pt idx="19">
                  <c:v>183135.11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7-4F1A-B2D8-61DF633B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14783"/>
        <c:axId val="1828094399"/>
      </c:lineChart>
      <c:catAx>
        <c:axId val="182811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Input ($B$33)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28094399"/>
        <c:crosses val="autoZero"/>
        <c:auto val="1"/>
        <c:lblAlgn val="ctr"/>
        <c:lblOffset val="100"/>
        <c:noMultiLvlLbl val="0"/>
      </c:catAx>
      <c:valAx>
        <c:axId val="18280943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11478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STS_7!$K$1</c:f>
          <c:strCache>
            <c:ptCount val="1"/>
            <c:pt idx="0">
              <c:v>Sensitivity of $K$55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STS_7!$A$5:$A$17</c:f>
              <c:numCache>
                <c:formatCode>#,##0</c:formatCode>
                <c:ptCount val="13"/>
                <c:pt idx="0">
                  <c:v>8780</c:v>
                </c:pt>
                <c:pt idx="1">
                  <c:v>8880</c:v>
                </c:pt>
                <c:pt idx="2">
                  <c:v>8980</c:v>
                </c:pt>
                <c:pt idx="3">
                  <c:v>9080</c:v>
                </c:pt>
                <c:pt idx="4">
                  <c:v>9180</c:v>
                </c:pt>
                <c:pt idx="5">
                  <c:v>9280</c:v>
                </c:pt>
                <c:pt idx="6">
                  <c:v>9380</c:v>
                </c:pt>
                <c:pt idx="7">
                  <c:v>9480</c:v>
                </c:pt>
                <c:pt idx="8">
                  <c:v>9580</c:v>
                </c:pt>
                <c:pt idx="9">
                  <c:v>9680</c:v>
                </c:pt>
                <c:pt idx="10">
                  <c:v>9780</c:v>
                </c:pt>
                <c:pt idx="11">
                  <c:v>9880</c:v>
                </c:pt>
                <c:pt idx="12">
                  <c:v>9980</c:v>
                </c:pt>
              </c:numCache>
            </c:numRef>
          </c:cat>
          <c:val>
            <c:numRef>
              <c:f>STS_7!$K$5:$K$17</c:f>
              <c:numCache>
                <c:formatCode>General</c:formatCode>
                <c:ptCount val="13"/>
                <c:pt idx="0">
                  <c:v>183135.11</c:v>
                </c:pt>
                <c:pt idx="1">
                  <c:v>183135.11</c:v>
                </c:pt>
                <c:pt idx="2">
                  <c:v>183135.11</c:v>
                </c:pt>
                <c:pt idx="3">
                  <c:v>183135.11</c:v>
                </c:pt>
                <c:pt idx="4">
                  <c:v>183135.11</c:v>
                </c:pt>
                <c:pt idx="5">
                  <c:v>183135.11</c:v>
                </c:pt>
                <c:pt idx="6">
                  <c:v>183135.11</c:v>
                </c:pt>
                <c:pt idx="7">
                  <c:v>183135.11</c:v>
                </c:pt>
                <c:pt idx="8">
                  <c:v>183135.11</c:v>
                </c:pt>
                <c:pt idx="9">
                  <c:v>183135.11</c:v>
                </c:pt>
                <c:pt idx="10">
                  <c:v>183135.11</c:v>
                </c:pt>
                <c:pt idx="11">
                  <c:v>183135.11</c:v>
                </c:pt>
                <c:pt idx="12">
                  <c:v>183135.11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4-4841-8756-59F6CC96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33087"/>
        <c:axId val="1828135583"/>
      </c:lineChart>
      <c:catAx>
        <c:axId val="182813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Input ($C$33)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28135583"/>
        <c:crosses val="autoZero"/>
        <c:auto val="1"/>
        <c:lblAlgn val="ctr"/>
        <c:lblOffset val="100"/>
        <c:noMultiLvlLbl val="0"/>
      </c:catAx>
      <c:valAx>
        <c:axId val="18281355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1330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STS_9!$K$1</c:f>
          <c:strCache>
            <c:ptCount val="1"/>
            <c:pt idx="0">
              <c:v>Sensitivity of $K$55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STS_9!$A$5:$A$45</c:f>
              <c:numCache>
                <c:formatCode>#,##0</c:formatCode>
                <c:ptCount val="41"/>
                <c:pt idx="0">
                  <c:v>4000</c:v>
                </c:pt>
                <c:pt idx="1">
                  <c:v>4100</c:v>
                </c:pt>
                <c:pt idx="2">
                  <c:v>4200</c:v>
                </c:pt>
                <c:pt idx="3">
                  <c:v>4300</c:v>
                </c:pt>
                <c:pt idx="4">
                  <c:v>4400</c:v>
                </c:pt>
                <c:pt idx="5">
                  <c:v>4500</c:v>
                </c:pt>
                <c:pt idx="6">
                  <c:v>4600</c:v>
                </c:pt>
                <c:pt idx="7">
                  <c:v>4700</c:v>
                </c:pt>
                <c:pt idx="8">
                  <c:v>4800</c:v>
                </c:pt>
                <c:pt idx="9">
                  <c:v>4900</c:v>
                </c:pt>
                <c:pt idx="10">
                  <c:v>5000</c:v>
                </c:pt>
                <c:pt idx="11">
                  <c:v>5100</c:v>
                </c:pt>
                <c:pt idx="12">
                  <c:v>5200</c:v>
                </c:pt>
                <c:pt idx="13">
                  <c:v>5300</c:v>
                </c:pt>
                <c:pt idx="14">
                  <c:v>5400</c:v>
                </c:pt>
                <c:pt idx="15">
                  <c:v>5500</c:v>
                </c:pt>
                <c:pt idx="16">
                  <c:v>5600</c:v>
                </c:pt>
                <c:pt idx="17">
                  <c:v>5700</c:v>
                </c:pt>
                <c:pt idx="18">
                  <c:v>5800</c:v>
                </c:pt>
                <c:pt idx="19">
                  <c:v>5900</c:v>
                </c:pt>
                <c:pt idx="20">
                  <c:v>6000</c:v>
                </c:pt>
                <c:pt idx="21">
                  <c:v>6100</c:v>
                </c:pt>
                <c:pt idx="22">
                  <c:v>6200</c:v>
                </c:pt>
                <c:pt idx="23">
                  <c:v>6300</c:v>
                </c:pt>
                <c:pt idx="24">
                  <c:v>6400</c:v>
                </c:pt>
                <c:pt idx="25">
                  <c:v>6500</c:v>
                </c:pt>
                <c:pt idx="26">
                  <c:v>6600</c:v>
                </c:pt>
                <c:pt idx="27">
                  <c:v>6700</c:v>
                </c:pt>
                <c:pt idx="28">
                  <c:v>6800</c:v>
                </c:pt>
                <c:pt idx="29">
                  <c:v>6900</c:v>
                </c:pt>
                <c:pt idx="30">
                  <c:v>7000</c:v>
                </c:pt>
                <c:pt idx="31">
                  <c:v>7100</c:v>
                </c:pt>
                <c:pt idx="32">
                  <c:v>7200</c:v>
                </c:pt>
                <c:pt idx="33">
                  <c:v>7300</c:v>
                </c:pt>
                <c:pt idx="34">
                  <c:v>7400</c:v>
                </c:pt>
                <c:pt idx="35">
                  <c:v>7500</c:v>
                </c:pt>
                <c:pt idx="36">
                  <c:v>7600</c:v>
                </c:pt>
                <c:pt idx="37">
                  <c:v>7700</c:v>
                </c:pt>
                <c:pt idx="38">
                  <c:v>7800</c:v>
                </c:pt>
                <c:pt idx="39">
                  <c:v>7900</c:v>
                </c:pt>
                <c:pt idx="40">
                  <c:v>8000</c:v>
                </c:pt>
              </c:numCache>
            </c:numRef>
          </c:cat>
          <c:val>
            <c:numRef>
              <c:f>STS_9!$K$5:$K$45</c:f>
              <c:numCache>
                <c:formatCode>General</c:formatCode>
                <c:ptCount val="41"/>
                <c:pt idx="0">
                  <c:v>183135.11</c:v>
                </c:pt>
                <c:pt idx="1">
                  <c:v>183135.11</c:v>
                </c:pt>
                <c:pt idx="2">
                  <c:v>183135.11</c:v>
                </c:pt>
                <c:pt idx="3">
                  <c:v>183135.11</c:v>
                </c:pt>
                <c:pt idx="4">
                  <c:v>183135.11</c:v>
                </c:pt>
                <c:pt idx="5">
                  <c:v>183135.11</c:v>
                </c:pt>
                <c:pt idx="6">
                  <c:v>183135.11</c:v>
                </c:pt>
                <c:pt idx="7">
                  <c:v>183135.11</c:v>
                </c:pt>
                <c:pt idx="8">
                  <c:v>183135.11</c:v>
                </c:pt>
                <c:pt idx="9">
                  <c:v>183135.11</c:v>
                </c:pt>
                <c:pt idx="10">
                  <c:v>183135.11</c:v>
                </c:pt>
                <c:pt idx="11">
                  <c:v>183135.11</c:v>
                </c:pt>
                <c:pt idx="12">
                  <c:v>183135.11</c:v>
                </c:pt>
                <c:pt idx="13">
                  <c:v>183135.11</c:v>
                </c:pt>
                <c:pt idx="14">
                  <c:v>183135.11</c:v>
                </c:pt>
                <c:pt idx="15">
                  <c:v>183135.11</c:v>
                </c:pt>
                <c:pt idx="16">
                  <c:v>183135.11</c:v>
                </c:pt>
                <c:pt idx="17">
                  <c:v>183135.11</c:v>
                </c:pt>
                <c:pt idx="18">
                  <c:v>183135.11</c:v>
                </c:pt>
                <c:pt idx="19">
                  <c:v>183135.11</c:v>
                </c:pt>
                <c:pt idx="20">
                  <c:v>183135.11</c:v>
                </c:pt>
                <c:pt idx="21">
                  <c:v>183135.11</c:v>
                </c:pt>
                <c:pt idx="22">
                  <c:v>183135.11</c:v>
                </c:pt>
                <c:pt idx="23">
                  <c:v>183135.11</c:v>
                </c:pt>
                <c:pt idx="24">
                  <c:v>183135.11</c:v>
                </c:pt>
                <c:pt idx="25">
                  <c:v>183135.11</c:v>
                </c:pt>
                <c:pt idx="26">
                  <c:v>183135.11</c:v>
                </c:pt>
                <c:pt idx="27">
                  <c:v>183135.11</c:v>
                </c:pt>
                <c:pt idx="28">
                  <c:v>183135.11</c:v>
                </c:pt>
                <c:pt idx="29">
                  <c:v>183135.11</c:v>
                </c:pt>
                <c:pt idx="30">
                  <c:v>183135.11</c:v>
                </c:pt>
                <c:pt idx="31">
                  <c:v>183135.11</c:v>
                </c:pt>
                <c:pt idx="32">
                  <c:v>183135.11</c:v>
                </c:pt>
                <c:pt idx="33">
                  <c:v>183135.11</c:v>
                </c:pt>
                <c:pt idx="34">
                  <c:v>183135.11</c:v>
                </c:pt>
                <c:pt idx="35">
                  <c:v>183135.11</c:v>
                </c:pt>
                <c:pt idx="36">
                  <c:v>183135.11</c:v>
                </c:pt>
                <c:pt idx="37">
                  <c:v>183135.11</c:v>
                </c:pt>
                <c:pt idx="38">
                  <c:v>183135.11</c:v>
                </c:pt>
                <c:pt idx="39">
                  <c:v>183135.11</c:v>
                </c:pt>
                <c:pt idx="40">
                  <c:v>183135.11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4-409C-95A5-DC6F1229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14367"/>
        <c:axId val="1828164287"/>
      </c:lineChart>
      <c:catAx>
        <c:axId val="182811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Input ($C$34)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28164287"/>
        <c:crosses val="autoZero"/>
        <c:auto val="1"/>
        <c:lblAlgn val="ctr"/>
        <c:lblOffset val="100"/>
        <c:noMultiLvlLbl val="0"/>
      </c:catAx>
      <c:valAx>
        <c:axId val="18281642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11436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STS_10!$K$1</c:f>
          <c:strCache>
            <c:ptCount val="1"/>
            <c:pt idx="0">
              <c:v>Sensitivity of $K$55 to % Change in Fuel Cost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STS_10!$A$5:$A$45</c:f>
              <c:numCache>
                <c:formatCode>0%</c:formatCode>
                <c:ptCount val="41"/>
                <c:pt idx="0">
                  <c:v>-1</c:v>
                </c:pt>
                <c:pt idx="1">
                  <c:v>-0.89999997615814209</c:v>
                </c:pt>
                <c:pt idx="2">
                  <c:v>-0.80000001192092896</c:v>
                </c:pt>
                <c:pt idx="3">
                  <c:v>-0.69999998807907104</c:v>
                </c:pt>
                <c:pt idx="4">
                  <c:v>-0.60000002384185791</c:v>
                </c:pt>
                <c:pt idx="5">
                  <c:v>-0.5</c:v>
                </c:pt>
                <c:pt idx="6">
                  <c:v>-0.39999997615814209</c:v>
                </c:pt>
                <c:pt idx="7">
                  <c:v>-0.29999998211860657</c:v>
                </c:pt>
                <c:pt idx="8">
                  <c:v>-0.19999998807907104</c:v>
                </c:pt>
                <c:pt idx="9">
                  <c:v>-9.9999986588954926E-2</c:v>
                </c:pt>
                <c:pt idx="10">
                  <c:v>1.4901161193847656E-8</c:v>
                </c:pt>
                <c:pt idx="11">
                  <c:v>0.10000001639127731</c:v>
                </c:pt>
                <c:pt idx="12">
                  <c:v>0.20000001788139343</c:v>
                </c:pt>
                <c:pt idx="13">
                  <c:v>0.30000001192092896</c:v>
                </c:pt>
                <c:pt idx="14">
                  <c:v>0.40000003576278687</c:v>
                </c:pt>
                <c:pt idx="15">
                  <c:v>0.5</c:v>
                </c:pt>
                <c:pt idx="16">
                  <c:v>0.60000002384185791</c:v>
                </c:pt>
                <c:pt idx="17">
                  <c:v>0.70000004768371582</c:v>
                </c:pt>
                <c:pt idx="18">
                  <c:v>0.80000001192092896</c:v>
                </c:pt>
                <c:pt idx="19">
                  <c:v>0.90000003576278687</c:v>
                </c:pt>
                <c:pt idx="20">
                  <c:v>1</c:v>
                </c:pt>
                <c:pt idx="21">
                  <c:v>1.1000000238418579</c:v>
                </c:pt>
                <c:pt idx="22">
                  <c:v>1.2000000476837158</c:v>
                </c:pt>
                <c:pt idx="23">
                  <c:v>1.3000000715255737</c:v>
                </c:pt>
                <c:pt idx="24">
                  <c:v>1.4000000953674316</c:v>
                </c:pt>
                <c:pt idx="25">
                  <c:v>1.5</c:v>
                </c:pt>
                <c:pt idx="26">
                  <c:v>1.6000000238418579</c:v>
                </c:pt>
                <c:pt idx="27">
                  <c:v>1.7000000476837158</c:v>
                </c:pt>
                <c:pt idx="28">
                  <c:v>1.8000000715255737</c:v>
                </c:pt>
                <c:pt idx="29">
                  <c:v>1.9000000953674316</c:v>
                </c:pt>
                <c:pt idx="30">
                  <c:v>2</c:v>
                </c:pt>
                <c:pt idx="31">
                  <c:v>2.1000001430511475</c:v>
                </c:pt>
                <c:pt idx="32">
                  <c:v>2.2000000476837158</c:v>
                </c:pt>
                <c:pt idx="33">
                  <c:v>2.2999999523162842</c:v>
                </c:pt>
                <c:pt idx="34">
                  <c:v>2.4000000953674316</c:v>
                </c:pt>
                <c:pt idx="35">
                  <c:v>2.5</c:v>
                </c:pt>
                <c:pt idx="36">
                  <c:v>2.6000001430511475</c:v>
                </c:pt>
                <c:pt idx="37">
                  <c:v>2.7000000476837158</c:v>
                </c:pt>
                <c:pt idx="38">
                  <c:v>2.7999999523162842</c:v>
                </c:pt>
                <c:pt idx="39">
                  <c:v>2.9000000953674316</c:v>
                </c:pt>
                <c:pt idx="40">
                  <c:v>3</c:v>
                </c:pt>
              </c:numCache>
            </c:numRef>
          </c:cat>
          <c:val>
            <c:numRef>
              <c:f>STS_10!$K$5:$K$45</c:f>
              <c:numCache>
                <c:formatCode>General</c:formatCode>
                <c:ptCount val="41"/>
                <c:pt idx="0">
                  <c:v>129797.39</c:v>
                </c:pt>
                <c:pt idx="1">
                  <c:v>134338.79</c:v>
                </c:pt>
                <c:pt idx="2">
                  <c:v>138880.18</c:v>
                </c:pt>
                <c:pt idx="3">
                  <c:v>143520.63</c:v>
                </c:pt>
                <c:pt idx="4">
                  <c:v>149160.46</c:v>
                </c:pt>
                <c:pt idx="5">
                  <c:v>154822.91</c:v>
                </c:pt>
                <c:pt idx="6">
                  <c:v>160485.35</c:v>
                </c:pt>
                <c:pt idx="7">
                  <c:v>166147.79</c:v>
                </c:pt>
                <c:pt idx="8">
                  <c:v>171810.23</c:v>
                </c:pt>
                <c:pt idx="9">
                  <c:v>177472.67</c:v>
                </c:pt>
                <c:pt idx="10">
                  <c:v>183135.11</c:v>
                </c:pt>
                <c:pt idx="11">
                  <c:v>188797.55</c:v>
                </c:pt>
                <c:pt idx="12">
                  <c:v>194459.99</c:v>
                </c:pt>
                <c:pt idx="13">
                  <c:v>200122.43</c:v>
                </c:pt>
                <c:pt idx="14">
                  <c:v>205784.87</c:v>
                </c:pt>
                <c:pt idx="15">
                  <c:v>211447.31</c:v>
                </c:pt>
                <c:pt idx="16">
                  <c:v>217109.75</c:v>
                </c:pt>
                <c:pt idx="17">
                  <c:v>222772.19</c:v>
                </c:pt>
                <c:pt idx="18">
                  <c:v>228434.63</c:v>
                </c:pt>
                <c:pt idx="19">
                  <c:v>234097.07</c:v>
                </c:pt>
                <c:pt idx="20">
                  <c:v>239759.51</c:v>
                </c:pt>
                <c:pt idx="21">
                  <c:v>245421.95</c:v>
                </c:pt>
                <c:pt idx="22">
                  <c:v>251084.4</c:v>
                </c:pt>
                <c:pt idx="23">
                  <c:v>256746.84</c:v>
                </c:pt>
                <c:pt idx="24">
                  <c:v>262409.28000000003</c:v>
                </c:pt>
                <c:pt idx="25">
                  <c:v>268071.71999999997</c:v>
                </c:pt>
                <c:pt idx="26">
                  <c:v>273734.15999999997</c:v>
                </c:pt>
                <c:pt idx="27">
                  <c:v>279396.59999999998</c:v>
                </c:pt>
                <c:pt idx="28">
                  <c:v>285059.03999999998</c:v>
                </c:pt>
                <c:pt idx="29">
                  <c:v>290721.48</c:v>
                </c:pt>
                <c:pt idx="30">
                  <c:v>296383.92</c:v>
                </c:pt>
                <c:pt idx="31">
                  <c:v>302046.37</c:v>
                </c:pt>
                <c:pt idx="32">
                  <c:v>307708.79999999999</c:v>
                </c:pt>
                <c:pt idx="33">
                  <c:v>313371.24</c:v>
                </c:pt>
                <c:pt idx="34">
                  <c:v>319033.68</c:v>
                </c:pt>
                <c:pt idx="35">
                  <c:v>324696.12</c:v>
                </c:pt>
                <c:pt idx="36">
                  <c:v>330358.57</c:v>
                </c:pt>
                <c:pt idx="37">
                  <c:v>336021</c:v>
                </c:pt>
                <c:pt idx="38">
                  <c:v>341683.44</c:v>
                </c:pt>
                <c:pt idx="39">
                  <c:v>347345.89</c:v>
                </c:pt>
                <c:pt idx="40">
                  <c:v>353008.32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A-444C-B952-A0958432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63871"/>
        <c:axId val="1828167199"/>
      </c:lineChart>
      <c:catAx>
        <c:axId val="182816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% Change in Fuel Cost ($N$3)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28167199"/>
        <c:crosses val="autoZero"/>
        <c:auto val="1"/>
        <c:lblAlgn val="ctr"/>
        <c:lblOffset val="100"/>
        <c:noMultiLvlLbl val="0"/>
      </c:catAx>
      <c:valAx>
        <c:axId val="18281671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16387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Reduced!#REF!</c:f>
          <c:strCache>
            <c:ptCount val="1"/>
            <c:pt idx="0">
              <c:v>#REF!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Question4!$B$4:$E$4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Reduced!#REF!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327-A8E3-EDEE4A1C7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68511"/>
        <c:axId val="132169343"/>
      </c:lineChart>
      <c:catAx>
        <c:axId val="13216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Ratio between diesel price and molasses ($N$5)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69343"/>
        <c:crosses val="autoZero"/>
        <c:auto val="1"/>
        <c:lblAlgn val="ctr"/>
        <c:lblOffset val="100"/>
        <c:noMultiLvlLbl val="0"/>
      </c:catAx>
      <c:valAx>
        <c:axId val="1321693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685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Reduced!#REF!</c:f>
          <c:strCache>
            <c:ptCount val="1"/>
            <c:pt idx="0">
              <c:v>#REF!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Question4!$A$5:$A$45</c:f>
              <c:numCache>
                <c:formatCode>0%</c:formatCode>
                <c:ptCount val="41"/>
                <c:pt idx="0">
                  <c:v>-1</c:v>
                </c:pt>
                <c:pt idx="1">
                  <c:v>-0.89999997615814209</c:v>
                </c:pt>
                <c:pt idx="2">
                  <c:v>-0.80000001192092896</c:v>
                </c:pt>
                <c:pt idx="3">
                  <c:v>-0.69999998807907104</c:v>
                </c:pt>
                <c:pt idx="4">
                  <c:v>-0.60000002384185791</c:v>
                </c:pt>
                <c:pt idx="5">
                  <c:v>-0.5</c:v>
                </c:pt>
                <c:pt idx="6">
                  <c:v>-0.39999997615814209</c:v>
                </c:pt>
                <c:pt idx="7">
                  <c:v>-0.29999998211860657</c:v>
                </c:pt>
                <c:pt idx="8">
                  <c:v>-0.19999998807907104</c:v>
                </c:pt>
                <c:pt idx="9">
                  <c:v>-9.9999986588954926E-2</c:v>
                </c:pt>
                <c:pt idx="10">
                  <c:v>1.4901161193847656E-8</c:v>
                </c:pt>
                <c:pt idx="11">
                  <c:v>0.10000001639127731</c:v>
                </c:pt>
                <c:pt idx="12">
                  <c:v>0.20000001788139343</c:v>
                </c:pt>
                <c:pt idx="13">
                  <c:v>0.30000001192092896</c:v>
                </c:pt>
                <c:pt idx="14">
                  <c:v>0.40000003576278687</c:v>
                </c:pt>
                <c:pt idx="15">
                  <c:v>0.5</c:v>
                </c:pt>
                <c:pt idx="16">
                  <c:v>0.60000002384185791</c:v>
                </c:pt>
                <c:pt idx="17">
                  <c:v>0.70000004768371582</c:v>
                </c:pt>
                <c:pt idx="18">
                  <c:v>0.80000001192092896</c:v>
                </c:pt>
                <c:pt idx="19">
                  <c:v>0.90000003576278687</c:v>
                </c:pt>
                <c:pt idx="20">
                  <c:v>1</c:v>
                </c:pt>
                <c:pt idx="21">
                  <c:v>1.1000000238418579</c:v>
                </c:pt>
                <c:pt idx="22">
                  <c:v>1.2000000476837158</c:v>
                </c:pt>
                <c:pt idx="23">
                  <c:v>1.3000000715255737</c:v>
                </c:pt>
                <c:pt idx="24">
                  <c:v>1.4000000953674316</c:v>
                </c:pt>
                <c:pt idx="25">
                  <c:v>1.5</c:v>
                </c:pt>
                <c:pt idx="26">
                  <c:v>1.6000000238418579</c:v>
                </c:pt>
                <c:pt idx="27">
                  <c:v>1.7000000476837158</c:v>
                </c:pt>
                <c:pt idx="28">
                  <c:v>1.8000000715255737</c:v>
                </c:pt>
                <c:pt idx="29">
                  <c:v>1.9000000953674316</c:v>
                </c:pt>
                <c:pt idx="30">
                  <c:v>2</c:v>
                </c:pt>
                <c:pt idx="31">
                  <c:v>2.1000001430511475</c:v>
                </c:pt>
                <c:pt idx="32">
                  <c:v>2.2000000476837158</c:v>
                </c:pt>
                <c:pt idx="33">
                  <c:v>2.2999999523162842</c:v>
                </c:pt>
                <c:pt idx="34">
                  <c:v>2.4000000953674316</c:v>
                </c:pt>
                <c:pt idx="35">
                  <c:v>2.5</c:v>
                </c:pt>
                <c:pt idx="36">
                  <c:v>2.6000001430511475</c:v>
                </c:pt>
                <c:pt idx="37">
                  <c:v>2.7000000476837158</c:v>
                </c:pt>
                <c:pt idx="38">
                  <c:v>2.7999999523162842</c:v>
                </c:pt>
                <c:pt idx="39">
                  <c:v>2.9000000953674316</c:v>
                </c:pt>
                <c:pt idx="40">
                  <c:v>3</c:v>
                </c:pt>
              </c:numCache>
            </c:numRef>
          </c:cat>
          <c:val>
            <c:numRef>
              <c:f>Reduced!#REF!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1-4517-AC73-3B037E6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0207"/>
        <c:axId val="2136971455"/>
      </c:lineChart>
      <c:catAx>
        <c:axId val="213697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% Change in Fuel Cost ($N$3)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36971455"/>
        <c:crosses val="autoZero"/>
        <c:auto val="1"/>
        <c:lblAlgn val="ctr"/>
        <c:lblOffset val="100"/>
        <c:noMultiLvlLbl val="0"/>
      </c:catAx>
      <c:valAx>
        <c:axId val="2136971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702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solidFill>
                  <a:sysClr val="windowText" lastClr="000000"/>
                </a:solidFill>
                <a:latin typeface="Abadi" panose="020B0604020104020204" pitchFamily="34" charset="0"/>
              </a:rPr>
              <a:t>Fuel</a:t>
            </a:r>
            <a:r>
              <a:rPr lang="en-US" altLang="zh-CN" sz="1800" baseline="0">
                <a:solidFill>
                  <a:sysClr val="windowText" lastClr="000000"/>
                </a:solidFill>
                <a:latin typeface="Abadi" panose="020B0604020104020204" pitchFamily="34" charset="0"/>
              </a:rPr>
              <a:t> Cost and Profit Relationship Under Different Ratios</a:t>
            </a:r>
            <a:endParaRPr lang="en-US" altLang="zh-CN" sz="1800">
              <a:solidFill>
                <a:sysClr val="windowText" lastClr="000000"/>
              </a:solidFill>
              <a:latin typeface="Abadi" panose="020B06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Question4!$B$4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xVal>
            <c:numRef>
              <c:f>Question4!$A$5:$A$45</c:f>
              <c:numCache>
                <c:formatCode>0%</c:formatCode>
                <c:ptCount val="41"/>
                <c:pt idx="0">
                  <c:v>-1</c:v>
                </c:pt>
                <c:pt idx="1">
                  <c:v>-0.89999997615814209</c:v>
                </c:pt>
                <c:pt idx="2">
                  <c:v>-0.80000001192092896</c:v>
                </c:pt>
                <c:pt idx="3">
                  <c:v>-0.69999998807907104</c:v>
                </c:pt>
                <c:pt idx="4">
                  <c:v>-0.60000002384185791</c:v>
                </c:pt>
                <c:pt idx="5">
                  <c:v>-0.5</c:v>
                </c:pt>
                <c:pt idx="6">
                  <c:v>-0.39999997615814209</c:v>
                </c:pt>
                <c:pt idx="7">
                  <c:v>-0.29999998211860657</c:v>
                </c:pt>
                <c:pt idx="8">
                  <c:v>-0.19999998807907104</c:v>
                </c:pt>
                <c:pt idx="9">
                  <c:v>-9.9999986588954926E-2</c:v>
                </c:pt>
                <c:pt idx="10">
                  <c:v>1.4901161193847656E-8</c:v>
                </c:pt>
                <c:pt idx="11">
                  <c:v>0.10000001639127731</c:v>
                </c:pt>
                <c:pt idx="12">
                  <c:v>0.20000001788139343</c:v>
                </c:pt>
                <c:pt idx="13">
                  <c:v>0.30000001192092896</c:v>
                </c:pt>
                <c:pt idx="14">
                  <c:v>0.40000003576278687</c:v>
                </c:pt>
                <c:pt idx="15">
                  <c:v>0.5</c:v>
                </c:pt>
                <c:pt idx="16">
                  <c:v>0.60000002384185791</c:v>
                </c:pt>
                <c:pt idx="17">
                  <c:v>0.70000004768371582</c:v>
                </c:pt>
                <c:pt idx="18">
                  <c:v>0.80000001192092896</c:v>
                </c:pt>
                <c:pt idx="19">
                  <c:v>0.90000003576278687</c:v>
                </c:pt>
                <c:pt idx="20">
                  <c:v>1</c:v>
                </c:pt>
                <c:pt idx="21">
                  <c:v>1.1000000238418579</c:v>
                </c:pt>
                <c:pt idx="22">
                  <c:v>1.2000000476837158</c:v>
                </c:pt>
                <c:pt idx="23">
                  <c:v>1.3000000715255737</c:v>
                </c:pt>
                <c:pt idx="24">
                  <c:v>1.4000000953674316</c:v>
                </c:pt>
                <c:pt idx="25">
                  <c:v>1.5</c:v>
                </c:pt>
                <c:pt idx="26">
                  <c:v>1.6000000238418579</c:v>
                </c:pt>
                <c:pt idx="27">
                  <c:v>1.7000000476837158</c:v>
                </c:pt>
                <c:pt idx="28">
                  <c:v>1.8000000715255737</c:v>
                </c:pt>
                <c:pt idx="29">
                  <c:v>1.9000000953674316</c:v>
                </c:pt>
                <c:pt idx="30">
                  <c:v>2</c:v>
                </c:pt>
                <c:pt idx="31">
                  <c:v>2.1000001430511475</c:v>
                </c:pt>
                <c:pt idx="32">
                  <c:v>2.2000000476837158</c:v>
                </c:pt>
                <c:pt idx="33">
                  <c:v>2.2999999523162842</c:v>
                </c:pt>
                <c:pt idx="34">
                  <c:v>2.4000000953674316</c:v>
                </c:pt>
                <c:pt idx="35">
                  <c:v>2.5</c:v>
                </c:pt>
                <c:pt idx="36">
                  <c:v>2.6000001430511475</c:v>
                </c:pt>
                <c:pt idx="37">
                  <c:v>2.7000000476837158</c:v>
                </c:pt>
                <c:pt idx="38">
                  <c:v>2.7999999523162842</c:v>
                </c:pt>
                <c:pt idx="39">
                  <c:v>2.9000000953674316</c:v>
                </c:pt>
                <c:pt idx="40">
                  <c:v>3</c:v>
                </c:pt>
              </c:numCache>
            </c:numRef>
          </c:xVal>
          <c:yVal>
            <c:numRef>
              <c:f>Question4!$B$5:$B$45</c:f>
              <c:numCache>
                <c:formatCode>_("$"* #,##0_);_("$"* \(#,##0\);_("$"* "-"??_);_(@_)</c:formatCode>
                <c:ptCount val="41"/>
                <c:pt idx="0">
                  <c:v>273682.26</c:v>
                </c:pt>
                <c:pt idx="1">
                  <c:v>264627.53999999998</c:v>
                </c:pt>
                <c:pt idx="2">
                  <c:v>255572.83</c:v>
                </c:pt>
                <c:pt idx="3">
                  <c:v>246518.11</c:v>
                </c:pt>
                <c:pt idx="4">
                  <c:v>237463.4</c:v>
                </c:pt>
                <c:pt idx="5">
                  <c:v>228408.69</c:v>
                </c:pt>
                <c:pt idx="6">
                  <c:v>219353.97</c:v>
                </c:pt>
                <c:pt idx="7">
                  <c:v>210299.25</c:v>
                </c:pt>
                <c:pt idx="8">
                  <c:v>201244.54</c:v>
                </c:pt>
                <c:pt idx="9">
                  <c:v>192189.82</c:v>
                </c:pt>
                <c:pt idx="10">
                  <c:v>183135.11</c:v>
                </c:pt>
                <c:pt idx="11">
                  <c:v>174080.39</c:v>
                </c:pt>
                <c:pt idx="12">
                  <c:v>165025.68</c:v>
                </c:pt>
                <c:pt idx="13">
                  <c:v>155970.96</c:v>
                </c:pt>
                <c:pt idx="14">
                  <c:v>146916.24</c:v>
                </c:pt>
                <c:pt idx="15">
                  <c:v>137861.53</c:v>
                </c:pt>
                <c:pt idx="16">
                  <c:v>128806.81</c:v>
                </c:pt>
                <c:pt idx="17">
                  <c:v>119752.1</c:v>
                </c:pt>
                <c:pt idx="18">
                  <c:v>110697.38</c:v>
                </c:pt>
                <c:pt idx="19">
                  <c:v>101642.67</c:v>
                </c:pt>
                <c:pt idx="20">
                  <c:v>92642.93</c:v>
                </c:pt>
                <c:pt idx="21">
                  <c:v>84332.46</c:v>
                </c:pt>
                <c:pt idx="22">
                  <c:v>76202.61</c:v>
                </c:pt>
                <c:pt idx="23">
                  <c:v>68072.759999999995</c:v>
                </c:pt>
                <c:pt idx="24">
                  <c:v>59942.91</c:v>
                </c:pt>
                <c:pt idx="25">
                  <c:v>51813.07</c:v>
                </c:pt>
                <c:pt idx="26">
                  <c:v>43683.22</c:v>
                </c:pt>
                <c:pt idx="27">
                  <c:v>35553.370000000003</c:v>
                </c:pt>
                <c:pt idx="28">
                  <c:v>27423.52</c:v>
                </c:pt>
                <c:pt idx="29">
                  <c:v>19293.66</c:v>
                </c:pt>
                <c:pt idx="30">
                  <c:v>11163.82</c:v>
                </c:pt>
                <c:pt idx="31">
                  <c:v>3033.96</c:v>
                </c:pt>
                <c:pt idx="32">
                  <c:v>-5095.88</c:v>
                </c:pt>
                <c:pt idx="33">
                  <c:v>-13225.72</c:v>
                </c:pt>
                <c:pt idx="34">
                  <c:v>-21355.58</c:v>
                </c:pt>
                <c:pt idx="35">
                  <c:v>-29485.42</c:v>
                </c:pt>
                <c:pt idx="36">
                  <c:v>-37615.279999999999</c:v>
                </c:pt>
                <c:pt idx="37">
                  <c:v>-45745.120000000003</c:v>
                </c:pt>
                <c:pt idx="38">
                  <c:v>-53874.96</c:v>
                </c:pt>
                <c:pt idx="39">
                  <c:v>-62004.83</c:v>
                </c:pt>
                <c:pt idx="40">
                  <c:v>-70134.67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A-4D5A-9181-BB119348CD19}"/>
            </c:ext>
          </c:extLst>
        </c:ser>
        <c:ser>
          <c:idx val="1"/>
          <c:order val="1"/>
          <c:tx>
            <c:strRef>
              <c:f>Question4!$C$4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BC5908"/>
              </a:solidFill>
              <a:round/>
            </a:ln>
            <a:effectLst/>
          </c:spPr>
          <c:marker>
            <c:symbol val="none"/>
          </c:marker>
          <c:xVal>
            <c:numRef>
              <c:f>Question4!$A$5:$A$45</c:f>
              <c:numCache>
                <c:formatCode>0%</c:formatCode>
                <c:ptCount val="41"/>
                <c:pt idx="0">
                  <c:v>-1</c:v>
                </c:pt>
                <c:pt idx="1">
                  <c:v>-0.89999997615814209</c:v>
                </c:pt>
                <c:pt idx="2">
                  <c:v>-0.80000001192092896</c:v>
                </c:pt>
                <c:pt idx="3">
                  <c:v>-0.69999998807907104</c:v>
                </c:pt>
                <c:pt idx="4">
                  <c:v>-0.60000002384185791</c:v>
                </c:pt>
                <c:pt idx="5">
                  <c:v>-0.5</c:v>
                </c:pt>
                <c:pt idx="6">
                  <c:v>-0.39999997615814209</c:v>
                </c:pt>
                <c:pt idx="7">
                  <c:v>-0.29999998211860657</c:v>
                </c:pt>
                <c:pt idx="8">
                  <c:v>-0.19999998807907104</c:v>
                </c:pt>
                <c:pt idx="9">
                  <c:v>-9.9999986588954926E-2</c:v>
                </c:pt>
                <c:pt idx="10">
                  <c:v>1.4901161193847656E-8</c:v>
                </c:pt>
                <c:pt idx="11">
                  <c:v>0.10000001639127731</c:v>
                </c:pt>
                <c:pt idx="12">
                  <c:v>0.20000001788139343</c:v>
                </c:pt>
                <c:pt idx="13">
                  <c:v>0.30000001192092896</c:v>
                </c:pt>
                <c:pt idx="14">
                  <c:v>0.40000003576278687</c:v>
                </c:pt>
                <c:pt idx="15">
                  <c:v>0.5</c:v>
                </c:pt>
                <c:pt idx="16">
                  <c:v>0.60000002384185791</c:v>
                </c:pt>
                <c:pt idx="17">
                  <c:v>0.70000004768371582</c:v>
                </c:pt>
                <c:pt idx="18">
                  <c:v>0.80000001192092896</c:v>
                </c:pt>
                <c:pt idx="19">
                  <c:v>0.90000003576278687</c:v>
                </c:pt>
                <c:pt idx="20">
                  <c:v>1</c:v>
                </c:pt>
                <c:pt idx="21">
                  <c:v>1.1000000238418579</c:v>
                </c:pt>
                <c:pt idx="22">
                  <c:v>1.2000000476837158</c:v>
                </c:pt>
                <c:pt idx="23">
                  <c:v>1.3000000715255737</c:v>
                </c:pt>
                <c:pt idx="24">
                  <c:v>1.4000000953674316</c:v>
                </c:pt>
                <c:pt idx="25">
                  <c:v>1.5</c:v>
                </c:pt>
                <c:pt idx="26">
                  <c:v>1.6000000238418579</c:v>
                </c:pt>
                <c:pt idx="27">
                  <c:v>1.7000000476837158</c:v>
                </c:pt>
                <c:pt idx="28">
                  <c:v>1.8000000715255737</c:v>
                </c:pt>
                <c:pt idx="29">
                  <c:v>1.9000000953674316</c:v>
                </c:pt>
                <c:pt idx="30">
                  <c:v>2</c:v>
                </c:pt>
                <c:pt idx="31">
                  <c:v>2.1000001430511475</c:v>
                </c:pt>
                <c:pt idx="32">
                  <c:v>2.2000000476837158</c:v>
                </c:pt>
                <c:pt idx="33">
                  <c:v>2.2999999523162842</c:v>
                </c:pt>
                <c:pt idx="34">
                  <c:v>2.4000000953674316</c:v>
                </c:pt>
                <c:pt idx="35">
                  <c:v>2.5</c:v>
                </c:pt>
                <c:pt idx="36">
                  <c:v>2.6000001430511475</c:v>
                </c:pt>
                <c:pt idx="37">
                  <c:v>2.7000000476837158</c:v>
                </c:pt>
                <c:pt idx="38">
                  <c:v>2.7999999523162842</c:v>
                </c:pt>
                <c:pt idx="39">
                  <c:v>2.9000000953674316</c:v>
                </c:pt>
                <c:pt idx="40">
                  <c:v>3</c:v>
                </c:pt>
              </c:numCache>
            </c:numRef>
          </c:xVal>
          <c:yVal>
            <c:numRef>
              <c:f>Question4!$C$5:$C$45</c:f>
              <c:numCache>
                <c:formatCode>_("$"* #,##0_);_("$"* \(#,##0\);_("$"* "-"??_);_(@_)</c:formatCode>
                <c:ptCount val="41"/>
                <c:pt idx="0">
                  <c:v>200096.48</c:v>
                </c:pt>
                <c:pt idx="1">
                  <c:v>198400.34</c:v>
                </c:pt>
                <c:pt idx="2">
                  <c:v>196704.21</c:v>
                </c:pt>
                <c:pt idx="3">
                  <c:v>195008.07</c:v>
                </c:pt>
                <c:pt idx="4">
                  <c:v>193311.93</c:v>
                </c:pt>
                <c:pt idx="5">
                  <c:v>191615.8</c:v>
                </c:pt>
                <c:pt idx="6">
                  <c:v>189919.66</c:v>
                </c:pt>
                <c:pt idx="7">
                  <c:v>188223.52</c:v>
                </c:pt>
                <c:pt idx="8">
                  <c:v>186527.38</c:v>
                </c:pt>
                <c:pt idx="9">
                  <c:v>184831.24</c:v>
                </c:pt>
                <c:pt idx="10">
                  <c:v>183135.11</c:v>
                </c:pt>
                <c:pt idx="11">
                  <c:v>181438.97</c:v>
                </c:pt>
                <c:pt idx="12">
                  <c:v>179742.83</c:v>
                </c:pt>
                <c:pt idx="13">
                  <c:v>178046.7</c:v>
                </c:pt>
                <c:pt idx="14">
                  <c:v>176350.56</c:v>
                </c:pt>
                <c:pt idx="15">
                  <c:v>174654.42</c:v>
                </c:pt>
                <c:pt idx="16">
                  <c:v>172958.28</c:v>
                </c:pt>
                <c:pt idx="17">
                  <c:v>171262.14</c:v>
                </c:pt>
                <c:pt idx="18">
                  <c:v>169566.01</c:v>
                </c:pt>
                <c:pt idx="19">
                  <c:v>167869.87</c:v>
                </c:pt>
                <c:pt idx="20">
                  <c:v>166173.73000000001</c:v>
                </c:pt>
                <c:pt idx="21">
                  <c:v>164477.59</c:v>
                </c:pt>
                <c:pt idx="22">
                  <c:v>162781.46</c:v>
                </c:pt>
                <c:pt idx="23">
                  <c:v>161085.32</c:v>
                </c:pt>
                <c:pt idx="24">
                  <c:v>159389.18</c:v>
                </c:pt>
                <c:pt idx="25">
                  <c:v>157693.04999999999</c:v>
                </c:pt>
                <c:pt idx="26">
                  <c:v>155996.91</c:v>
                </c:pt>
                <c:pt idx="27">
                  <c:v>154300.76999999999</c:v>
                </c:pt>
                <c:pt idx="28">
                  <c:v>152604.63</c:v>
                </c:pt>
                <c:pt idx="29">
                  <c:v>150908.49</c:v>
                </c:pt>
                <c:pt idx="30">
                  <c:v>149212.35999999999</c:v>
                </c:pt>
                <c:pt idx="31">
                  <c:v>147516.22</c:v>
                </c:pt>
                <c:pt idx="32">
                  <c:v>145820.07999999999</c:v>
                </c:pt>
                <c:pt idx="33">
                  <c:v>144123.95000000001</c:v>
                </c:pt>
                <c:pt idx="34">
                  <c:v>142427.81</c:v>
                </c:pt>
                <c:pt idx="35">
                  <c:v>140731.67000000001</c:v>
                </c:pt>
                <c:pt idx="36">
                  <c:v>139035.53</c:v>
                </c:pt>
                <c:pt idx="37">
                  <c:v>137339.39000000001</c:v>
                </c:pt>
                <c:pt idx="38">
                  <c:v>135643.26</c:v>
                </c:pt>
                <c:pt idx="39">
                  <c:v>133947.12</c:v>
                </c:pt>
                <c:pt idx="40">
                  <c:v>132250.98000000001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A-4D5A-9181-BB119348CD19}"/>
            </c:ext>
          </c:extLst>
        </c:ser>
        <c:ser>
          <c:idx val="2"/>
          <c:order val="2"/>
          <c:tx>
            <c:strRef>
              <c:f>Question4!$D$4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Question4!$A$5:$A$45</c:f>
              <c:numCache>
                <c:formatCode>0%</c:formatCode>
                <c:ptCount val="41"/>
                <c:pt idx="0">
                  <c:v>-1</c:v>
                </c:pt>
                <c:pt idx="1">
                  <c:v>-0.89999997615814209</c:v>
                </c:pt>
                <c:pt idx="2">
                  <c:v>-0.80000001192092896</c:v>
                </c:pt>
                <c:pt idx="3">
                  <c:v>-0.69999998807907104</c:v>
                </c:pt>
                <c:pt idx="4">
                  <c:v>-0.60000002384185791</c:v>
                </c:pt>
                <c:pt idx="5">
                  <c:v>-0.5</c:v>
                </c:pt>
                <c:pt idx="6">
                  <c:v>-0.39999997615814209</c:v>
                </c:pt>
                <c:pt idx="7">
                  <c:v>-0.29999998211860657</c:v>
                </c:pt>
                <c:pt idx="8">
                  <c:v>-0.19999998807907104</c:v>
                </c:pt>
                <c:pt idx="9">
                  <c:v>-9.9999986588954926E-2</c:v>
                </c:pt>
                <c:pt idx="10">
                  <c:v>1.4901161193847656E-8</c:v>
                </c:pt>
                <c:pt idx="11">
                  <c:v>0.10000001639127731</c:v>
                </c:pt>
                <c:pt idx="12">
                  <c:v>0.20000001788139343</c:v>
                </c:pt>
                <c:pt idx="13">
                  <c:v>0.30000001192092896</c:v>
                </c:pt>
                <c:pt idx="14">
                  <c:v>0.40000003576278687</c:v>
                </c:pt>
                <c:pt idx="15">
                  <c:v>0.5</c:v>
                </c:pt>
                <c:pt idx="16">
                  <c:v>0.60000002384185791</c:v>
                </c:pt>
                <c:pt idx="17">
                  <c:v>0.70000004768371582</c:v>
                </c:pt>
                <c:pt idx="18">
                  <c:v>0.80000001192092896</c:v>
                </c:pt>
                <c:pt idx="19">
                  <c:v>0.90000003576278687</c:v>
                </c:pt>
                <c:pt idx="20">
                  <c:v>1</c:v>
                </c:pt>
                <c:pt idx="21">
                  <c:v>1.1000000238418579</c:v>
                </c:pt>
                <c:pt idx="22">
                  <c:v>1.2000000476837158</c:v>
                </c:pt>
                <c:pt idx="23">
                  <c:v>1.3000000715255737</c:v>
                </c:pt>
                <c:pt idx="24">
                  <c:v>1.4000000953674316</c:v>
                </c:pt>
                <c:pt idx="25">
                  <c:v>1.5</c:v>
                </c:pt>
                <c:pt idx="26">
                  <c:v>1.6000000238418579</c:v>
                </c:pt>
                <c:pt idx="27">
                  <c:v>1.7000000476837158</c:v>
                </c:pt>
                <c:pt idx="28">
                  <c:v>1.8000000715255737</c:v>
                </c:pt>
                <c:pt idx="29">
                  <c:v>1.9000000953674316</c:v>
                </c:pt>
                <c:pt idx="30">
                  <c:v>2</c:v>
                </c:pt>
                <c:pt idx="31">
                  <c:v>2.1000001430511475</c:v>
                </c:pt>
                <c:pt idx="32">
                  <c:v>2.2000000476837158</c:v>
                </c:pt>
                <c:pt idx="33">
                  <c:v>2.2999999523162842</c:v>
                </c:pt>
                <c:pt idx="34">
                  <c:v>2.4000000953674316</c:v>
                </c:pt>
                <c:pt idx="35">
                  <c:v>2.5</c:v>
                </c:pt>
                <c:pt idx="36">
                  <c:v>2.6000001430511475</c:v>
                </c:pt>
                <c:pt idx="37">
                  <c:v>2.7000000476837158</c:v>
                </c:pt>
                <c:pt idx="38">
                  <c:v>2.7999999523162842</c:v>
                </c:pt>
                <c:pt idx="39">
                  <c:v>2.9000000953674316</c:v>
                </c:pt>
                <c:pt idx="40">
                  <c:v>3</c:v>
                </c:pt>
              </c:numCache>
            </c:numRef>
          </c:xVal>
          <c:yVal>
            <c:numRef>
              <c:f>Question4!$D$5:$D$45</c:f>
              <c:numCache>
                <c:formatCode>_("$"* #,##0_);_("$"* \(#,##0\);_("$"* "-"??_);_(@_)</c:formatCode>
                <c:ptCount val="41"/>
                <c:pt idx="0">
                  <c:v>129797.39</c:v>
                </c:pt>
                <c:pt idx="1">
                  <c:v>134338.79</c:v>
                </c:pt>
                <c:pt idx="2">
                  <c:v>138880.18</c:v>
                </c:pt>
                <c:pt idx="3">
                  <c:v>143520.63</c:v>
                </c:pt>
                <c:pt idx="4">
                  <c:v>149160.46</c:v>
                </c:pt>
                <c:pt idx="5">
                  <c:v>154822.91</c:v>
                </c:pt>
                <c:pt idx="6">
                  <c:v>160485.35</c:v>
                </c:pt>
                <c:pt idx="7">
                  <c:v>166147.79</c:v>
                </c:pt>
                <c:pt idx="8">
                  <c:v>171810.23</c:v>
                </c:pt>
                <c:pt idx="9">
                  <c:v>177472.67</c:v>
                </c:pt>
                <c:pt idx="10">
                  <c:v>183135.11</c:v>
                </c:pt>
                <c:pt idx="11">
                  <c:v>188797.55</c:v>
                </c:pt>
                <c:pt idx="12">
                  <c:v>194459.99</c:v>
                </c:pt>
                <c:pt idx="13">
                  <c:v>200122.43</c:v>
                </c:pt>
                <c:pt idx="14">
                  <c:v>205784.87</c:v>
                </c:pt>
                <c:pt idx="15">
                  <c:v>211447.31</c:v>
                </c:pt>
                <c:pt idx="16">
                  <c:v>217109.75</c:v>
                </c:pt>
                <c:pt idx="17">
                  <c:v>222772.19</c:v>
                </c:pt>
                <c:pt idx="18">
                  <c:v>228434.63</c:v>
                </c:pt>
                <c:pt idx="19">
                  <c:v>234097.07</c:v>
                </c:pt>
                <c:pt idx="20">
                  <c:v>239759.51</c:v>
                </c:pt>
                <c:pt idx="21">
                  <c:v>245421.95</c:v>
                </c:pt>
                <c:pt idx="22">
                  <c:v>251084.4</c:v>
                </c:pt>
                <c:pt idx="23">
                  <c:v>256746.84</c:v>
                </c:pt>
                <c:pt idx="24">
                  <c:v>262409.28000000003</c:v>
                </c:pt>
                <c:pt idx="25">
                  <c:v>268071.71999999997</c:v>
                </c:pt>
                <c:pt idx="26">
                  <c:v>273734.15999999997</c:v>
                </c:pt>
                <c:pt idx="27">
                  <c:v>279396.59999999998</c:v>
                </c:pt>
                <c:pt idx="28">
                  <c:v>285059.03999999998</c:v>
                </c:pt>
                <c:pt idx="29">
                  <c:v>290721.48</c:v>
                </c:pt>
                <c:pt idx="30">
                  <c:v>296383.92</c:v>
                </c:pt>
                <c:pt idx="31">
                  <c:v>302046.37</c:v>
                </c:pt>
                <c:pt idx="32">
                  <c:v>307708.79999999999</c:v>
                </c:pt>
                <c:pt idx="33">
                  <c:v>313371.24</c:v>
                </c:pt>
                <c:pt idx="34">
                  <c:v>319033.68</c:v>
                </c:pt>
                <c:pt idx="35">
                  <c:v>324696.12</c:v>
                </c:pt>
                <c:pt idx="36">
                  <c:v>330358.57</c:v>
                </c:pt>
                <c:pt idx="37">
                  <c:v>336021</c:v>
                </c:pt>
                <c:pt idx="38">
                  <c:v>341683.44</c:v>
                </c:pt>
                <c:pt idx="39">
                  <c:v>347345.89</c:v>
                </c:pt>
                <c:pt idx="40">
                  <c:v>353008.32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A-4D5A-9181-BB119348CD19}"/>
            </c:ext>
          </c:extLst>
        </c:ser>
        <c:ser>
          <c:idx val="3"/>
          <c:order val="3"/>
          <c:tx>
            <c:strRef>
              <c:f>Question4!$E$4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Question4!$A$5:$A$45</c:f>
              <c:numCache>
                <c:formatCode>0%</c:formatCode>
                <c:ptCount val="41"/>
                <c:pt idx="0">
                  <c:v>-1</c:v>
                </c:pt>
                <c:pt idx="1">
                  <c:v>-0.89999997615814209</c:v>
                </c:pt>
                <c:pt idx="2">
                  <c:v>-0.80000001192092896</c:v>
                </c:pt>
                <c:pt idx="3">
                  <c:v>-0.69999998807907104</c:v>
                </c:pt>
                <c:pt idx="4">
                  <c:v>-0.60000002384185791</c:v>
                </c:pt>
                <c:pt idx="5">
                  <c:v>-0.5</c:v>
                </c:pt>
                <c:pt idx="6">
                  <c:v>-0.39999997615814209</c:v>
                </c:pt>
                <c:pt idx="7">
                  <c:v>-0.29999998211860657</c:v>
                </c:pt>
                <c:pt idx="8">
                  <c:v>-0.19999998807907104</c:v>
                </c:pt>
                <c:pt idx="9">
                  <c:v>-9.9999986588954926E-2</c:v>
                </c:pt>
                <c:pt idx="10">
                  <c:v>1.4901161193847656E-8</c:v>
                </c:pt>
                <c:pt idx="11">
                  <c:v>0.10000001639127731</c:v>
                </c:pt>
                <c:pt idx="12">
                  <c:v>0.20000001788139343</c:v>
                </c:pt>
                <c:pt idx="13">
                  <c:v>0.30000001192092896</c:v>
                </c:pt>
                <c:pt idx="14">
                  <c:v>0.40000003576278687</c:v>
                </c:pt>
                <c:pt idx="15">
                  <c:v>0.5</c:v>
                </c:pt>
                <c:pt idx="16">
                  <c:v>0.60000002384185791</c:v>
                </c:pt>
                <c:pt idx="17">
                  <c:v>0.70000004768371582</c:v>
                </c:pt>
                <c:pt idx="18">
                  <c:v>0.80000001192092896</c:v>
                </c:pt>
                <c:pt idx="19">
                  <c:v>0.90000003576278687</c:v>
                </c:pt>
                <c:pt idx="20">
                  <c:v>1</c:v>
                </c:pt>
                <c:pt idx="21">
                  <c:v>1.1000000238418579</c:v>
                </c:pt>
                <c:pt idx="22">
                  <c:v>1.2000000476837158</c:v>
                </c:pt>
                <c:pt idx="23">
                  <c:v>1.3000000715255737</c:v>
                </c:pt>
                <c:pt idx="24">
                  <c:v>1.4000000953674316</c:v>
                </c:pt>
                <c:pt idx="25">
                  <c:v>1.5</c:v>
                </c:pt>
                <c:pt idx="26">
                  <c:v>1.6000000238418579</c:v>
                </c:pt>
                <c:pt idx="27">
                  <c:v>1.7000000476837158</c:v>
                </c:pt>
                <c:pt idx="28">
                  <c:v>1.8000000715255737</c:v>
                </c:pt>
                <c:pt idx="29">
                  <c:v>1.9000000953674316</c:v>
                </c:pt>
                <c:pt idx="30">
                  <c:v>2</c:v>
                </c:pt>
                <c:pt idx="31">
                  <c:v>2.1000001430511475</c:v>
                </c:pt>
                <c:pt idx="32">
                  <c:v>2.2000000476837158</c:v>
                </c:pt>
                <c:pt idx="33">
                  <c:v>2.2999999523162842</c:v>
                </c:pt>
                <c:pt idx="34">
                  <c:v>2.4000000953674316</c:v>
                </c:pt>
                <c:pt idx="35">
                  <c:v>2.5</c:v>
                </c:pt>
                <c:pt idx="36">
                  <c:v>2.6000001430511475</c:v>
                </c:pt>
                <c:pt idx="37">
                  <c:v>2.7000000476837158</c:v>
                </c:pt>
                <c:pt idx="38">
                  <c:v>2.7999999523162842</c:v>
                </c:pt>
                <c:pt idx="39">
                  <c:v>2.9000000953674316</c:v>
                </c:pt>
                <c:pt idx="40">
                  <c:v>3</c:v>
                </c:pt>
              </c:numCache>
            </c:numRef>
          </c:xVal>
          <c:yVal>
            <c:numRef>
              <c:f>Question4!$E$5:$E$45</c:f>
              <c:numCache>
                <c:formatCode>_("$"* #,##0_);_("$"* \(#,##0\);_("$"* "-"??_);_(@_)</c:formatCode>
                <c:ptCount val="41"/>
                <c:pt idx="0">
                  <c:v>63161.39</c:v>
                </c:pt>
                <c:pt idx="1">
                  <c:v>74366.39</c:v>
                </c:pt>
                <c:pt idx="2">
                  <c:v>85571.38</c:v>
                </c:pt>
                <c:pt idx="3">
                  <c:v>96776.38</c:v>
                </c:pt>
                <c:pt idx="4">
                  <c:v>107981.37</c:v>
                </c:pt>
                <c:pt idx="5">
                  <c:v>119186.37</c:v>
                </c:pt>
                <c:pt idx="6">
                  <c:v>131051.04</c:v>
                </c:pt>
                <c:pt idx="7">
                  <c:v>144072.04999999999</c:v>
                </c:pt>
                <c:pt idx="8">
                  <c:v>157093.07</c:v>
                </c:pt>
                <c:pt idx="9">
                  <c:v>170114.09</c:v>
                </c:pt>
                <c:pt idx="10">
                  <c:v>183135.11</c:v>
                </c:pt>
                <c:pt idx="11">
                  <c:v>196156.13</c:v>
                </c:pt>
                <c:pt idx="12">
                  <c:v>209177.15</c:v>
                </c:pt>
                <c:pt idx="13">
                  <c:v>222198.16</c:v>
                </c:pt>
                <c:pt idx="14">
                  <c:v>235219.19</c:v>
                </c:pt>
                <c:pt idx="15">
                  <c:v>248240.2</c:v>
                </c:pt>
                <c:pt idx="16">
                  <c:v>261261.22</c:v>
                </c:pt>
                <c:pt idx="17">
                  <c:v>274282.23999999999</c:v>
                </c:pt>
                <c:pt idx="18">
                  <c:v>287303.26</c:v>
                </c:pt>
                <c:pt idx="19">
                  <c:v>300324.28000000003</c:v>
                </c:pt>
                <c:pt idx="20">
                  <c:v>313345.28999999998</c:v>
                </c:pt>
                <c:pt idx="21">
                  <c:v>326366.31</c:v>
                </c:pt>
                <c:pt idx="22">
                  <c:v>339387.34</c:v>
                </c:pt>
                <c:pt idx="23">
                  <c:v>352408.36</c:v>
                </c:pt>
                <c:pt idx="24">
                  <c:v>365429.38</c:v>
                </c:pt>
                <c:pt idx="25">
                  <c:v>378450.38</c:v>
                </c:pt>
                <c:pt idx="26">
                  <c:v>391471.41</c:v>
                </c:pt>
                <c:pt idx="27">
                  <c:v>404492.43</c:v>
                </c:pt>
                <c:pt idx="28">
                  <c:v>417513.45</c:v>
                </c:pt>
                <c:pt idx="29">
                  <c:v>430534.47</c:v>
                </c:pt>
                <c:pt idx="30">
                  <c:v>443555.48</c:v>
                </c:pt>
                <c:pt idx="31">
                  <c:v>456576.51</c:v>
                </c:pt>
                <c:pt idx="32">
                  <c:v>469597.52</c:v>
                </c:pt>
                <c:pt idx="33">
                  <c:v>482618.53</c:v>
                </c:pt>
                <c:pt idx="34">
                  <c:v>495639.56</c:v>
                </c:pt>
                <c:pt idx="35">
                  <c:v>508660.57</c:v>
                </c:pt>
                <c:pt idx="36">
                  <c:v>521681.61</c:v>
                </c:pt>
                <c:pt idx="37">
                  <c:v>534702.61</c:v>
                </c:pt>
                <c:pt idx="38">
                  <c:v>547723.62</c:v>
                </c:pt>
                <c:pt idx="39">
                  <c:v>560744.66</c:v>
                </c:pt>
                <c:pt idx="40">
                  <c:v>573765.66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A-4D5A-9181-BB119348CD19}"/>
            </c:ext>
          </c:extLst>
        </c:ser>
        <c:ser>
          <c:idx val="4"/>
          <c:order val="4"/>
          <c:tx>
            <c:strRef>
              <c:f>Question4!$F$4</c:f>
              <c:strCache>
                <c:ptCount val="1"/>
                <c:pt idx="0">
                  <c:v>0.615</c:v>
                </c:pt>
              </c:strCache>
            </c:strRef>
          </c:tx>
          <c:spPr>
            <a:ln w="19050" cap="rnd">
              <a:solidFill>
                <a:srgbClr val="E6DB00"/>
              </a:solidFill>
              <a:round/>
            </a:ln>
            <a:effectLst/>
          </c:spPr>
          <c:marker>
            <c:symbol val="none"/>
          </c:marker>
          <c:xVal>
            <c:numRef>
              <c:f>Question4!$A$5:$A$45</c:f>
              <c:numCache>
                <c:formatCode>0%</c:formatCode>
                <c:ptCount val="41"/>
                <c:pt idx="0">
                  <c:v>-1</c:v>
                </c:pt>
                <c:pt idx="1">
                  <c:v>-0.89999997615814209</c:v>
                </c:pt>
                <c:pt idx="2">
                  <c:v>-0.80000001192092896</c:v>
                </c:pt>
                <c:pt idx="3">
                  <c:v>-0.69999998807907104</c:v>
                </c:pt>
                <c:pt idx="4">
                  <c:v>-0.60000002384185791</c:v>
                </c:pt>
                <c:pt idx="5">
                  <c:v>-0.5</c:v>
                </c:pt>
                <c:pt idx="6">
                  <c:v>-0.39999997615814209</c:v>
                </c:pt>
                <c:pt idx="7">
                  <c:v>-0.29999998211860657</c:v>
                </c:pt>
                <c:pt idx="8">
                  <c:v>-0.19999998807907104</c:v>
                </c:pt>
                <c:pt idx="9">
                  <c:v>-9.9999986588954926E-2</c:v>
                </c:pt>
                <c:pt idx="10">
                  <c:v>1.4901161193847656E-8</c:v>
                </c:pt>
                <c:pt idx="11">
                  <c:v>0.10000001639127731</c:v>
                </c:pt>
                <c:pt idx="12">
                  <c:v>0.20000001788139343</c:v>
                </c:pt>
                <c:pt idx="13">
                  <c:v>0.30000001192092896</c:v>
                </c:pt>
                <c:pt idx="14">
                  <c:v>0.40000003576278687</c:v>
                </c:pt>
                <c:pt idx="15">
                  <c:v>0.5</c:v>
                </c:pt>
                <c:pt idx="16">
                  <c:v>0.60000002384185791</c:v>
                </c:pt>
                <c:pt idx="17">
                  <c:v>0.70000004768371582</c:v>
                </c:pt>
                <c:pt idx="18">
                  <c:v>0.80000001192092896</c:v>
                </c:pt>
                <c:pt idx="19">
                  <c:v>0.90000003576278687</c:v>
                </c:pt>
                <c:pt idx="20">
                  <c:v>1</c:v>
                </c:pt>
                <c:pt idx="21">
                  <c:v>1.1000000238418579</c:v>
                </c:pt>
                <c:pt idx="22">
                  <c:v>1.2000000476837158</c:v>
                </c:pt>
                <c:pt idx="23">
                  <c:v>1.3000000715255737</c:v>
                </c:pt>
                <c:pt idx="24">
                  <c:v>1.4000000953674316</c:v>
                </c:pt>
                <c:pt idx="25">
                  <c:v>1.5</c:v>
                </c:pt>
                <c:pt idx="26">
                  <c:v>1.6000000238418579</c:v>
                </c:pt>
                <c:pt idx="27">
                  <c:v>1.7000000476837158</c:v>
                </c:pt>
                <c:pt idx="28">
                  <c:v>1.8000000715255737</c:v>
                </c:pt>
                <c:pt idx="29">
                  <c:v>1.9000000953674316</c:v>
                </c:pt>
                <c:pt idx="30">
                  <c:v>2</c:v>
                </c:pt>
                <c:pt idx="31">
                  <c:v>2.1000001430511475</c:v>
                </c:pt>
                <c:pt idx="32">
                  <c:v>2.2000000476837158</c:v>
                </c:pt>
                <c:pt idx="33">
                  <c:v>2.2999999523162842</c:v>
                </c:pt>
                <c:pt idx="34">
                  <c:v>2.4000000953674316</c:v>
                </c:pt>
                <c:pt idx="35">
                  <c:v>2.5</c:v>
                </c:pt>
                <c:pt idx="36">
                  <c:v>2.6000001430511475</c:v>
                </c:pt>
                <c:pt idx="37">
                  <c:v>2.7000000476837158</c:v>
                </c:pt>
                <c:pt idx="38">
                  <c:v>2.7999999523162842</c:v>
                </c:pt>
                <c:pt idx="39">
                  <c:v>2.9000000953674316</c:v>
                </c:pt>
                <c:pt idx="40">
                  <c:v>3</c:v>
                </c:pt>
              </c:numCache>
            </c:numRef>
          </c:xVal>
          <c:yVal>
            <c:numRef>
              <c:f>Question4!$F$5:$F$45</c:f>
              <c:numCache>
                <c:formatCode>General</c:formatCode>
                <c:ptCount val="41"/>
                <c:pt idx="0">
                  <c:v>183171.75</c:v>
                </c:pt>
                <c:pt idx="1">
                  <c:v>183168.09</c:v>
                </c:pt>
                <c:pt idx="2">
                  <c:v>183164.42</c:v>
                </c:pt>
                <c:pt idx="3">
                  <c:v>183160.76</c:v>
                </c:pt>
                <c:pt idx="4">
                  <c:v>183157.1</c:v>
                </c:pt>
                <c:pt idx="5">
                  <c:v>183153.43</c:v>
                </c:pt>
                <c:pt idx="6">
                  <c:v>183149.77</c:v>
                </c:pt>
                <c:pt idx="7">
                  <c:v>183146.1</c:v>
                </c:pt>
                <c:pt idx="8">
                  <c:v>183142.44</c:v>
                </c:pt>
                <c:pt idx="9">
                  <c:v>183138.77</c:v>
                </c:pt>
                <c:pt idx="10">
                  <c:v>183135.11</c:v>
                </c:pt>
                <c:pt idx="11">
                  <c:v>183131.44</c:v>
                </c:pt>
                <c:pt idx="12">
                  <c:v>183127.78</c:v>
                </c:pt>
                <c:pt idx="13">
                  <c:v>183124.11</c:v>
                </c:pt>
                <c:pt idx="14">
                  <c:v>183120.45</c:v>
                </c:pt>
                <c:pt idx="15">
                  <c:v>183116.78</c:v>
                </c:pt>
                <c:pt idx="16">
                  <c:v>183113.12</c:v>
                </c:pt>
                <c:pt idx="17">
                  <c:v>183109.46</c:v>
                </c:pt>
                <c:pt idx="18">
                  <c:v>183105.79</c:v>
                </c:pt>
                <c:pt idx="19">
                  <c:v>183102.13</c:v>
                </c:pt>
                <c:pt idx="20">
                  <c:v>183098.46</c:v>
                </c:pt>
                <c:pt idx="21">
                  <c:v>183094.8</c:v>
                </c:pt>
                <c:pt idx="22">
                  <c:v>183091.13</c:v>
                </c:pt>
                <c:pt idx="23">
                  <c:v>183087.47</c:v>
                </c:pt>
                <c:pt idx="24">
                  <c:v>183083.8</c:v>
                </c:pt>
                <c:pt idx="25">
                  <c:v>183080.14</c:v>
                </c:pt>
                <c:pt idx="26">
                  <c:v>183076.47</c:v>
                </c:pt>
                <c:pt idx="27">
                  <c:v>183072.81</c:v>
                </c:pt>
                <c:pt idx="28">
                  <c:v>183069.15</c:v>
                </c:pt>
                <c:pt idx="29">
                  <c:v>183065.48</c:v>
                </c:pt>
                <c:pt idx="30">
                  <c:v>183061.82</c:v>
                </c:pt>
                <c:pt idx="31">
                  <c:v>183058.15</c:v>
                </c:pt>
                <c:pt idx="32">
                  <c:v>183054.49</c:v>
                </c:pt>
                <c:pt idx="33">
                  <c:v>183050.82</c:v>
                </c:pt>
                <c:pt idx="34">
                  <c:v>183047.16</c:v>
                </c:pt>
                <c:pt idx="35">
                  <c:v>183043.49</c:v>
                </c:pt>
                <c:pt idx="36">
                  <c:v>183039.83</c:v>
                </c:pt>
                <c:pt idx="37">
                  <c:v>183036.16</c:v>
                </c:pt>
                <c:pt idx="38">
                  <c:v>183032.5</c:v>
                </c:pt>
                <c:pt idx="39">
                  <c:v>183028.84</c:v>
                </c:pt>
                <c:pt idx="40">
                  <c:v>183025.17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A-4D5A-9181-BB119348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28975"/>
        <c:axId val="2129249775"/>
      </c:scatterChart>
      <c:valAx>
        <c:axId val="21292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%</a:t>
                </a:r>
                <a:r>
                  <a:rPr lang="en-US" altLang="zh-CN" sz="1600" b="1" baseline="0"/>
                  <a:t> Change in diesel fuel cost</a:t>
                </a:r>
                <a:endParaRPr lang="en-US" altLang="zh-CN" sz="1600" b="1"/>
              </a:p>
            </c:rich>
          </c:tx>
          <c:layout>
            <c:manualLayout>
              <c:xMode val="edge"/>
              <c:yMode val="edge"/>
              <c:x val="0.36410759678662213"/>
              <c:y val="0.88322125414796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249775"/>
        <c:crosses val="autoZero"/>
        <c:crossBetween val="midCat"/>
      </c:valAx>
      <c:valAx>
        <c:axId val="21292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Profit</a:t>
                </a:r>
              </a:p>
            </c:rich>
          </c:tx>
          <c:layout>
            <c:manualLayout>
              <c:xMode val="edge"/>
              <c:yMode val="edge"/>
              <c:x val="7.2621641249092234E-3"/>
              <c:y val="0.4406243302427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22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92999731242749"/>
          <c:y val="0.31936096745303288"/>
          <c:w val="0.10318837596280855"/>
          <c:h val="0.3649598533911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$K$55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STS_1!$A$5:$A$17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STS_1!$K$5:$K$17</c:f>
              <c:numCache>
                <c:formatCode>General</c:formatCode>
                <c:ptCount val="13"/>
                <c:pt idx="0">
                  <c:v>194695.47</c:v>
                </c:pt>
                <c:pt idx="1">
                  <c:v>190956.07</c:v>
                </c:pt>
                <c:pt idx="2">
                  <c:v>189730.54</c:v>
                </c:pt>
                <c:pt idx="3">
                  <c:v>188505.02</c:v>
                </c:pt>
                <c:pt idx="4">
                  <c:v>187279.5</c:v>
                </c:pt>
                <c:pt idx="5">
                  <c:v>186053.97</c:v>
                </c:pt>
                <c:pt idx="6">
                  <c:v>184924.52</c:v>
                </c:pt>
                <c:pt idx="7">
                  <c:v>183961.38</c:v>
                </c:pt>
                <c:pt idx="8">
                  <c:v>183135.11</c:v>
                </c:pt>
                <c:pt idx="9">
                  <c:v>183135.11</c:v>
                </c:pt>
                <c:pt idx="10">
                  <c:v>183135.11</c:v>
                </c:pt>
                <c:pt idx="11">
                  <c:v>183135.11</c:v>
                </c:pt>
                <c:pt idx="12">
                  <c:v>183135.11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9-4B19-A890-02F0F67D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47952"/>
        <c:axId val="834523296"/>
      </c:lineChart>
      <c:catAx>
        <c:axId val="149524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($C$17)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523296"/>
        <c:crosses val="autoZero"/>
        <c:auto val="1"/>
        <c:lblAlgn val="ctr"/>
        <c:lblOffset val="100"/>
        <c:noMultiLvlLbl val="0"/>
      </c:catAx>
      <c:valAx>
        <c:axId val="8345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247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$K$55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STS_2!$A$5:$A$35</c:f>
              <c:numCache>
                <c:formatCode>General</c:formatCode>
                <c:ptCount val="31"/>
                <c:pt idx="0">
                  <c:v>29</c:v>
                </c:pt>
                <c:pt idx="1">
                  <c:v>29.100000381469727</c:v>
                </c:pt>
                <c:pt idx="2">
                  <c:v>29.200000762939453</c:v>
                </c:pt>
                <c:pt idx="3">
                  <c:v>29.299999237060547</c:v>
                </c:pt>
                <c:pt idx="4">
                  <c:v>29.399999618530273</c:v>
                </c:pt>
                <c:pt idx="5">
                  <c:v>29.5</c:v>
                </c:pt>
                <c:pt idx="6">
                  <c:v>29.600000381469727</c:v>
                </c:pt>
                <c:pt idx="7">
                  <c:v>29.700000762939453</c:v>
                </c:pt>
                <c:pt idx="8">
                  <c:v>29.799999237060547</c:v>
                </c:pt>
                <c:pt idx="9">
                  <c:v>29.899999618530273</c:v>
                </c:pt>
                <c:pt idx="10">
                  <c:v>30</c:v>
                </c:pt>
                <c:pt idx="11">
                  <c:v>30.100000381469727</c:v>
                </c:pt>
                <c:pt idx="12">
                  <c:v>30.200000762939453</c:v>
                </c:pt>
                <c:pt idx="13">
                  <c:v>30.299999237060547</c:v>
                </c:pt>
                <c:pt idx="14">
                  <c:v>30.399999618530273</c:v>
                </c:pt>
                <c:pt idx="15">
                  <c:v>30.5</c:v>
                </c:pt>
                <c:pt idx="16">
                  <c:v>30.600000381469727</c:v>
                </c:pt>
                <c:pt idx="17">
                  <c:v>30.700000762939453</c:v>
                </c:pt>
                <c:pt idx="18">
                  <c:v>30.799999237060547</c:v>
                </c:pt>
                <c:pt idx="19">
                  <c:v>30.899999618530273</c:v>
                </c:pt>
                <c:pt idx="20">
                  <c:v>31</c:v>
                </c:pt>
                <c:pt idx="21">
                  <c:v>31.100000381469727</c:v>
                </c:pt>
                <c:pt idx="22">
                  <c:v>31.200000762939453</c:v>
                </c:pt>
                <c:pt idx="23">
                  <c:v>31.299999237060547</c:v>
                </c:pt>
                <c:pt idx="24">
                  <c:v>31.399999618530273</c:v>
                </c:pt>
                <c:pt idx="25">
                  <c:v>31.5</c:v>
                </c:pt>
                <c:pt idx="26">
                  <c:v>31.600000381469727</c:v>
                </c:pt>
                <c:pt idx="27">
                  <c:v>31.700000762939453</c:v>
                </c:pt>
                <c:pt idx="28">
                  <c:v>31.799999237060547</c:v>
                </c:pt>
                <c:pt idx="29">
                  <c:v>31.899999618530273</c:v>
                </c:pt>
                <c:pt idx="30">
                  <c:v>32</c:v>
                </c:pt>
              </c:numCache>
            </c:numRef>
          </c:cat>
          <c:val>
            <c:numRef>
              <c:f>STS_2!$K$5:$K$35</c:f>
              <c:numCache>
                <c:formatCode>General</c:formatCode>
                <c:ptCount val="31"/>
                <c:pt idx="0">
                  <c:v>184924.52</c:v>
                </c:pt>
                <c:pt idx="1">
                  <c:v>184826.4</c:v>
                </c:pt>
                <c:pt idx="2">
                  <c:v>184728.28</c:v>
                </c:pt>
                <c:pt idx="3">
                  <c:v>184630.16</c:v>
                </c:pt>
                <c:pt idx="4">
                  <c:v>184532.04</c:v>
                </c:pt>
                <c:pt idx="5">
                  <c:v>184436.59</c:v>
                </c:pt>
                <c:pt idx="6">
                  <c:v>184341.55</c:v>
                </c:pt>
                <c:pt idx="7">
                  <c:v>184246.51</c:v>
                </c:pt>
                <c:pt idx="8">
                  <c:v>184151.47</c:v>
                </c:pt>
                <c:pt idx="9">
                  <c:v>184056.42</c:v>
                </c:pt>
                <c:pt idx="10">
                  <c:v>183961.38</c:v>
                </c:pt>
                <c:pt idx="11">
                  <c:v>183866.34</c:v>
                </c:pt>
                <c:pt idx="12">
                  <c:v>183771.3</c:v>
                </c:pt>
                <c:pt idx="13">
                  <c:v>183676.26</c:v>
                </c:pt>
                <c:pt idx="14">
                  <c:v>183581.21</c:v>
                </c:pt>
                <c:pt idx="15">
                  <c:v>183486.17</c:v>
                </c:pt>
                <c:pt idx="16">
                  <c:v>183391.13</c:v>
                </c:pt>
                <c:pt idx="17">
                  <c:v>183296.09</c:v>
                </c:pt>
                <c:pt idx="18">
                  <c:v>183201.05</c:v>
                </c:pt>
                <c:pt idx="19">
                  <c:v>183150.34</c:v>
                </c:pt>
                <c:pt idx="20">
                  <c:v>183135.11</c:v>
                </c:pt>
                <c:pt idx="21">
                  <c:v>183135.11</c:v>
                </c:pt>
                <c:pt idx="22">
                  <c:v>183135.11</c:v>
                </c:pt>
                <c:pt idx="23">
                  <c:v>183135.11</c:v>
                </c:pt>
                <c:pt idx="24">
                  <c:v>183135.11</c:v>
                </c:pt>
                <c:pt idx="25">
                  <c:v>183135.11</c:v>
                </c:pt>
                <c:pt idx="26">
                  <c:v>183135.11</c:v>
                </c:pt>
                <c:pt idx="27">
                  <c:v>183135.11</c:v>
                </c:pt>
                <c:pt idx="28">
                  <c:v>183135.11</c:v>
                </c:pt>
                <c:pt idx="29">
                  <c:v>183135.11</c:v>
                </c:pt>
                <c:pt idx="30">
                  <c:v>183135.11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C-484B-822F-50F403598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067504"/>
        <c:axId val="1487085168"/>
      </c:lineChart>
      <c:catAx>
        <c:axId val="78006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($C$17)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085168"/>
        <c:crosses val="autoZero"/>
        <c:auto val="1"/>
        <c:lblAlgn val="ctr"/>
        <c:lblOffset val="100"/>
        <c:noMultiLvlLbl val="0"/>
      </c:catAx>
      <c:valAx>
        <c:axId val="148708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067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STS_3!$K$1</c:f>
          <c:strCache>
            <c:ptCount val="1"/>
            <c:pt idx="0">
              <c:v>Sensitivity of $K$55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STS_3!$A$5:$A$35</c:f>
              <c:numCache>
                <c:formatCode>General</c:formatCode>
                <c:ptCount val="3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0.90000003576278687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1.3000000715255737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</c:v>
                </c:pt>
                <c:pt idx="21">
                  <c:v>2.1000001430511475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2.6000001430511475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</c:numCache>
            </c:numRef>
          </c:cat>
          <c:val>
            <c:numRef>
              <c:f>STS_3!$K$5:$K$35</c:f>
              <c:numCache>
                <c:formatCode>General</c:formatCode>
                <c:ptCount val="31"/>
                <c:pt idx="0">
                  <c:v>183135.11</c:v>
                </c:pt>
                <c:pt idx="1">
                  <c:v>188797.55</c:v>
                </c:pt>
                <c:pt idx="2">
                  <c:v>194459.99</c:v>
                </c:pt>
                <c:pt idx="3">
                  <c:v>200122.43</c:v>
                </c:pt>
                <c:pt idx="4">
                  <c:v>205784.87</c:v>
                </c:pt>
                <c:pt idx="5">
                  <c:v>211447.31</c:v>
                </c:pt>
                <c:pt idx="6">
                  <c:v>217109.75</c:v>
                </c:pt>
                <c:pt idx="7">
                  <c:v>222772.19</c:v>
                </c:pt>
                <c:pt idx="8">
                  <c:v>228434.63</c:v>
                </c:pt>
                <c:pt idx="9">
                  <c:v>234097.07</c:v>
                </c:pt>
                <c:pt idx="10">
                  <c:v>239759.51</c:v>
                </c:pt>
                <c:pt idx="11">
                  <c:v>245421.95</c:v>
                </c:pt>
                <c:pt idx="12">
                  <c:v>251084.4</c:v>
                </c:pt>
                <c:pt idx="13">
                  <c:v>256746.84</c:v>
                </c:pt>
                <c:pt idx="14">
                  <c:v>262409.27</c:v>
                </c:pt>
                <c:pt idx="15">
                  <c:v>268071.71999999997</c:v>
                </c:pt>
                <c:pt idx="16">
                  <c:v>273734.15999999997</c:v>
                </c:pt>
                <c:pt idx="17">
                  <c:v>279396.59999999998</c:v>
                </c:pt>
                <c:pt idx="18">
                  <c:v>285059.03999999998</c:v>
                </c:pt>
                <c:pt idx="19">
                  <c:v>290721.48</c:v>
                </c:pt>
                <c:pt idx="20">
                  <c:v>296383.92</c:v>
                </c:pt>
                <c:pt idx="21">
                  <c:v>302046.37</c:v>
                </c:pt>
                <c:pt idx="22">
                  <c:v>307708.79999999999</c:v>
                </c:pt>
                <c:pt idx="23">
                  <c:v>313371.24</c:v>
                </c:pt>
                <c:pt idx="24">
                  <c:v>319033.68</c:v>
                </c:pt>
                <c:pt idx="25">
                  <c:v>324696.12</c:v>
                </c:pt>
                <c:pt idx="26">
                  <c:v>330358.57</c:v>
                </c:pt>
                <c:pt idx="27">
                  <c:v>336021</c:v>
                </c:pt>
                <c:pt idx="28">
                  <c:v>341683.44</c:v>
                </c:pt>
                <c:pt idx="29">
                  <c:v>347345.89</c:v>
                </c:pt>
                <c:pt idx="30">
                  <c:v>353008.32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E-425F-8986-1CD91C8F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859504"/>
        <c:axId val="1660644016"/>
      </c:lineChart>
      <c:catAx>
        <c:axId val="174685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($D$4)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644016"/>
        <c:crosses val="autoZero"/>
        <c:auto val="1"/>
        <c:lblAlgn val="ctr"/>
        <c:lblOffset val="100"/>
        <c:noMultiLvlLbl val="0"/>
      </c:catAx>
      <c:valAx>
        <c:axId val="166064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859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STS_4!$K$1</c:f>
          <c:strCache>
            <c:ptCount val="1"/>
            <c:pt idx="0">
              <c:v>Sensitivity of $K$55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STS_4!$A$5:$A$104</c:f>
              <c:numCache>
                <c:formatCode>0%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STS_4!$K$5:$K$104</c:f>
              <c:numCache>
                <c:formatCode>General</c:formatCode>
                <c:ptCount val="100"/>
                <c:pt idx="0">
                  <c:v>239759.51</c:v>
                </c:pt>
                <c:pt idx="1">
                  <c:v>296383.92</c:v>
                </c:pt>
                <c:pt idx="2">
                  <c:v>353008.32</c:v>
                </c:pt>
                <c:pt idx="3">
                  <c:v>409632.73</c:v>
                </c:pt>
                <c:pt idx="4">
                  <c:v>466257.13</c:v>
                </c:pt>
                <c:pt idx="5">
                  <c:v>522881.54</c:v>
                </c:pt>
                <c:pt idx="6">
                  <c:v>579505.93999999994</c:v>
                </c:pt>
                <c:pt idx="7">
                  <c:v>636130.35</c:v>
                </c:pt>
                <c:pt idx="8">
                  <c:v>692754.75</c:v>
                </c:pt>
                <c:pt idx="9">
                  <c:v>749379.16</c:v>
                </c:pt>
                <c:pt idx="10">
                  <c:v>806003.56</c:v>
                </c:pt>
                <c:pt idx="11">
                  <c:v>862627.97</c:v>
                </c:pt>
                <c:pt idx="12">
                  <c:v>919252.37</c:v>
                </c:pt>
                <c:pt idx="13">
                  <c:v>975876.78</c:v>
                </c:pt>
                <c:pt idx="14">
                  <c:v>1032501.18</c:v>
                </c:pt>
                <c:pt idx="15">
                  <c:v>1089125.5900000001</c:v>
                </c:pt>
                <c:pt idx="16">
                  <c:v>1145749.99</c:v>
                </c:pt>
                <c:pt idx="17">
                  <c:v>1202374.3999999999</c:v>
                </c:pt>
                <c:pt idx="18">
                  <c:v>1258998.8</c:v>
                </c:pt>
                <c:pt idx="19">
                  <c:v>1315623.21</c:v>
                </c:pt>
                <c:pt idx="20">
                  <c:v>1372247.61</c:v>
                </c:pt>
                <c:pt idx="21">
                  <c:v>1428872.02</c:v>
                </c:pt>
                <c:pt idx="22">
                  <c:v>1485496.42</c:v>
                </c:pt>
                <c:pt idx="23">
                  <c:v>1542120.83</c:v>
                </c:pt>
                <c:pt idx="24">
                  <c:v>1598745.23</c:v>
                </c:pt>
                <c:pt idx="25">
                  <c:v>1655369.63</c:v>
                </c:pt>
                <c:pt idx="26">
                  <c:v>1711994.04</c:v>
                </c:pt>
                <c:pt idx="27">
                  <c:v>1768618.44</c:v>
                </c:pt>
                <c:pt idx="28">
                  <c:v>1825242.85</c:v>
                </c:pt>
                <c:pt idx="29">
                  <c:v>1881867.25</c:v>
                </c:pt>
                <c:pt idx="30">
                  <c:v>1938491.66</c:v>
                </c:pt>
                <c:pt idx="31">
                  <c:v>1995116.06</c:v>
                </c:pt>
                <c:pt idx="32">
                  <c:v>2051740.47</c:v>
                </c:pt>
                <c:pt idx="33">
                  <c:v>2108364.87</c:v>
                </c:pt>
                <c:pt idx="34">
                  <c:v>2164989.2799999998</c:v>
                </c:pt>
                <c:pt idx="35">
                  <c:v>2221613.6800000002</c:v>
                </c:pt>
                <c:pt idx="36">
                  <c:v>2278238.09</c:v>
                </c:pt>
                <c:pt idx="37">
                  <c:v>2334862.4900000002</c:v>
                </c:pt>
                <c:pt idx="38">
                  <c:v>2391486.9</c:v>
                </c:pt>
                <c:pt idx="39">
                  <c:v>2448111.2999999998</c:v>
                </c:pt>
                <c:pt idx="40">
                  <c:v>2504735.71</c:v>
                </c:pt>
                <c:pt idx="41">
                  <c:v>2561360.11</c:v>
                </c:pt>
                <c:pt idx="42">
                  <c:v>2617984.52</c:v>
                </c:pt>
                <c:pt idx="43">
                  <c:v>2674608.92</c:v>
                </c:pt>
                <c:pt idx="44">
                  <c:v>2731233.33</c:v>
                </c:pt>
                <c:pt idx="45">
                  <c:v>2787857.73</c:v>
                </c:pt>
                <c:pt idx="46">
                  <c:v>2844482.14</c:v>
                </c:pt>
                <c:pt idx="47">
                  <c:v>2901106.54</c:v>
                </c:pt>
                <c:pt idx="48">
                  <c:v>2957730.95</c:v>
                </c:pt>
                <c:pt idx="49">
                  <c:v>3014355.35</c:v>
                </c:pt>
                <c:pt idx="50">
                  <c:v>3070979.76</c:v>
                </c:pt>
                <c:pt idx="51">
                  <c:v>3127604.16</c:v>
                </c:pt>
                <c:pt idx="52">
                  <c:v>3184228.57</c:v>
                </c:pt>
                <c:pt idx="53">
                  <c:v>3240852.97</c:v>
                </c:pt>
                <c:pt idx="54">
                  <c:v>3297477.38</c:v>
                </c:pt>
                <c:pt idx="55">
                  <c:v>3354101.78</c:v>
                </c:pt>
                <c:pt idx="56">
                  <c:v>3410726.19</c:v>
                </c:pt>
                <c:pt idx="57">
                  <c:v>3467350.59</c:v>
                </c:pt>
                <c:pt idx="58">
                  <c:v>3523975</c:v>
                </c:pt>
                <c:pt idx="59">
                  <c:v>3580599.4</c:v>
                </c:pt>
                <c:pt idx="60">
                  <c:v>3637223.81</c:v>
                </c:pt>
                <c:pt idx="61">
                  <c:v>3693848.21</c:v>
                </c:pt>
                <c:pt idx="62">
                  <c:v>3750472.62</c:v>
                </c:pt>
                <c:pt idx="63">
                  <c:v>3807097.02</c:v>
                </c:pt>
                <c:pt idx="64">
                  <c:v>3863721.43</c:v>
                </c:pt>
                <c:pt idx="65">
                  <c:v>3920345.83</c:v>
                </c:pt>
                <c:pt idx="66">
                  <c:v>3976970.2400000002</c:v>
                </c:pt>
                <c:pt idx="67">
                  <c:v>4033594.64</c:v>
                </c:pt>
                <c:pt idx="68">
                  <c:v>4090219.05</c:v>
                </c:pt>
                <c:pt idx="69">
                  <c:v>4146843.45</c:v>
                </c:pt>
                <c:pt idx="70">
                  <c:v>4203467.8499999996</c:v>
                </c:pt>
                <c:pt idx="71">
                  <c:v>4260092.26</c:v>
                </c:pt>
                <c:pt idx="72">
                  <c:v>4316716.66</c:v>
                </c:pt>
                <c:pt idx="73">
                  <c:v>4373341.07</c:v>
                </c:pt>
                <c:pt idx="74">
                  <c:v>4429965.47</c:v>
                </c:pt>
                <c:pt idx="75">
                  <c:v>4486589.88</c:v>
                </c:pt>
                <c:pt idx="76">
                  <c:v>4543214.28</c:v>
                </c:pt>
                <c:pt idx="77">
                  <c:v>4599838.6900000004</c:v>
                </c:pt>
                <c:pt idx="78">
                  <c:v>4656463.09</c:v>
                </c:pt>
                <c:pt idx="79">
                  <c:v>4713087.5</c:v>
                </c:pt>
                <c:pt idx="80">
                  <c:v>4769711.9000000004</c:v>
                </c:pt>
                <c:pt idx="81">
                  <c:v>4826336.3099999996</c:v>
                </c:pt>
                <c:pt idx="82">
                  <c:v>4882960.71</c:v>
                </c:pt>
                <c:pt idx="83">
                  <c:v>4939585.12</c:v>
                </c:pt>
                <c:pt idx="84">
                  <c:v>4996209.5199999996</c:v>
                </c:pt>
                <c:pt idx="85">
                  <c:v>5052833.93</c:v>
                </c:pt>
                <c:pt idx="86">
                  <c:v>5109458.33</c:v>
                </c:pt>
                <c:pt idx="87">
                  <c:v>5166082.74</c:v>
                </c:pt>
                <c:pt idx="88">
                  <c:v>5222707.1399999997</c:v>
                </c:pt>
                <c:pt idx="89">
                  <c:v>5279331.55</c:v>
                </c:pt>
                <c:pt idx="90">
                  <c:v>5335955.95</c:v>
                </c:pt>
                <c:pt idx="91">
                  <c:v>5392580.3600000003</c:v>
                </c:pt>
                <c:pt idx="92">
                  <c:v>5449204.7599999998</c:v>
                </c:pt>
                <c:pt idx="93">
                  <c:v>5505829.1699999999</c:v>
                </c:pt>
                <c:pt idx="94">
                  <c:v>5562453.5700000003</c:v>
                </c:pt>
                <c:pt idx="95">
                  <c:v>5619077.9800000004</c:v>
                </c:pt>
                <c:pt idx="96">
                  <c:v>5675702.3799999999</c:v>
                </c:pt>
                <c:pt idx="97">
                  <c:v>5732326.79</c:v>
                </c:pt>
                <c:pt idx="98">
                  <c:v>5788951.1900000004</c:v>
                </c:pt>
                <c:pt idx="99">
                  <c:v>5845575.5999999996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F-461D-806D-160AA178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325728"/>
        <c:axId val="1660640688"/>
      </c:lineChart>
      <c:catAx>
        <c:axId val="7833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($D$4)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60640688"/>
        <c:crosses val="autoZero"/>
        <c:auto val="1"/>
        <c:lblAlgn val="ctr"/>
        <c:lblOffset val="100"/>
        <c:noMultiLvlLbl val="0"/>
      </c:catAx>
      <c:valAx>
        <c:axId val="166064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3257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STS_5!$K$1</c:f>
          <c:strCache>
            <c:ptCount val="1"/>
            <c:pt idx="0">
              <c:v>Sensitivity of $K$55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STS_5!$A$5:$A$104</c:f>
              <c:numCache>
                <c:formatCode>#,##0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STS_5!$K$5:$K$104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B-4BC7-9EF2-DFDB3C79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091487"/>
        <c:axId val="1828092319"/>
      </c:lineChart>
      <c:catAx>
        <c:axId val="182809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Input ($B$33)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28092319"/>
        <c:crosses val="autoZero"/>
        <c:auto val="1"/>
        <c:lblAlgn val="ctr"/>
        <c:lblOffset val="100"/>
        <c:noMultiLvlLbl val="0"/>
      </c:catAx>
      <c:valAx>
        <c:axId val="18280923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0914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473622</xdr:colOff>
      <xdr:row>29</xdr:row>
      <xdr:rowOff>24961</xdr:rowOff>
    </xdr:from>
    <xdr:to>
      <xdr:col>13</xdr:col>
      <xdr:colOff>473622</xdr:colOff>
      <xdr:row>46</xdr:row>
      <xdr:rowOff>129737</xdr:rowOff>
    </xdr:to>
    <xdr:graphicFrame macro="">
      <xdr:nvGraphicFramePr>
        <xdr:cNvPr id="2" name="STS_8_Chart">
          <a:extLst>
            <a:ext uri="{FF2B5EF4-FFF2-40B4-BE49-F238E27FC236}">
              <a16:creationId xmlns:a16="http://schemas.microsoft.com/office/drawing/2014/main" id="{5C8279A3-175F-4B60-AD1F-78B497463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523875</xdr:colOff>
      <xdr:row>3</xdr:row>
      <xdr:rowOff>85725</xdr:rowOff>
    </xdr:from>
    <xdr:to>
      <xdr:col>15</xdr:col>
      <xdr:colOff>523875</xdr:colOff>
      <xdr:row>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EF9F34-C565-4EAA-9C44-45D490872BDD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When you select an output from the dropdown list in cell $K$4, the chart will adapt to that output.</a:t>
          </a:r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523875</xdr:colOff>
      <xdr:row>53</xdr:row>
      <xdr:rowOff>152400</xdr:rowOff>
    </xdr:from>
    <xdr:to>
      <xdr:col>17</xdr:col>
      <xdr:colOff>523875</xdr:colOff>
      <xdr:row>71</xdr:row>
      <xdr:rowOff>95250</xdr:rowOff>
    </xdr:to>
    <xdr:graphicFrame macro="">
      <xdr:nvGraphicFramePr>
        <xdr:cNvPr id="2" name="STS_9_Chart">
          <a:extLst>
            <a:ext uri="{FF2B5EF4-FFF2-40B4-BE49-F238E27FC236}">
              <a16:creationId xmlns:a16="http://schemas.microsoft.com/office/drawing/2014/main" id="{5F0D0933-650A-4E0D-81C6-2FF6E4BDA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523875</xdr:colOff>
      <xdr:row>3</xdr:row>
      <xdr:rowOff>85725</xdr:rowOff>
    </xdr:from>
    <xdr:to>
      <xdr:col>15</xdr:col>
      <xdr:colOff>523875</xdr:colOff>
      <xdr:row>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372E76-D496-4B09-AD0A-898035C59B8D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When you select an output from the dropdown list in cell $K$4, the chart will adapt to that output.</a:t>
          </a:r>
          <a:endParaRPr lang="zh-CN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523875</xdr:colOff>
      <xdr:row>53</xdr:row>
      <xdr:rowOff>152400</xdr:rowOff>
    </xdr:from>
    <xdr:to>
      <xdr:col>17</xdr:col>
      <xdr:colOff>523875</xdr:colOff>
      <xdr:row>71</xdr:row>
      <xdr:rowOff>95250</xdr:rowOff>
    </xdr:to>
    <xdr:graphicFrame macro="">
      <xdr:nvGraphicFramePr>
        <xdr:cNvPr id="2" name="STS_10_Chart">
          <a:extLst>
            <a:ext uri="{FF2B5EF4-FFF2-40B4-BE49-F238E27FC236}">
              <a16:creationId xmlns:a16="http://schemas.microsoft.com/office/drawing/2014/main" id="{ACFEA7CF-DEED-4665-B188-4971B42C0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523875</xdr:colOff>
      <xdr:row>3</xdr:row>
      <xdr:rowOff>85725</xdr:rowOff>
    </xdr:from>
    <xdr:to>
      <xdr:col>15</xdr:col>
      <xdr:colOff>523875</xdr:colOff>
      <xdr:row>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D94F9E-EB5D-4A87-8927-53E663F69433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When you select an output from the dropdown list in cell $K$4, the chart will adapt to that output.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33</xdr:col>
      <xdr:colOff>266700</xdr:colOff>
      <xdr:row>55</xdr:row>
      <xdr:rowOff>66675</xdr:rowOff>
    </xdr:from>
    <xdr:to>
      <xdr:col>41</xdr:col>
      <xdr:colOff>266700</xdr:colOff>
      <xdr:row>73</xdr:row>
      <xdr:rowOff>9525</xdr:rowOff>
    </xdr:to>
    <xdr:graphicFrame macro="">
      <xdr:nvGraphicFramePr>
        <xdr:cNvPr id="2" name="STS_11_Chart1">
          <a:extLst>
            <a:ext uri="{FF2B5EF4-FFF2-40B4-BE49-F238E27FC236}">
              <a16:creationId xmlns:a16="http://schemas.microsoft.com/office/drawing/2014/main" id="{370370F5-7407-4CC0-8328-0A16D1D89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42</xdr:col>
      <xdr:colOff>266700</xdr:colOff>
      <xdr:row>55</xdr:row>
      <xdr:rowOff>66675</xdr:rowOff>
    </xdr:from>
    <xdr:to>
      <xdr:col>50</xdr:col>
      <xdr:colOff>266700</xdr:colOff>
      <xdr:row>73</xdr:row>
      <xdr:rowOff>9525</xdr:rowOff>
    </xdr:to>
    <xdr:graphicFrame macro="">
      <xdr:nvGraphicFramePr>
        <xdr:cNvPr id="3" name="STS_11_Chart2">
          <a:extLst>
            <a:ext uri="{FF2B5EF4-FFF2-40B4-BE49-F238E27FC236}">
              <a16:creationId xmlns:a16="http://schemas.microsoft.com/office/drawing/2014/main" id="{6FFF7D05-8365-486D-BE08-4488D8DCF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266700</xdr:colOff>
      <xdr:row>3</xdr:row>
      <xdr:rowOff>85725</xdr:rowOff>
    </xdr:from>
    <xdr:to>
      <xdr:col>46</xdr:col>
      <xdr:colOff>266700</xdr:colOff>
      <xdr:row>11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B561CE-C1A6-494A-B02D-E5CC159B61B1}"/>
            </a:ext>
          </a:extLst>
        </xdr:cNvPr>
        <xdr:cNvSpPr txBox="1"/>
      </xdr:nvSpPr>
      <xdr:spPr>
        <a:xfrm>
          <a:off x="24850725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By making appropriate selections in cells $AH$4, $AI$4, $AL$4, and $AM$4, you can chart any row (in left chart) or column (in right chart) of any table to the left.</a:t>
          </a:r>
          <a:endParaRPr lang="zh-CN" altLang="en-US" sz="1100"/>
        </a:p>
      </xdr:txBody>
    </xdr:sp>
    <xdr:clientData/>
  </xdr:twoCellAnchor>
  <xdr:twoCellAnchor>
    <xdr:from>
      <xdr:col>7</xdr:col>
      <xdr:colOff>247651</xdr:colOff>
      <xdr:row>7</xdr:row>
      <xdr:rowOff>57150</xdr:rowOff>
    </xdr:from>
    <xdr:to>
      <xdr:col>21</xdr:col>
      <xdr:colOff>457201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F0DFA5-29CF-432D-8DAA-D189B6ACD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571500</xdr:colOff>
      <xdr:row>21</xdr:row>
      <xdr:rowOff>0</xdr:rowOff>
    </xdr:from>
    <xdr:to>
      <xdr:col>17</xdr:col>
      <xdr:colOff>571500</xdr:colOff>
      <xdr:row>38</xdr:row>
      <xdr:rowOff>104775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4A03124D-1F5B-461F-B6F7-CE49EC409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571500</xdr:colOff>
      <xdr:row>3</xdr:row>
      <xdr:rowOff>85725</xdr:rowOff>
    </xdr:from>
    <xdr:to>
      <xdr:col>15</xdr:col>
      <xdr:colOff>571500</xdr:colOff>
      <xdr:row>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361D3A-C8D9-4569-A77E-847842FF4747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571500</xdr:colOff>
      <xdr:row>42</xdr:row>
      <xdr:rowOff>28575</xdr:rowOff>
    </xdr:from>
    <xdr:to>
      <xdr:col>17</xdr:col>
      <xdr:colOff>571500</xdr:colOff>
      <xdr:row>59</xdr:row>
      <xdr:rowOff>133350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2BADA866-7EAA-4FCD-B5AB-051B3F5B4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571500</xdr:colOff>
      <xdr:row>3</xdr:row>
      <xdr:rowOff>85725</xdr:rowOff>
    </xdr:from>
    <xdr:to>
      <xdr:col>15</xdr:col>
      <xdr:colOff>571500</xdr:colOff>
      <xdr:row>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B8B2CE-5535-45E1-A9F0-6601CB73D65C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571500</xdr:colOff>
      <xdr:row>42</xdr:row>
      <xdr:rowOff>28575</xdr:rowOff>
    </xdr:from>
    <xdr:to>
      <xdr:col>17</xdr:col>
      <xdr:colOff>571500</xdr:colOff>
      <xdr:row>59</xdr:row>
      <xdr:rowOff>133350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D4087D66-65BA-4E8E-B036-D4BF519BD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571500</xdr:colOff>
      <xdr:row>3</xdr:row>
      <xdr:rowOff>85725</xdr:rowOff>
    </xdr:from>
    <xdr:to>
      <xdr:col>15</xdr:col>
      <xdr:colOff>571500</xdr:colOff>
      <xdr:row>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C3B93F-4265-4FE6-841A-C8304664F146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466725</xdr:colOff>
      <xdr:row>123</xdr:row>
      <xdr:rowOff>57150</xdr:rowOff>
    </xdr:from>
    <xdr:to>
      <xdr:col>17</xdr:col>
      <xdr:colOff>466725</xdr:colOff>
      <xdr:row>141</xdr:row>
      <xdr:rowOff>0</xdr:rowOff>
    </xdr:to>
    <xdr:graphicFrame macro="">
      <xdr:nvGraphicFramePr>
        <xdr:cNvPr id="2" name="STS_4_Chart">
          <a:extLst>
            <a:ext uri="{FF2B5EF4-FFF2-40B4-BE49-F238E27FC236}">
              <a16:creationId xmlns:a16="http://schemas.microsoft.com/office/drawing/2014/main" id="{6BB7098A-A26E-477D-8B3E-66FF93215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466725</xdr:colOff>
      <xdr:row>3</xdr:row>
      <xdr:rowOff>85725</xdr:rowOff>
    </xdr:from>
    <xdr:to>
      <xdr:col>15</xdr:col>
      <xdr:colOff>466725</xdr:colOff>
      <xdr:row>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DFE21-8EA2-4167-92DA-0AC31513EA35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123</xdr:row>
      <xdr:rowOff>57150</xdr:rowOff>
    </xdr:from>
    <xdr:to>
      <xdr:col>18</xdr:col>
      <xdr:colOff>0</xdr:colOff>
      <xdr:row>141</xdr:row>
      <xdr:rowOff>0</xdr:rowOff>
    </xdr:to>
    <xdr:graphicFrame macro="">
      <xdr:nvGraphicFramePr>
        <xdr:cNvPr id="2" name="STS_5_Chart">
          <a:extLst>
            <a:ext uri="{FF2B5EF4-FFF2-40B4-BE49-F238E27FC236}">
              <a16:creationId xmlns:a16="http://schemas.microsoft.com/office/drawing/2014/main" id="{149CE216-137D-45D0-BA44-DEDF847CC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85725</xdr:rowOff>
    </xdr:from>
    <xdr:to>
      <xdr:col>16</xdr:col>
      <xdr:colOff>0</xdr:colOff>
      <xdr:row>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7A06CD-2AE7-4C7A-BF16-9844452B02CF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When you select an output from the dropdown list in cell $K$4, the chart will adapt to that output.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523875</xdr:colOff>
      <xdr:row>29</xdr:row>
      <xdr:rowOff>38100</xdr:rowOff>
    </xdr:from>
    <xdr:to>
      <xdr:col>17</xdr:col>
      <xdr:colOff>523875</xdr:colOff>
      <xdr:row>46</xdr:row>
      <xdr:rowOff>142875</xdr:rowOff>
    </xdr:to>
    <xdr:graphicFrame macro="">
      <xdr:nvGraphicFramePr>
        <xdr:cNvPr id="2" name="STS_6_Chart">
          <a:extLst>
            <a:ext uri="{FF2B5EF4-FFF2-40B4-BE49-F238E27FC236}">
              <a16:creationId xmlns:a16="http://schemas.microsoft.com/office/drawing/2014/main" id="{B43CBBC5-D723-48D6-AAA5-54D7BE90F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523875</xdr:colOff>
      <xdr:row>3</xdr:row>
      <xdr:rowOff>85725</xdr:rowOff>
    </xdr:from>
    <xdr:to>
      <xdr:col>15</xdr:col>
      <xdr:colOff>523875</xdr:colOff>
      <xdr:row>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E4C1E0-C965-4480-908E-B6D9FA31C14F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When you select an output from the dropdown list in cell $K$4, the chart will adapt to that output.</a:t>
          </a:r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523875</xdr:colOff>
      <xdr:row>21</xdr:row>
      <xdr:rowOff>0</xdr:rowOff>
    </xdr:from>
    <xdr:to>
      <xdr:col>17</xdr:col>
      <xdr:colOff>523875</xdr:colOff>
      <xdr:row>38</xdr:row>
      <xdr:rowOff>104775</xdr:rowOff>
    </xdr:to>
    <xdr:graphicFrame macro="">
      <xdr:nvGraphicFramePr>
        <xdr:cNvPr id="2" name="STS_7_Chart">
          <a:extLst>
            <a:ext uri="{FF2B5EF4-FFF2-40B4-BE49-F238E27FC236}">
              <a16:creationId xmlns:a16="http://schemas.microsoft.com/office/drawing/2014/main" id="{BD9A22CB-A477-4AE5-A445-1653E1CB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523875</xdr:colOff>
      <xdr:row>3</xdr:row>
      <xdr:rowOff>85725</xdr:rowOff>
    </xdr:from>
    <xdr:to>
      <xdr:col>15</xdr:col>
      <xdr:colOff>523875</xdr:colOff>
      <xdr:row>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75E41D-6776-454C-95CE-EC6492CFA291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When you select an output from the dropdown list in cell $K$4, the chart will adapt to that output.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98544-93E8-4188-9791-E1DB735ADE08}">
  <dimension ref="A1:K25"/>
  <sheetViews>
    <sheetView topLeftCell="C22" zoomScale="145" zoomScaleNormal="145" workbookViewId="0">
      <selection activeCell="A18" sqref="A18"/>
    </sheetView>
  </sheetViews>
  <sheetFormatPr defaultRowHeight="12.75" x14ac:dyDescent="0.2"/>
  <cols>
    <col min="2" max="2" width="10.42578125" bestFit="1" customWidth="1"/>
  </cols>
  <sheetData>
    <row r="1" spans="1:11" x14ac:dyDescent="0.2">
      <c r="A1" s="1" t="s">
        <v>294</v>
      </c>
      <c r="K1" s="78" t="str">
        <f>CONCATENATE("Sensitivity of ",$K$4," to ","Input")</f>
        <v>Sensitivity of $K$55 to Input</v>
      </c>
    </row>
    <row r="3" spans="1:11" x14ac:dyDescent="0.2">
      <c r="A3" t="s">
        <v>314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9">
        <v>2000</v>
      </c>
      <c r="B5" s="79">
        <v>183135.11</v>
      </c>
      <c r="K5">
        <f>INDEX(OutputValues,1,$J$4)</f>
        <v>183135.11</v>
      </c>
    </row>
    <row r="6" spans="1:11" x14ac:dyDescent="0.2">
      <c r="A6" s="9">
        <v>2100</v>
      </c>
      <c r="B6" s="80">
        <v>189113.63</v>
      </c>
      <c r="K6">
        <f>INDEX(OutputValues,2,$J$4)</f>
        <v>189113.63</v>
      </c>
    </row>
    <row r="7" spans="1:11" x14ac:dyDescent="0.2">
      <c r="A7" s="9">
        <v>2200</v>
      </c>
      <c r="B7" s="80">
        <v>195092.14</v>
      </c>
      <c r="K7">
        <f>INDEX(OutputValues,3,$J$4)</f>
        <v>195092.14</v>
      </c>
    </row>
    <row r="8" spans="1:11" x14ac:dyDescent="0.2">
      <c r="A8" s="9">
        <v>2300</v>
      </c>
      <c r="B8" s="80">
        <v>201070.66</v>
      </c>
      <c r="K8">
        <f>INDEX(OutputValues,4,$J$4)</f>
        <v>201070.66</v>
      </c>
    </row>
    <row r="9" spans="1:11" x14ac:dyDescent="0.2">
      <c r="A9" s="9">
        <v>2400</v>
      </c>
      <c r="B9" s="80">
        <v>206455.03</v>
      </c>
      <c r="K9">
        <f>INDEX(OutputValues,5,$J$4)</f>
        <v>206455.03</v>
      </c>
    </row>
    <row r="10" spans="1:11" x14ac:dyDescent="0.2">
      <c r="A10" s="9">
        <v>2500</v>
      </c>
      <c r="B10" s="80">
        <v>211602.66</v>
      </c>
      <c r="K10">
        <f>INDEX(OutputValues,6,$J$4)</f>
        <v>211602.66</v>
      </c>
    </row>
    <row r="11" spans="1:11" x14ac:dyDescent="0.2">
      <c r="A11" s="9">
        <v>2600</v>
      </c>
      <c r="B11" s="80">
        <v>216750.28</v>
      </c>
      <c r="K11">
        <f>INDEX(OutputValues,7,$J$4)</f>
        <v>216750.28</v>
      </c>
    </row>
    <row r="12" spans="1:11" x14ac:dyDescent="0.2">
      <c r="A12" s="9">
        <v>2700</v>
      </c>
      <c r="B12" s="80">
        <v>221842.57</v>
      </c>
      <c r="K12">
        <f>INDEX(OutputValues,8,$J$4)</f>
        <v>221842.57</v>
      </c>
    </row>
    <row r="13" spans="1:11" x14ac:dyDescent="0.2">
      <c r="A13" s="9">
        <v>2800</v>
      </c>
      <c r="B13" s="80">
        <v>226837.46</v>
      </c>
      <c r="K13">
        <f>INDEX(OutputValues,9,$J$4)</f>
        <v>226837.46</v>
      </c>
    </row>
    <row r="14" spans="1:11" x14ac:dyDescent="0.2">
      <c r="A14" s="9">
        <v>2900</v>
      </c>
      <c r="B14" s="80">
        <v>231832.35</v>
      </c>
      <c r="K14">
        <f>INDEX(OutputValues,10,$J$4)</f>
        <v>231832.35</v>
      </c>
    </row>
    <row r="15" spans="1:11" x14ac:dyDescent="0.2">
      <c r="A15" s="9">
        <v>3000</v>
      </c>
      <c r="B15" s="80">
        <v>236827.24</v>
      </c>
      <c r="K15">
        <f>INDEX(OutputValues,11,$J$4)</f>
        <v>236827.24</v>
      </c>
    </row>
    <row r="16" spans="1:11" x14ac:dyDescent="0.2">
      <c r="A16" s="9">
        <v>3100</v>
      </c>
      <c r="B16" s="80">
        <v>240675.53</v>
      </c>
      <c r="K16">
        <f>INDEX(OutputValues,12,$J$4)</f>
        <v>240675.53</v>
      </c>
    </row>
    <row r="17" spans="1:11" x14ac:dyDescent="0.2">
      <c r="A17" s="9">
        <v>3200</v>
      </c>
      <c r="B17" s="80">
        <v>243275.33</v>
      </c>
      <c r="K17">
        <f>INDEX(OutputValues,13,$J$4)</f>
        <v>243275.33</v>
      </c>
    </row>
    <row r="18" spans="1:11" x14ac:dyDescent="0.2">
      <c r="A18" s="9">
        <v>3300</v>
      </c>
      <c r="B18" s="80">
        <v>244004.84</v>
      </c>
      <c r="K18">
        <f>INDEX(OutputValues,14,$J$4)</f>
        <v>244004.84</v>
      </c>
    </row>
    <row r="19" spans="1:11" x14ac:dyDescent="0.2">
      <c r="A19" s="9">
        <v>3400</v>
      </c>
      <c r="B19" s="80">
        <v>244004.84</v>
      </c>
      <c r="K19">
        <f>INDEX(OutputValues,15,$J$4)</f>
        <v>244004.84</v>
      </c>
    </row>
    <row r="20" spans="1:11" x14ac:dyDescent="0.2">
      <c r="A20" s="9">
        <v>3500</v>
      </c>
      <c r="B20" s="80">
        <v>244004.84</v>
      </c>
      <c r="K20">
        <f>INDEX(OutputValues,16,$J$4)</f>
        <v>244004.84</v>
      </c>
    </row>
    <row r="21" spans="1:11" x14ac:dyDescent="0.2">
      <c r="A21" s="9">
        <v>3600</v>
      </c>
      <c r="B21" s="80">
        <v>244004.84</v>
      </c>
      <c r="K21">
        <f>INDEX(OutputValues,17,$J$4)</f>
        <v>244004.84</v>
      </c>
    </row>
    <row r="22" spans="1:11" x14ac:dyDescent="0.2">
      <c r="A22" s="9">
        <v>3700</v>
      </c>
      <c r="B22" s="80">
        <v>244004.84</v>
      </c>
      <c r="K22">
        <f>INDEX(OutputValues,18,$J$4)</f>
        <v>244004.84</v>
      </c>
    </row>
    <row r="23" spans="1:11" x14ac:dyDescent="0.2">
      <c r="A23" s="9">
        <v>3800</v>
      </c>
      <c r="B23" s="80">
        <v>244004.84</v>
      </c>
      <c r="K23">
        <f>INDEX(OutputValues,19,$J$4)</f>
        <v>244004.84</v>
      </c>
    </row>
    <row r="24" spans="1:11" x14ac:dyDescent="0.2">
      <c r="A24" s="9">
        <v>3900</v>
      </c>
      <c r="B24" s="80">
        <v>244004.84</v>
      </c>
      <c r="K24">
        <f>INDEX(OutputValues,20,$J$4)</f>
        <v>244004.84</v>
      </c>
    </row>
    <row r="25" spans="1:11" x14ac:dyDescent="0.2">
      <c r="A25" s="9">
        <v>4000</v>
      </c>
      <c r="B25" s="81">
        <v>244004.84</v>
      </c>
      <c r="K25">
        <f>INDEX(OutputValues,21,$J$4)</f>
        <v>244004.84</v>
      </c>
    </row>
  </sheetData>
  <phoneticPr fontId="3" type="noConversion"/>
  <dataValidations count="1">
    <dataValidation type="list" allowBlank="1" showInputMessage="1" showErrorMessage="1" sqref="K4" xr:uid="{36F933F0-7306-4B24-A5C1-55D759936FBB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3876-0501-41C4-A50A-6AE48030B405}">
  <dimension ref="A1:B15"/>
  <sheetViews>
    <sheetView workbookViewId="0"/>
  </sheetViews>
  <sheetFormatPr defaultColWidth="8.85546875" defaultRowHeight="12.75" x14ac:dyDescent="0.2"/>
  <sheetData>
    <row r="1" spans="1:2" x14ac:dyDescent="0.2">
      <c r="A1">
        <v>1</v>
      </c>
    </row>
    <row r="2" spans="1:2" x14ac:dyDescent="0.2">
      <c r="A2" t="s">
        <v>315</v>
      </c>
    </row>
    <row r="3" spans="1:2" x14ac:dyDescent="0.2">
      <c r="A3">
        <v>1</v>
      </c>
    </row>
    <row r="4" spans="1:2" x14ac:dyDescent="0.2">
      <c r="A4">
        <v>4000</v>
      </c>
    </row>
    <row r="5" spans="1:2" x14ac:dyDescent="0.2">
      <c r="A5">
        <v>8000</v>
      </c>
    </row>
    <row r="6" spans="1:2" x14ac:dyDescent="0.2">
      <c r="A6">
        <v>100</v>
      </c>
    </row>
    <row r="8" spans="1:2" x14ac:dyDescent="0.2">
      <c r="A8" s="33"/>
      <c r="B8" s="33"/>
    </row>
    <row r="9" spans="1:2" x14ac:dyDescent="0.2">
      <c r="A9" t="s">
        <v>309</v>
      </c>
    </row>
    <row r="10" spans="1:2" x14ac:dyDescent="0.2">
      <c r="A10" t="s">
        <v>310</v>
      </c>
    </row>
    <row r="15" spans="1:2" x14ac:dyDescent="0.2">
      <c r="B15" s="3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0C2A-4A74-4B77-A50C-46BBAFDF9453}">
  <dimension ref="A1:K17"/>
  <sheetViews>
    <sheetView workbookViewId="0">
      <selection activeCell="K13" sqref="K13"/>
    </sheetView>
  </sheetViews>
  <sheetFormatPr defaultColWidth="8.85546875" defaultRowHeight="12.75" x14ac:dyDescent="0.2"/>
  <cols>
    <col min="2" max="2" width="9.7109375" bestFit="1" customWidth="1"/>
  </cols>
  <sheetData>
    <row r="1" spans="1:11" x14ac:dyDescent="0.2">
      <c r="A1" s="1" t="s">
        <v>294</v>
      </c>
      <c r="K1" s="78" t="str">
        <f>CONCATENATE("Sensitivity of ",$K$4," to ","Input")</f>
        <v>Sensitivity of $K$55 to Input</v>
      </c>
    </row>
    <row r="3" spans="1:11" x14ac:dyDescent="0.2">
      <c r="A3" t="s">
        <v>295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75">
        <v>23</v>
      </c>
      <c r="B5" s="79">
        <v>194695.47</v>
      </c>
      <c r="K5">
        <f>INDEX(OutputValues,1,$J$4)</f>
        <v>194695.47</v>
      </c>
    </row>
    <row r="6" spans="1:11" x14ac:dyDescent="0.2">
      <c r="A6" s="75">
        <v>24</v>
      </c>
      <c r="B6" s="80">
        <v>190956.07</v>
      </c>
      <c r="K6">
        <f>INDEX(OutputValues,2,$J$4)</f>
        <v>190956.07</v>
      </c>
    </row>
    <row r="7" spans="1:11" x14ac:dyDescent="0.2">
      <c r="A7" s="75">
        <v>25</v>
      </c>
      <c r="B7" s="80">
        <v>189730.54</v>
      </c>
      <c r="K7">
        <f>INDEX(OutputValues,3,$J$4)</f>
        <v>189730.54</v>
      </c>
    </row>
    <row r="8" spans="1:11" x14ac:dyDescent="0.2">
      <c r="A8" s="75">
        <v>26</v>
      </c>
      <c r="B8" s="80">
        <v>188505.02</v>
      </c>
      <c r="K8">
        <f>INDEX(OutputValues,4,$J$4)</f>
        <v>188505.02</v>
      </c>
    </row>
    <row r="9" spans="1:11" x14ac:dyDescent="0.2">
      <c r="A9" s="75">
        <v>27</v>
      </c>
      <c r="B9" s="80">
        <v>187279.5</v>
      </c>
      <c r="K9">
        <f>INDEX(OutputValues,5,$J$4)</f>
        <v>187279.5</v>
      </c>
    </row>
    <row r="10" spans="1:11" x14ac:dyDescent="0.2">
      <c r="A10" s="75">
        <v>28</v>
      </c>
      <c r="B10" s="80">
        <v>186053.97</v>
      </c>
      <c r="K10">
        <f>INDEX(OutputValues,6,$J$4)</f>
        <v>186053.97</v>
      </c>
    </row>
    <row r="11" spans="1:11" x14ac:dyDescent="0.2">
      <c r="A11" s="75">
        <v>29</v>
      </c>
      <c r="B11" s="80">
        <v>184924.52</v>
      </c>
      <c r="K11">
        <f>INDEX(OutputValues,7,$J$4)</f>
        <v>184924.52</v>
      </c>
    </row>
    <row r="12" spans="1:11" x14ac:dyDescent="0.2">
      <c r="A12" s="75">
        <v>30</v>
      </c>
      <c r="B12" s="80">
        <v>183961.38</v>
      </c>
      <c r="K12">
        <f>INDEX(OutputValues,8,$J$4)</f>
        <v>183961.38</v>
      </c>
    </row>
    <row r="13" spans="1:11" x14ac:dyDescent="0.2">
      <c r="A13" s="75">
        <v>31</v>
      </c>
      <c r="B13" s="80">
        <v>183135.11</v>
      </c>
      <c r="K13">
        <f>INDEX(OutputValues,9,$J$4)</f>
        <v>183135.11</v>
      </c>
    </row>
    <row r="14" spans="1:11" x14ac:dyDescent="0.2">
      <c r="A14" s="75">
        <v>32</v>
      </c>
      <c r="B14" s="80">
        <v>183135.11</v>
      </c>
      <c r="K14">
        <f>INDEX(OutputValues,10,$J$4)</f>
        <v>183135.11</v>
      </c>
    </row>
    <row r="15" spans="1:11" x14ac:dyDescent="0.2">
      <c r="A15" s="75">
        <v>33</v>
      </c>
      <c r="B15" s="80">
        <v>183135.11</v>
      </c>
      <c r="K15">
        <f>INDEX(OutputValues,11,$J$4)</f>
        <v>183135.11</v>
      </c>
    </row>
    <row r="16" spans="1:11" x14ac:dyDescent="0.2">
      <c r="A16" s="75">
        <v>34</v>
      </c>
      <c r="B16" s="80">
        <v>183135.11</v>
      </c>
      <c r="K16">
        <f>INDEX(OutputValues,12,$J$4)</f>
        <v>183135.11</v>
      </c>
    </row>
    <row r="17" spans="1:11" x14ac:dyDescent="0.2">
      <c r="A17" s="75">
        <v>35</v>
      </c>
      <c r="B17" s="81">
        <v>183135.11</v>
      </c>
      <c r="K17">
        <f>INDEX(OutputValues,13,$J$4)</f>
        <v>183135.11</v>
      </c>
    </row>
  </sheetData>
  <phoneticPr fontId="3" type="noConversion"/>
  <dataValidations count="1">
    <dataValidation type="list" allowBlank="1" showInputMessage="1" showErrorMessage="1" sqref="K4" xr:uid="{8C6F4602-ED21-479D-9B75-08044B91EBCA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4BBA-2F1F-49CE-855B-F014CD3CFF21}">
  <dimension ref="A1:K35"/>
  <sheetViews>
    <sheetView topLeftCell="A25" workbookViewId="0">
      <selection activeCell="K24" sqref="K24"/>
    </sheetView>
  </sheetViews>
  <sheetFormatPr defaultColWidth="8.85546875" defaultRowHeight="12.75" x14ac:dyDescent="0.2"/>
  <cols>
    <col min="2" max="2" width="9.7109375" bestFit="1" customWidth="1"/>
  </cols>
  <sheetData>
    <row r="1" spans="1:11" x14ac:dyDescent="0.2">
      <c r="A1" s="1" t="s">
        <v>294</v>
      </c>
      <c r="K1" s="78" t="str">
        <f>CONCATENATE("Sensitivity of ",$K$4," to ","Input")</f>
        <v>Sensitivity of $K$55 to Input</v>
      </c>
    </row>
    <row r="3" spans="1:11" x14ac:dyDescent="0.2">
      <c r="A3" t="s">
        <v>295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75">
        <v>29</v>
      </c>
      <c r="B5" s="79">
        <v>184924.52</v>
      </c>
      <c r="K5">
        <f>INDEX(OutputValues,1,$J$4)</f>
        <v>184924.52</v>
      </c>
    </row>
    <row r="6" spans="1:11" x14ac:dyDescent="0.2">
      <c r="A6" s="75">
        <v>29.100000381469727</v>
      </c>
      <c r="B6" s="80">
        <v>184826.4</v>
      </c>
      <c r="K6">
        <f>INDEX(OutputValues,2,$J$4)</f>
        <v>184826.4</v>
      </c>
    </row>
    <row r="7" spans="1:11" x14ac:dyDescent="0.2">
      <c r="A7" s="75">
        <v>29.200000762939453</v>
      </c>
      <c r="B7" s="80">
        <v>184728.28</v>
      </c>
      <c r="K7">
        <f>INDEX(OutputValues,3,$J$4)</f>
        <v>184728.28</v>
      </c>
    </row>
    <row r="8" spans="1:11" x14ac:dyDescent="0.2">
      <c r="A8" s="75">
        <v>29.299999237060547</v>
      </c>
      <c r="B8" s="80">
        <v>184630.16</v>
      </c>
      <c r="K8">
        <f>INDEX(OutputValues,4,$J$4)</f>
        <v>184630.16</v>
      </c>
    </row>
    <row r="9" spans="1:11" x14ac:dyDescent="0.2">
      <c r="A9" s="75">
        <v>29.399999618530273</v>
      </c>
      <c r="B9" s="80">
        <v>184532.04</v>
      </c>
      <c r="K9">
        <f>INDEX(OutputValues,5,$J$4)</f>
        <v>184532.04</v>
      </c>
    </row>
    <row r="10" spans="1:11" x14ac:dyDescent="0.2">
      <c r="A10" s="75">
        <v>29.5</v>
      </c>
      <c r="B10" s="80">
        <v>184436.59</v>
      </c>
      <c r="K10">
        <f>INDEX(OutputValues,6,$J$4)</f>
        <v>184436.59</v>
      </c>
    </row>
    <row r="11" spans="1:11" x14ac:dyDescent="0.2">
      <c r="A11" s="75">
        <v>29.600000381469727</v>
      </c>
      <c r="B11" s="80">
        <v>184341.55</v>
      </c>
      <c r="K11">
        <f>INDEX(OutputValues,7,$J$4)</f>
        <v>184341.55</v>
      </c>
    </row>
    <row r="12" spans="1:11" x14ac:dyDescent="0.2">
      <c r="A12" s="75">
        <v>29.700000762939453</v>
      </c>
      <c r="B12" s="80">
        <v>184246.51</v>
      </c>
      <c r="K12">
        <f>INDEX(OutputValues,8,$J$4)</f>
        <v>184246.51</v>
      </c>
    </row>
    <row r="13" spans="1:11" x14ac:dyDescent="0.2">
      <c r="A13" s="75">
        <v>29.799999237060547</v>
      </c>
      <c r="B13" s="80">
        <v>184151.47</v>
      </c>
      <c r="K13">
        <f>INDEX(OutputValues,9,$J$4)</f>
        <v>184151.47</v>
      </c>
    </row>
    <row r="14" spans="1:11" x14ac:dyDescent="0.2">
      <c r="A14" s="75">
        <v>29.899999618530273</v>
      </c>
      <c r="B14" s="80">
        <v>184056.42</v>
      </c>
      <c r="K14">
        <f>INDEX(OutputValues,10,$J$4)</f>
        <v>184056.42</v>
      </c>
    </row>
    <row r="15" spans="1:11" x14ac:dyDescent="0.2">
      <c r="A15" s="75">
        <v>30</v>
      </c>
      <c r="B15" s="80">
        <v>183961.38</v>
      </c>
      <c r="K15">
        <f>INDEX(OutputValues,11,$J$4)</f>
        <v>183961.38</v>
      </c>
    </row>
    <row r="16" spans="1:11" x14ac:dyDescent="0.2">
      <c r="A16" s="75">
        <v>30.100000381469727</v>
      </c>
      <c r="B16" s="80">
        <v>183866.34</v>
      </c>
      <c r="K16">
        <f>INDEX(OutputValues,12,$J$4)</f>
        <v>183866.34</v>
      </c>
    </row>
    <row r="17" spans="1:11" x14ac:dyDescent="0.2">
      <c r="A17" s="75">
        <v>30.200000762939453</v>
      </c>
      <c r="B17" s="80">
        <v>183771.3</v>
      </c>
      <c r="K17">
        <f>INDEX(OutputValues,13,$J$4)</f>
        <v>183771.3</v>
      </c>
    </row>
    <row r="18" spans="1:11" x14ac:dyDescent="0.2">
      <c r="A18" s="75">
        <v>30.299999237060547</v>
      </c>
      <c r="B18" s="80">
        <v>183676.26</v>
      </c>
      <c r="K18">
        <f>INDEX(OutputValues,14,$J$4)</f>
        <v>183676.26</v>
      </c>
    </row>
    <row r="19" spans="1:11" x14ac:dyDescent="0.2">
      <c r="A19" s="75">
        <v>30.399999618530273</v>
      </c>
      <c r="B19" s="80">
        <v>183581.21</v>
      </c>
      <c r="K19">
        <f>INDEX(OutputValues,15,$J$4)</f>
        <v>183581.21</v>
      </c>
    </row>
    <row r="20" spans="1:11" x14ac:dyDescent="0.2">
      <c r="A20" s="75">
        <v>30.5</v>
      </c>
      <c r="B20" s="80">
        <v>183486.17</v>
      </c>
      <c r="K20">
        <f>INDEX(OutputValues,16,$J$4)</f>
        <v>183486.17</v>
      </c>
    </row>
    <row r="21" spans="1:11" x14ac:dyDescent="0.2">
      <c r="A21" s="75">
        <v>30.600000381469727</v>
      </c>
      <c r="B21" s="80">
        <v>183391.13</v>
      </c>
      <c r="K21">
        <f>INDEX(OutputValues,17,$J$4)</f>
        <v>183391.13</v>
      </c>
    </row>
    <row r="22" spans="1:11" x14ac:dyDescent="0.2">
      <c r="A22" s="75">
        <v>30.700000762939453</v>
      </c>
      <c r="B22" s="80">
        <v>183296.09</v>
      </c>
      <c r="K22">
        <f>INDEX(OutputValues,18,$J$4)</f>
        <v>183296.09</v>
      </c>
    </row>
    <row r="23" spans="1:11" x14ac:dyDescent="0.2">
      <c r="A23" s="75">
        <v>30.799999237060547</v>
      </c>
      <c r="B23" s="80">
        <v>183201.05</v>
      </c>
      <c r="K23">
        <f>INDEX(OutputValues,19,$J$4)</f>
        <v>183201.05</v>
      </c>
    </row>
    <row r="24" spans="1:11" x14ac:dyDescent="0.2">
      <c r="A24" s="83">
        <v>30.899999618530273</v>
      </c>
      <c r="B24" s="84">
        <v>183150.34</v>
      </c>
      <c r="C24" s="85"/>
      <c r="D24" s="85"/>
      <c r="E24" s="85"/>
      <c r="F24" s="85"/>
      <c r="G24" s="85"/>
      <c r="H24" s="85"/>
      <c r="I24" s="85"/>
      <c r="J24" s="85"/>
      <c r="K24" s="85">
        <f>INDEX(OutputValues,20,$J$4)</f>
        <v>183150.34</v>
      </c>
    </row>
    <row r="25" spans="1:11" x14ac:dyDescent="0.2">
      <c r="A25" s="75">
        <v>31</v>
      </c>
      <c r="B25" s="80">
        <v>183135.11</v>
      </c>
      <c r="K25">
        <f>INDEX(OutputValues,21,$J$4)</f>
        <v>183135.11</v>
      </c>
    </row>
    <row r="26" spans="1:11" x14ac:dyDescent="0.2">
      <c r="A26" s="75">
        <v>31.100000381469727</v>
      </c>
      <c r="B26" s="80">
        <v>183135.11</v>
      </c>
      <c r="K26">
        <f>INDEX(OutputValues,22,$J$4)</f>
        <v>183135.11</v>
      </c>
    </row>
    <row r="27" spans="1:11" x14ac:dyDescent="0.2">
      <c r="A27" s="75">
        <v>31.200000762939453</v>
      </c>
      <c r="B27" s="80">
        <v>183135.11</v>
      </c>
      <c r="K27">
        <f>INDEX(OutputValues,23,$J$4)</f>
        <v>183135.11</v>
      </c>
    </row>
    <row r="28" spans="1:11" x14ac:dyDescent="0.2">
      <c r="A28" s="75">
        <v>31.299999237060547</v>
      </c>
      <c r="B28" s="80">
        <v>183135.11</v>
      </c>
      <c r="K28">
        <f>INDEX(OutputValues,24,$J$4)</f>
        <v>183135.11</v>
      </c>
    </row>
    <row r="29" spans="1:11" x14ac:dyDescent="0.2">
      <c r="A29" s="75">
        <v>31.399999618530273</v>
      </c>
      <c r="B29" s="80">
        <v>183135.11</v>
      </c>
      <c r="K29">
        <f>INDEX(OutputValues,25,$J$4)</f>
        <v>183135.11</v>
      </c>
    </row>
    <row r="30" spans="1:11" x14ac:dyDescent="0.2">
      <c r="A30" s="75">
        <v>31.5</v>
      </c>
      <c r="B30" s="80">
        <v>183135.11</v>
      </c>
      <c r="K30">
        <f>INDEX(OutputValues,26,$J$4)</f>
        <v>183135.11</v>
      </c>
    </row>
    <row r="31" spans="1:11" x14ac:dyDescent="0.2">
      <c r="A31" s="75">
        <v>31.600000381469727</v>
      </c>
      <c r="B31" s="80">
        <v>183135.11</v>
      </c>
      <c r="K31">
        <f>INDEX(OutputValues,27,$J$4)</f>
        <v>183135.11</v>
      </c>
    </row>
    <row r="32" spans="1:11" x14ac:dyDescent="0.2">
      <c r="A32" s="75">
        <v>31.700000762939453</v>
      </c>
      <c r="B32" s="80">
        <v>183135.11</v>
      </c>
      <c r="K32">
        <f>INDEX(OutputValues,28,$J$4)</f>
        <v>183135.11</v>
      </c>
    </row>
    <row r="33" spans="1:11" x14ac:dyDescent="0.2">
      <c r="A33" s="75">
        <v>31.799999237060547</v>
      </c>
      <c r="B33" s="80">
        <v>183135.11</v>
      </c>
      <c r="K33">
        <f>INDEX(OutputValues,29,$J$4)</f>
        <v>183135.11</v>
      </c>
    </row>
    <row r="34" spans="1:11" x14ac:dyDescent="0.2">
      <c r="A34" s="75">
        <v>31.899999618530273</v>
      </c>
      <c r="B34" s="80">
        <v>183135.11</v>
      </c>
      <c r="K34">
        <f>INDEX(OutputValues,30,$J$4)</f>
        <v>183135.11</v>
      </c>
    </row>
    <row r="35" spans="1:11" x14ac:dyDescent="0.2">
      <c r="A35" s="75">
        <v>32</v>
      </c>
      <c r="B35" s="81">
        <v>183135.11</v>
      </c>
      <c r="K35">
        <f>INDEX(OutputValues,31,$J$4)</f>
        <v>183135.11</v>
      </c>
    </row>
  </sheetData>
  <phoneticPr fontId="3" type="noConversion"/>
  <dataValidations count="1">
    <dataValidation type="list" allowBlank="1" showInputMessage="1" showErrorMessage="1" sqref="K4" xr:uid="{E9A4F6AC-58E9-4FC3-9A2E-AE9F6A6D6D3D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BAA2-1B86-47F1-A805-5D13C8A14E7A}">
  <dimension ref="A1:K35"/>
  <sheetViews>
    <sheetView workbookViewId="0"/>
  </sheetViews>
  <sheetFormatPr defaultColWidth="8.85546875" defaultRowHeight="12.75" x14ac:dyDescent="0.2"/>
  <cols>
    <col min="2" max="2" width="9.7109375" bestFit="1" customWidth="1"/>
  </cols>
  <sheetData>
    <row r="1" spans="1:11" x14ac:dyDescent="0.2">
      <c r="A1" s="1" t="s">
        <v>294</v>
      </c>
      <c r="K1" s="78" t="str">
        <f>CONCATENATE("Sensitivity of ",$K$4," to ","Input")</f>
        <v>Sensitivity of $K$55 to Input</v>
      </c>
    </row>
    <row r="3" spans="1:11" x14ac:dyDescent="0.2">
      <c r="A3" t="s">
        <v>305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75">
        <v>0</v>
      </c>
      <c r="B5" s="79">
        <v>183135.11</v>
      </c>
      <c r="K5">
        <f>INDEX(OutputValues,1,$J$4)</f>
        <v>183135.11</v>
      </c>
    </row>
    <row r="6" spans="1:11" x14ac:dyDescent="0.2">
      <c r="A6" s="75">
        <v>0.10000000149011612</v>
      </c>
      <c r="B6" s="80">
        <v>188797.55</v>
      </c>
      <c r="K6">
        <f>INDEX(OutputValues,2,$J$4)</f>
        <v>188797.55</v>
      </c>
    </row>
    <row r="7" spans="1:11" x14ac:dyDescent="0.2">
      <c r="A7" s="75">
        <v>0.20000000298023224</v>
      </c>
      <c r="B7" s="80">
        <v>194459.99</v>
      </c>
      <c r="K7">
        <f>INDEX(OutputValues,3,$J$4)</f>
        <v>194459.99</v>
      </c>
    </row>
    <row r="8" spans="1:11" x14ac:dyDescent="0.2">
      <c r="A8" s="75">
        <v>0.30000001192092896</v>
      </c>
      <c r="B8" s="80">
        <v>200122.43</v>
      </c>
      <c r="K8">
        <f>INDEX(OutputValues,4,$J$4)</f>
        <v>200122.43</v>
      </c>
    </row>
    <row r="9" spans="1:11" x14ac:dyDescent="0.2">
      <c r="A9" s="75">
        <v>0.40000000596046448</v>
      </c>
      <c r="B9" s="80">
        <v>205784.87</v>
      </c>
      <c r="K9">
        <f>INDEX(OutputValues,5,$J$4)</f>
        <v>205784.87</v>
      </c>
    </row>
    <row r="10" spans="1:11" x14ac:dyDescent="0.2">
      <c r="A10" s="75">
        <v>0.5</v>
      </c>
      <c r="B10" s="80">
        <v>211447.31</v>
      </c>
      <c r="K10">
        <f>INDEX(OutputValues,6,$J$4)</f>
        <v>211447.31</v>
      </c>
    </row>
    <row r="11" spans="1:11" x14ac:dyDescent="0.2">
      <c r="A11" s="75">
        <v>0.60000002384185791</v>
      </c>
      <c r="B11" s="80">
        <v>217109.75</v>
      </c>
      <c r="K11">
        <f>INDEX(OutputValues,7,$J$4)</f>
        <v>217109.75</v>
      </c>
    </row>
    <row r="12" spans="1:11" x14ac:dyDescent="0.2">
      <c r="A12" s="75">
        <v>0.69999998807907104</v>
      </c>
      <c r="B12" s="80">
        <v>222772.19</v>
      </c>
      <c r="K12">
        <f>INDEX(OutputValues,8,$J$4)</f>
        <v>222772.19</v>
      </c>
    </row>
    <row r="13" spans="1:11" x14ac:dyDescent="0.2">
      <c r="A13" s="75">
        <v>0.80000001192092896</v>
      </c>
      <c r="B13" s="80">
        <v>228434.63</v>
      </c>
      <c r="K13">
        <f>INDEX(OutputValues,9,$J$4)</f>
        <v>228434.63</v>
      </c>
    </row>
    <row r="14" spans="1:11" x14ac:dyDescent="0.2">
      <c r="A14" s="75">
        <v>0.90000003576278687</v>
      </c>
      <c r="B14" s="80">
        <v>234097.07</v>
      </c>
      <c r="K14">
        <f>INDEX(OutputValues,10,$J$4)</f>
        <v>234097.07</v>
      </c>
    </row>
    <row r="15" spans="1:11" x14ac:dyDescent="0.2">
      <c r="A15" s="75">
        <v>1</v>
      </c>
      <c r="B15" s="80">
        <v>239759.51</v>
      </c>
      <c r="K15">
        <f>INDEX(OutputValues,11,$J$4)</f>
        <v>239759.51</v>
      </c>
    </row>
    <row r="16" spans="1:11" x14ac:dyDescent="0.2">
      <c r="A16" s="75">
        <v>1.1000000238418579</v>
      </c>
      <c r="B16" s="80">
        <v>245421.95</v>
      </c>
      <c r="K16">
        <f>INDEX(OutputValues,12,$J$4)</f>
        <v>245421.95</v>
      </c>
    </row>
    <row r="17" spans="1:11" x14ac:dyDescent="0.2">
      <c r="A17" s="75">
        <v>1.2000000476837158</v>
      </c>
      <c r="B17" s="80">
        <v>251084.4</v>
      </c>
      <c r="K17">
        <f>INDEX(OutputValues,13,$J$4)</f>
        <v>251084.4</v>
      </c>
    </row>
    <row r="18" spans="1:11" x14ac:dyDescent="0.2">
      <c r="A18" s="75">
        <v>1.3000000715255737</v>
      </c>
      <c r="B18" s="80">
        <v>256746.84</v>
      </c>
      <c r="K18">
        <f>INDEX(OutputValues,14,$J$4)</f>
        <v>256746.84</v>
      </c>
    </row>
    <row r="19" spans="1:11" x14ac:dyDescent="0.2">
      <c r="A19" s="75">
        <v>1.3999999761581421</v>
      </c>
      <c r="B19" s="80">
        <v>262409.27</v>
      </c>
      <c r="K19">
        <f>INDEX(OutputValues,15,$J$4)</f>
        <v>262409.27</v>
      </c>
    </row>
    <row r="20" spans="1:11" x14ac:dyDescent="0.2">
      <c r="A20" s="75">
        <v>1.5</v>
      </c>
      <c r="B20" s="80">
        <v>268071.71999999997</v>
      </c>
      <c r="K20">
        <f>INDEX(OutputValues,16,$J$4)</f>
        <v>268071.71999999997</v>
      </c>
    </row>
    <row r="21" spans="1:11" x14ac:dyDescent="0.2">
      <c r="A21" s="75">
        <v>1.6000000238418579</v>
      </c>
      <c r="B21" s="80">
        <v>273734.15999999997</v>
      </c>
      <c r="K21">
        <f>INDEX(OutputValues,17,$J$4)</f>
        <v>273734.15999999997</v>
      </c>
    </row>
    <row r="22" spans="1:11" x14ac:dyDescent="0.2">
      <c r="A22" s="75">
        <v>1.7000000476837158</v>
      </c>
      <c r="B22" s="80">
        <v>279396.59999999998</v>
      </c>
      <c r="K22">
        <f>INDEX(OutputValues,18,$J$4)</f>
        <v>279396.59999999998</v>
      </c>
    </row>
    <row r="23" spans="1:11" x14ac:dyDescent="0.2">
      <c r="A23" s="75">
        <v>1.8000000715255737</v>
      </c>
      <c r="B23" s="80">
        <v>285059.03999999998</v>
      </c>
      <c r="K23">
        <f>INDEX(OutputValues,19,$J$4)</f>
        <v>285059.03999999998</v>
      </c>
    </row>
    <row r="24" spans="1:11" x14ac:dyDescent="0.2">
      <c r="A24" s="75">
        <v>1.8999999761581421</v>
      </c>
      <c r="B24" s="80">
        <v>290721.48</v>
      </c>
      <c r="K24">
        <f>INDEX(OutputValues,20,$J$4)</f>
        <v>290721.48</v>
      </c>
    </row>
    <row r="25" spans="1:11" x14ac:dyDescent="0.2">
      <c r="A25" s="75">
        <v>2</v>
      </c>
      <c r="B25" s="80">
        <v>296383.92</v>
      </c>
      <c r="K25">
        <f>INDEX(OutputValues,21,$J$4)</f>
        <v>296383.92</v>
      </c>
    </row>
    <row r="26" spans="1:11" x14ac:dyDescent="0.2">
      <c r="A26" s="75">
        <v>2.1000001430511475</v>
      </c>
      <c r="B26" s="80">
        <v>302046.37</v>
      </c>
      <c r="K26">
        <f>INDEX(OutputValues,22,$J$4)</f>
        <v>302046.37</v>
      </c>
    </row>
    <row r="27" spans="1:11" x14ac:dyDescent="0.2">
      <c r="A27" s="75">
        <v>2.2000000476837158</v>
      </c>
      <c r="B27" s="80">
        <v>307708.79999999999</v>
      </c>
      <c r="K27">
        <f>INDEX(OutputValues,23,$J$4)</f>
        <v>307708.79999999999</v>
      </c>
    </row>
    <row r="28" spans="1:11" x14ac:dyDescent="0.2">
      <c r="A28" s="75">
        <v>2.2999999523162842</v>
      </c>
      <c r="B28" s="80">
        <v>313371.24</v>
      </c>
      <c r="K28">
        <f>INDEX(OutputValues,24,$J$4)</f>
        <v>313371.24</v>
      </c>
    </row>
    <row r="29" spans="1:11" x14ac:dyDescent="0.2">
      <c r="A29" s="75">
        <v>2.4000000953674316</v>
      </c>
      <c r="B29" s="80">
        <v>319033.68</v>
      </c>
      <c r="K29">
        <f>INDEX(OutputValues,25,$J$4)</f>
        <v>319033.68</v>
      </c>
    </row>
    <row r="30" spans="1:11" x14ac:dyDescent="0.2">
      <c r="A30" s="75">
        <v>2.5</v>
      </c>
      <c r="B30" s="80">
        <v>324696.12</v>
      </c>
      <c r="K30">
        <f>INDEX(OutputValues,26,$J$4)</f>
        <v>324696.12</v>
      </c>
    </row>
    <row r="31" spans="1:11" x14ac:dyDescent="0.2">
      <c r="A31" s="75">
        <v>2.6000001430511475</v>
      </c>
      <c r="B31" s="80">
        <v>330358.57</v>
      </c>
      <c r="K31">
        <f>INDEX(OutputValues,27,$J$4)</f>
        <v>330358.57</v>
      </c>
    </row>
    <row r="32" spans="1:11" x14ac:dyDescent="0.2">
      <c r="A32" s="75">
        <v>2.7000000476837158</v>
      </c>
      <c r="B32" s="80">
        <v>336021</v>
      </c>
      <c r="K32">
        <f>INDEX(OutputValues,28,$J$4)</f>
        <v>336021</v>
      </c>
    </row>
    <row r="33" spans="1:11" x14ac:dyDescent="0.2">
      <c r="A33" s="75">
        <v>2.7999999523162842</v>
      </c>
      <c r="B33" s="80">
        <v>341683.44</v>
      </c>
      <c r="K33">
        <f>INDEX(OutputValues,29,$J$4)</f>
        <v>341683.44</v>
      </c>
    </row>
    <row r="34" spans="1:11" x14ac:dyDescent="0.2">
      <c r="A34" s="75">
        <v>2.9000000953674316</v>
      </c>
      <c r="B34" s="80">
        <v>347345.89</v>
      </c>
      <c r="K34">
        <f>INDEX(OutputValues,30,$J$4)</f>
        <v>347345.89</v>
      </c>
    </row>
    <row r="35" spans="1:11" x14ac:dyDescent="0.2">
      <c r="A35" s="75">
        <v>3</v>
      </c>
      <c r="B35" s="81">
        <v>353008.32</v>
      </c>
      <c r="K35">
        <f>INDEX(OutputValues,31,$J$4)</f>
        <v>353008.32</v>
      </c>
    </row>
  </sheetData>
  <phoneticPr fontId="3" type="noConversion"/>
  <dataValidations count="1">
    <dataValidation type="list" allowBlank="1" showInputMessage="1" showErrorMessage="1" sqref="K4" xr:uid="{9BCC3D7A-5003-41A9-A0B0-46D16C8E674B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56B7-B736-444F-9513-5519C662501F}">
  <dimension ref="A1:K104"/>
  <sheetViews>
    <sheetView workbookViewId="0"/>
  </sheetViews>
  <sheetFormatPr defaultColWidth="8.85546875" defaultRowHeight="12.75" x14ac:dyDescent="0.2"/>
  <cols>
    <col min="2" max="2" width="11.28515625" bestFit="1" customWidth="1"/>
  </cols>
  <sheetData>
    <row r="1" spans="1:11" x14ac:dyDescent="0.2">
      <c r="A1" s="1" t="s">
        <v>294</v>
      </c>
      <c r="K1" s="78" t="str">
        <f>CONCATENATE("Sensitivity of ",$K$4," to ","Input")</f>
        <v>Sensitivity of $K$55 to Input</v>
      </c>
    </row>
    <row r="3" spans="1:11" x14ac:dyDescent="0.2">
      <c r="A3" t="s">
        <v>305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87">
        <v>1</v>
      </c>
      <c r="B5" s="79">
        <v>239759.51</v>
      </c>
      <c r="K5">
        <f>INDEX(OutputValues,1,$J$4)</f>
        <v>239759.51</v>
      </c>
    </row>
    <row r="6" spans="1:11" x14ac:dyDescent="0.2">
      <c r="A6" s="87">
        <v>2</v>
      </c>
      <c r="B6" s="80">
        <v>296383.92</v>
      </c>
      <c r="K6">
        <f>INDEX(OutputValues,2,$J$4)</f>
        <v>296383.92</v>
      </c>
    </row>
    <row r="7" spans="1:11" x14ac:dyDescent="0.2">
      <c r="A7" s="87">
        <v>3</v>
      </c>
      <c r="B7" s="80">
        <v>353008.32</v>
      </c>
      <c r="K7">
        <f>INDEX(OutputValues,3,$J$4)</f>
        <v>353008.32</v>
      </c>
    </row>
    <row r="8" spans="1:11" x14ac:dyDescent="0.2">
      <c r="A8" s="87">
        <v>4</v>
      </c>
      <c r="B8" s="80">
        <v>409632.73</v>
      </c>
      <c r="K8">
        <f>INDEX(OutputValues,4,$J$4)</f>
        <v>409632.73</v>
      </c>
    </row>
    <row r="9" spans="1:11" x14ac:dyDescent="0.2">
      <c r="A9" s="87">
        <v>5</v>
      </c>
      <c r="B9" s="80">
        <v>466257.13</v>
      </c>
      <c r="K9">
        <f>INDEX(OutputValues,5,$J$4)</f>
        <v>466257.13</v>
      </c>
    </row>
    <row r="10" spans="1:11" x14ac:dyDescent="0.2">
      <c r="A10" s="87">
        <v>6</v>
      </c>
      <c r="B10" s="80">
        <v>522881.54</v>
      </c>
      <c r="K10">
        <f>INDEX(OutputValues,6,$J$4)</f>
        <v>522881.54</v>
      </c>
    </row>
    <row r="11" spans="1:11" x14ac:dyDescent="0.2">
      <c r="A11" s="87">
        <v>7</v>
      </c>
      <c r="B11" s="80">
        <v>579505.93999999994</v>
      </c>
      <c r="K11">
        <f>INDEX(OutputValues,7,$J$4)</f>
        <v>579505.93999999994</v>
      </c>
    </row>
    <row r="12" spans="1:11" x14ac:dyDescent="0.2">
      <c r="A12" s="87">
        <v>8</v>
      </c>
      <c r="B12" s="80">
        <v>636130.35</v>
      </c>
      <c r="K12">
        <f>INDEX(OutputValues,8,$J$4)</f>
        <v>636130.35</v>
      </c>
    </row>
    <row r="13" spans="1:11" x14ac:dyDescent="0.2">
      <c r="A13" s="87">
        <v>9</v>
      </c>
      <c r="B13" s="80">
        <v>692754.75</v>
      </c>
      <c r="K13">
        <f>INDEX(OutputValues,9,$J$4)</f>
        <v>692754.75</v>
      </c>
    </row>
    <row r="14" spans="1:11" x14ac:dyDescent="0.2">
      <c r="A14" s="87">
        <v>10</v>
      </c>
      <c r="B14" s="80">
        <v>749379.16</v>
      </c>
      <c r="K14">
        <f>INDEX(OutputValues,10,$J$4)</f>
        <v>749379.16</v>
      </c>
    </row>
    <row r="15" spans="1:11" x14ac:dyDescent="0.2">
      <c r="A15" s="87">
        <v>11</v>
      </c>
      <c r="B15" s="80">
        <v>806003.56</v>
      </c>
      <c r="K15">
        <f>INDEX(OutputValues,11,$J$4)</f>
        <v>806003.56</v>
      </c>
    </row>
    <row r="16" spans="1:11" x14ac:dyDescent="0.2">
      <c r="A16" s="87">
        <v>12</v>
      </c>
      <c r="B16" s="80">
        <v>862627.97</v>
      </c>
      <c r="K16">
        <f>INDEX(OutputValues,12,$J$4)</f>
        <v>862627.97</v>
      </c>
    </row>
    <row r="17" spans="1:11" x14ac:dyDescent="0.2">
      <c r="A17" s="87">
        <v>13</v>
      </c>
      <c r="B17" s="80">
        <v>919252.37</v>
      </c>
      <c r="K17">
        <f>INDEX(OutputValues,13,$J$4)</f>
        <v>919252.37</v>
      </c>
    </row>
    <row r="18" spans="1:11" x14ac:dyDescent="0.2">
      <c r="A18" s="87">
        <v>14</v>
      </c>
      <c r="B18" s="80">
        <v>975876.78</v>
      </c>
      <c r="K18">
        <f>INDEX(OutputValues,14,$J$4)</f>
        <v>975876.78</v>
      </c>
    </row>
    <row r="19" spans="1:11" x14ac:dyDescent="0.2">
      <c r="A19" s="87">
        <v>15</v>
      </c>
      <c r="B19" s="80">
        <v>1032501.18</v>
      </c>
      <c r="K19">
        <f>INDEX(OutputValues,15,$J$4)</f>
        <v>1032501.18</v>
      </c>
    </row>
    <row r="20" spans="1:11" x14ac:dyDescent="0.2">
      <c r="A20" s="87">
        <v>16</v>
      </c>
      <c r="B20" s="80">
        <v>1089125.5900000001</v>
      </c>
      <c r="K20">
        <f>INDEX(OutputValues,16,$J$4)</f>
        <v>1089125.5900000001</v>
      </c>
    </row>
    <row r="21" spans="1:11" x14ac:dyDescent="0.2">
      <c r="A21" s="87">
        <v>17</v>
      </c>
      <c r="B21" s="80">
        <v>1145749.99</v>
      </c>
      <c r="K21">
        <f>INDEX(OutputValues,17,$J$4)</f>
        <v>1145749.99</v>
      </c>
    </row>
    <row r="22" spans="1:11" x14ac:dyDescent="0.2">
      <c r="A22" s="87">
        <v>18</v>
      </c>
      <c r="B22" s="80">
        <v>1202374.3999999999</v>
      </c>
      <c r="K22">
        <f>INDEX(OutputValues,18,$J$4)</f>
        <v>1202374.3999999999</v>
      </c>
    </row>
    <row r="23" spans="1:11" x14ac:dyDescent="0.2">
      <c r="A23" s="87">
        <v>19</v>
      </c>
      <c r="B23" s="80">
        <v>1258998.8</v>
      </c>
      <c r="K23">
        <f>INDEX(OutputValues,19,$J$4)</f>
        <v>1258998.8</v>
      </c>
    </row>
    <row r="24" spans="1:11" x14ac:dyDescent="0.2">
      <c r="A24" s="87">
        <v>20</v>
      </c>
      <c r="B24" s="80">
        <v>1315623.21</v>
      </c>
      <c r="K24">
        <f>INDEX(OutputValues,20,$J$4)</f>
        <v>1315623.21</v>
      </c>
    </row>
    <row r="25" spans="1:11" x14ac:dyDescent="0.2">
      <c r="A25" s="87">
        <v>21</v>
      </c>
      <c r="B25" s="80">
        <v>1372247.61</v>
      </c>
      <c r="K25">
        <f>INDEX(OutputValues,21,$J$4)</f>
        <v>1372247.61</v>
      </c>
    </row>
    <row r="26" spans="1:11" x14ac:dyDescent="0.2">
      <c r="A26" s="87">
        <v>22</v>
      </c>
      <c r="B26" s="80">
        <v>1428872.02</v>
      </c>
      <c r="K26">
        <f>INDEX(OutputValues,22,$J$4)</f>
        <v>1428872.02</v>
      </c>
    </row>
    <row r="27" spans="1:11" x14ac:dyDescent="0.2">
      <c r="A27" s="87">
        <v>23</v>
      </c>
      <c r="B27" s="80">
        <v>1485496.42</v>
      </c>
      <c r="K27">
        <f>INDEX(OutputValues,23,$J$4)</f>
        <v>1485496.42</v>
      </c>
    </row>
    <row r="28" spans="1:11" x14ac:dyDescent="0.2">
      <c r="A28" s="87">
        <v>24</v>
      </c>
      <c r="B28" s="80">
        <v>1542120.83</v>
      </c>
      <c r="K28">
        <f>INDEX(OutputValues,24,$J$4)</f>
        <v>1542120.83</v>
      </c>
    </row>
    <row r="29" spans="1:11" x14ac:dyDescent="0.2">
      <c r="A29" s="87">
        <v>25</v>
      </c>
      <c r="B29" s="80">
        <v>1598745.23</v>
      </c>
      <c r="K29">
        <f>INDEX(OutputValues,25,$J$4)</f>
        <v>1598745.23</v>
      </c>
    </row>
    <row r="30" spans="1:11" x14ac:dyDescent="0.2">
      <c r="A30" s="87">
        <v>26</v>
      </c>
      <c r="B30" s="80">
        <v>1655369.63</v>
      </c>
      <c r="K30">
        <f>INDEX(OutputValues,26,$J$4)</f>
        <v>1655369.63</v>
      </c>
    </row>
    <row r="31" spans="1:11" x14ac:dyDescent="0.2">
      <c r="A31" s="87">
        <v>27</v>
      </c>
      <c r="B31" s="80">
        <v>1711994.04</v>
      </c>
      <c r="K31">
        <f>INDEX(OutputValues,27,$J$4)</f>
        <v>1711994.04</v>
      </c>
    </row>
    <row r="32" spans="1:11" x14ac:dyDescent="0.2">
      <c r="A32" s="87">
        <v>28</v>
      </c>
      <c r="B32" s="80">
        <v>1768618.44</v>
      </c>
      <c r="K32">
        <f>INDEX(OutputValues,28,$J$4)</f>
        <v>1768618.44</v>
      </c>
    </row>
    <row r="33" spans="1:11" x14ac:dyDescent="0.2">
      <c r="A33" s="87">
        <v>29</v>
      </c>
      <c r="B33" s="80">
        <v>1825242.85</v>
      </c>
      <c r="K33">
        <f>INDEX(OutputValues,29,$J$4)</f>
        <v>1825242.85</v>
      </c>
    </row>
    <row r="34" spans="1:11" x14ac:dyDescent="0.2">
      <c r="A34" s="87">
        <v>30</v>
      </c>
      <c r="B34" s="80">
        <v>1881867.25</v>
      </c>
      <c r="K34">
        <f>INDEX(OutputValues,30,$J$4)</f>
        <v>1881867.25</v>
      </c>
    </row>
    <row r="35" spans="1:11" x14ac:dyDescent="0.2">
      <c r="A35" s="87">
        <v>31</v>
      </c>
      <c r="B35" s="80">
        <v>1938491.66</v>
      </c>
      <c r="K35">
        <f>INDEX(OutputValues,31,$J$4)</f>
        <v>1938491.66</v>
      </c>
    </row>
    <row r="36" spans="1:11" x14ac:dyDescent="0.2">
      <c r="A36" s="87">
        <v>32</v>
      </c>
      <c r="B36" s="80">
        <v>1995116.06</v>
      </c>
      <c r="K36">
        <f>INDEX(OutputValues,32,$J$4)</f>
        <v>1995116.06</v>
      </c>
    </row>
    <row r="37" spans="1:11" x14ac:dyDescent="0.2">
      <c r="A37" s="87">
        <v>33</v>
      </c>
      <c r="B37" s="80">
        <v>2051740.47</v>
      </c>
      <c r="K37">
        <f>INDEX(OutputValues,33,$J$4)</f>
        <v>2051740.47</v>
      </c>
    </row>
    <row r="38" spans="1:11" x14ac:dyDescent="0.2">
      <c r="A38" s="87">
        <v>34</v>
      </c>
      <c r="B38" s="80">
        <v>2108364.87</v>
      </c>
      <c r="K38">
        <f>INDEX(OutputValues,34,$J$4)</f>
        <v>2108364.87</v>
      </c>
    </row>
    <row r="39" spans="1:11" x14ac:dyDescent="0.2">
      <c r="A39" s="87">
        <v>35</v>
      </c>
      <c r="B39" s="80">
        <v>2164989.2799999998</v>
      </c>
      <c r="K39">
        <f>INDEX(OutputValues,35,$J$4)</f>
        <v>2164989.2799999998</v>
      </c>
    </row>
    <row r="40" spans="1:11" x14ac:dyDescent="0.2">
      <c r="A40" s="87">
        <v>36</v>
      </c>
      <c r="B40" s="80">
        <v>2221613.6800000002</v>
      </c>
      <c r="K40">
        <f>INDEX(OutputValues,36,$J$4)</f>
        <v>2221613.6800000002</v>
      </c>
    </row>
    <row r="41" spans="1:11" x14ac:dyDescent="0.2">
      <c r="A41" s="87">
        <v>37</v>
      </c>
      <c r="B41" s="80">
        <v>2278238.09</v>
      </c>
      <c r="K41">
        <f>INDEX(OutputValues,37,$J$4)</f>
        <v>2278238.09</v>
      </c>
    </row>
    <row r="42" spans="1:11" x14ac:dyDescent="0.2">
      <c r="A42" s="87">
        <v>38</v>
      </c>
      <c r="B42" s="80">
        <v>2334862.4900000002</v>
      </c>
      <c r="K42">
        <f>INDEX(OutputValues,38,$J$4)</f>
        <v>2334862.4900000002</v>
      </c>
    </row>
    <row r="43" spans="1:11" x14ac:dyDescent="0.2">
      <c r="A43" s="87">
        <v>39</v>
      </c>
      <c r="B43" s="80">
        <v>2391486.9</v>
      </c>
      <c r="K43">
        <f>INDEX(OutputValues,39,$J$4)</f>
        <v>2391486.9</v>
      </c>
    </row>
    <row r="44" spans="1:11" x14ac:dyDescent="0.2">
      <c r="A44" s="87">
        <v>40</v>
      </c>
      <c r="B44" s="80">
        <v>2448111.2999999998</v>
      </c>
      <c r="K44">
        <f>INDEX(OutputValues,40,$J$4)</f>
        <v>2448111.2999999998</v>
      </c>
    </row>
    <row r="45" spans="1:11" x14ac:dyDescent="0.2">
      <c r="A45" s="87">
        <v>41</v>
      </c>
      <c r="B45" s="80">
        <v>2504735.71</v>
      </c>
      <c r="K45">
        <f>INDEX(OutputValues,41,$J$4)</f>
        <v>2504735.71</v>
      </c>
    </row>
    <row r="46" spans="1:11" x14ac:dyDescent="0.2">
      <c r="A46" s="87">
        <v>42</v>
      </c>
      <c r="B46" s="80">
        <v>2561360.11</v>
      </c>
      <c r="K46">
        <f>INDEX(OutputValues,42,$J$4)</f>
        <v>2561360.11</v>
      </c>
    </row>
    <row r="47" spans="1:11" x14ac:dyDescent="0.2">
      <c r="A47" s="87">
        <v>43</v>
      </c>
      <c r="B47" s="80">
        <v>2617984.52</v>
      </c>
      <c r="K47">
        <f>INDEX(OutputValues,43,$J$4)</f>
        <v>2617984.52</v>
      </c>
    </row>
    <row r="48" spans="1:11" x14ac:dyDescent="0.2">
      <c r="A48" s="87">
        <v>44</v>
      </c>
      <c r="B48" s="80">
        <v>2674608.92</v>
      </c>
      <c r="K48">
        <f>INDEX(OutputValues,44,$J$4)</f>
        <v>2674608.92</v>
      </c>
    </row>
    <row r="49" spans="1:11" x14ac:dyDescent="0.2">
      <c r="A49" s="87">
        <v>45</v>
      </c>
      <c r="B49" s="80">
        <v>2731233.33</v>
      </c>
      <c r="K49">
        <f>INDEX(OutputValues,45,$J$4)</f>
        <v>2731233.33</v>
      </c>
    </row>
    <row r="50" spans="1:11" x14ac:dyDescent="0.2">
      <c r="A50" s="87">
        <v>46</v>
      </c>
      <c r="B50" s="80">
        <v>2787857.73</v>
      </c>
      <c r="K50">
        <f>INDEX(OutputValues,46,$J$4)</f>
        <v>2787857.73</v>
      </c>
    </row>
    <row r="51" spans="1:11" x14ac:dyDescent="0.2">
      <c r="A51" s="87">
        <v>47</v>
      </c>
      <c r="B51" s="80">
        <v>2844482.14</v>
      </c>
      <c r="K51">
        <f>INDEX(OutputValues,47,$J$4)</f>
        <v>2844482.14</v>
      </c>
    </row>
    <row r="52" spans="1:11" x14ac:dyDescent="0.2">
      <c r="A52" s="87">
        <v>48</v>
      </c>
      <c r="B52" s="80">
        <v>2901106.54</v>
      </c>
      <c r="K52">
        <f>INDEX(OutputValues,48,$J$4)</f>
        <v>2901106.54</v>
      </c>
    </row>
    <row r="53" spans="1:11" x14ac:dyDescent="0.2">
      <c r="A53" s="87">
        <v>49</v>
      </c>
      <c r="B53" s="80">
        <v>2957730.95</v>
      </c>
      <c r="K53">
        <f>INDEX(OutputValues,49,$J$4)</f>
        <v>2957730.95</v>
      </c>
    </row>
    <row r="54" spans="1:11" x14ac:dyDescent="0.2">
      <c r="A54" s="87">
        <v>50</v>
      </c>
      <c r="B54" s="80">
        <v>3014355.35</v>
      </c>
      <c r="K54">
        <f>INDEX(OutputValues,50,$J$4)</f>
        <v>3014355.35</v>
      </c>
    </row>
    <row r="55" spans="1:11" x14ac:dyDescent="0.2">
      <c r="A55" s="87">
        <v>51</v>
      </c>
      <c r="B55" s="80">
        <v>3070979.76</v>
      </c>
      <c r="K55">
        <f>INDEX(OutputValues,51,$J$4)</f>
        <v>3070979.76</v>
      </c>
    </row>
    <row r="56" spans="1:11" x14ac:dyDescent="0.2">
      <c r="A56" s="87">
        <v>52</v>
      </c>
      <c r="B56" s="80">
        <v>3127604.16</v>
      </c>
      <c r="K56">
        <f>INDEX(OutputValues,52,$J$4)</f>
        <v>3127604.16</v>
      </c>
    </row>
    <row r="57" spans="1:11" x14ac:dyDescent="0.2">
      <c r="A57" s="87">
        <v>53</v>
      </c>
      <c r="B57" s="80">
        <v>3184228.57</v>
      </c>
      <c r="K57">
        <f>INDEX(OutputValues,53,$J$4)</f>
        <v>3184228.57</v>
      </c>
    </row>
    <row r="58" spans="1:11" x14ac:dyDescent="0.2">
      <c r="A58" s="87">
        <v>54</v>
      </c>
      <c r="B58" s="80">
        <v>3240852.97</v>
      </c>
      <c r="K58">
        <f>INDEX(OutputValues,54,$J$4)</f>
        <v>3240852.97</v>
      </c>
    </row>
    <row r="59" spans="1:11" x14ac:dyDescent="0.2">
      <c r="A59" s="87">
        <v>55</v>
      </c>
      <c r="B59" s="80">
        <v>3297477.38</v>
      </c>
      <c r="K59">
        <f>INDEX(OutputValues,55,$J$4)</f>
        <v>3297477.38</v>
      </c>
    </row>
    <row r="60" spans="1:11" x14ac:dyDescent="0.2">
      <c r="A60" s="87">
        <v>56</v>
      </c>
      <c r="B60" s="80">
        <v>3354101.78</v>
      </c>
      <c r="K60">
        <f>INDEX(OutputValues,56,$J$4)</f>
        <v>3354101.78</v>
      </c>
    </row>
    <row r="61" spans="1:11" x14ac:dyDescent="0.2">
      <c r="A61" s="87">
        <v>57</v>
      </c>
      <c r="B61" s="80">
        <v>3410726.19</v>
      </c>
      <c r="K61">
        <f>INDEX(OutputValues,57,$J$4)</f>
        <v>3410726.19</v>
      </c>
    </row>
    <row r="62" spans="1:11" x14ac:dyDescent="0.2">
      <c r="A62" s="87">
        <v>58</v>
      </c>
      <c r="B62" s="80">
        <v>3467350.59</v>
      </c>
      <c r="K62">
        <f>INDEX(OutputValues,58,$J$4)</f>
        <v>3467350.59</v>
      </c>
    </row>
    <row r="63" spans="1:11" x14ac:dyDescent="0.2">
      <c r="A63" s="87">
        <v>59</v>
      </c>
      <c r="B63" s="80">
        <v>3523975</v>
      </c>
      <c r="K63">
        <f>INDEX(OutputValues,59,$J$4)</f>
        <v>3523975</v>
      </c>
    </row>
    <row r="64" spans="1:11" x14ac:dyDescent="0.2">
      <c r="A64" s="87">
        <v>60</v>
      </c>
      <c r="B64" s="80">
        <v>3580599.4</v>
      </c>
      <c r="K64">
        <f>INDEX(OutputValues,60,$J$4)</f>
        <v>3580599.4</v>
      </c>
    </row>
    <row r="65" spans="1:11" x14ac:dyDescent="0.2">
      <c r="A65" s="87">
        <v>61</v>
      </c>
      <c r="B65" s="80">
        <v>3637223.81</v>
      </c>
      <c r="K65">
        <f>INDEX(OutputValues,61,$J$4)</f>
        <v>3637223.81</v>
      </c>
    </row>
    <row r="66" spans="1:11" x14ac:dyDescent="0.2">
      <c r="A66" s="87">
        <v>62</v>
      </c>
      <c r="B66" s="80">
        <v>3693848.21</v>
      </c>
      <c r="K66">
        <f>INDEX(OutputValues,62,$J$4)</f>
        <v>3693848.21</v>
      </c>
    </row>
    <row r="67" spans="1:11" x14ac:dyDescent="0.2">
      <c r="A67" s="87">
        <v>63</v>
      </c>
      <c r="B67" s="80">
        <v>3750472.62</v>
      </c>
      <c r="K67">
        <f>INDEX(OutputValues,63,$J$4)</f>
        <v>3750472.62</v>
      </c>
    </row>
    <row r="68" spans="1:11" x14ac:dyDescent="0.2">
      <c r="A68" s="87">
        <v>64</v>
      </c>
      <c r="B68" s="80">
        <v>3807097.02</v>
      </c>
      <c r="K68">
        <f>INDEX(OutputValues,64,$J$4)</f>
        <v>3807097.02</v>
      </c>
    </row>
    <row r="69" spans="1:11" x14ac:dyDescent="0.2">
      <c r="A69" s="87">
        <v>65</v>
      </c>
      <c r="B69" s="80">
        <v>3863721.43</v>
      </c>
      <c r="K69">
        <f>INDEX(OutputValues,65,$J$4)</f>
        <v>3863721.43</v>
      </c>
    </row>
    <row r="70" spans="1:11" x14ac:dyDescent="0.2">
      <c r="A70" s="87">
        <v>66</v>
      </c>
      <c r="B70" s="80">
        <v>3920345.83</v>
      </c>
      <c r="K70">
        <f>INDEX(OutputValues,66,$J$4)</f>
        <v>3920345.83</v>
      </c>
    </row>
    <row r="71" spans="1:11" x14ac:dyDescent="0.2">
      <c r="A71" s="87">
        <v>67</v>
      </c>
      <c r="B71" s="80">
        <v>3976970.2400000002</v>
      </c>
      <c r="K71">
        <f>INDEX(OutputValues,67,$J$4)</f>
        <v>3976970.2400000002</v>
      </c>
    </row>
    <row r="72" spans="1:11" x14ac:dyDescent="0.2">
      <c r="A72" s="87">
        <v>68</v>
      </c>
      <c r="B72" s="80">
        <v>4033594.64</v>
      </c>
      <c r="K72">
        <f>INDEX(OutputValues,68,$J$4)</f>
        <v>4033594.64</v>
      </c>
    </row>
    <row r="73" spans="1:11" x14ac:dyDescent="0.2">
      <c r="A73" s="87">
        <v>69</v>
      </c>
      <c r="B73" s="80">
        <v>4090219.05</v>
      </c>
      <c r="K73">
        <f>INDEX(OutputValues,69,$J$4)</f>
        <v>4090219.05</v>
      </c>
    </row>
    <row r="74" spans="1:11" x14ac:dyDescent="0.2">
      <c r="A74" s="87">
        <v>70</v>
      </c>
      <c r="B74" s="80">
        <v>4146843.45</v>
      </c>
      <c r="K74">
        <f>INDEX(OutputValues,70,$J$4)</f>
        <v>4146843.45</v>
      </c>
    </row>
    <row r="75" spans="1:11" x14ac:dyDescent="0.2">
      <c r="A75" s="87">
        <v>71</v>
      </c>
      <c r="B75" s="80">
        <v>4203467.8499999996</v>
      </c>
      <c r="K75">
        <f>INDEX(OutputValues,71,$J$4)</f>
        <v>4203467.8499999996</v>
      </c>
    </row>
    <row r="76" spans="1:11" x14ac:dyDescent="0.2">
      <c r="A76" s="87">
        <v>72</v>
      </c>
      <c r="B76" s="80">
        <v>4260092.26</v>
      </c>
      <c r="K76">
        <f>INDEX(OutputValues,72,$J$4)</f>
        <v>4260092.26</v>
      </c>
    </row>
    <row r="77" spans="1:11" x14ac:dyDescent="0.2">
      <c r="A77" s="87">
        <v>73</v>
      </c>
      <c r="B77" s="80">
        <v>4316716.66</v>
      </c>
      <c r="K77">
        <f>INDEX(OutputValues,73,$J$4)</f>
        <v>4316716.66</v>
      </c>
    </row>
    <row r="78" spans="1:11" x14ac:dyDescent="0.2">
      <c r="A78" s="87">
        <v>74</v>
      </c>
      <c r="B78" s="80">
        <v>4373341.07</v>
      </c>
      <c r="K78">
        <f>INDEX(OutputValues,74,$J$4)</f>
        <v>4373341.07</v>
      </c>
    </row>
    <row r="79" spans="1:11" x14ac:dyDescent="0.2">
      <c r="A79" s="87">
        <v>75</v>
      </c>
      <c r="B79" s="80">
        <v>4429965.47</v>
      </c>
      <c r="K79">
        <f>INDEX(OutputValues,75,$J$4)</f>
        <v>4429965.47</v>
      </c>
    </row>
    <row r="80" spans="1:11" x14ac:dyDescent="0.2">
      <c r="A80" s="87">
        <v>76</v>
      </c>
      <c r="B80" s="80">
        <v>4486589.88</v>
      </c>
      <c r="K80">
        <f>INDEX(OutputValues,76,$J$4)</f>
        <v>4486589.88</v>
      </c>
    </row>
    <row r="81" spans="1:11" x14ac:dyDescent="0.2">
      <c r="A81" s="87">
        <v>77</v>
      </c>
      <c r="B81" s="80">
        <v>4543214.28</v>
      </c>
      <c r="K81">
        <f>INDEX(OutputValues,77,$J$4)</f>
        <v>4543214.28</v>
      </c>
    </row>
    <row r="82" spans="1:11" x14ac:dyDescent="0.2">
      <c r="A82" s="87">
        <v>78</v>
      </c>
      <c r="B82" s="80">
        <v>4599838.6900000004</v>
      </c>
      <c r="K82">
        <f>INDEX(OutputValues,78,$J$4)</f>
        <v>4599838.6900000004</v>
      </c>
    </row>
    <row r="83" spans="1:11" x14ac:dyDescent="0.2">
      <c r="A83" s="87">
        <v>79</v>
      </c>
      <c r="B83" s="80">
        <v>4656463.09</v>
      </c>
      <c r="K83">
        <f>INDEX(OutputValues,79,$J$4)</f>
        <v>4656463.09</v>
      </c>
    </row>
    <row r="84" spans="1:11" x14ac:dyDescent="0.2">
      <c r="A84" s="87">
        <v>80</v>
      </c>
      <c r="B84" s="80">
        <v>4713087.5</v>
      </c>
      <c r="K84">
        <f>INDEX(OutputValues,80,$J$4)</f>
        <v>4713087.5</v>
      </c>
    </row>
    <row r="85" spans="1:11" x14ac:dyDescent="0.2">
      <c r="A85" s="87">
        <v>81</v>
      </c>
      <c r="B85" s="80">
        <v>4769711.9000000004</v>
      </c>
      <c r="K85">
        <f>INDEX(OutputValues,81,$J$4)</f>
        <v>4769711.9000000004</v>
      </c>
    </row>
    <row r="86" spans="1:11" x14ac:dyDescent="0.2">
      <c r="A86" s="87">
        <v>82</v>
      </c>
      <c r="B86" s="80">
        <v>4826336.3099999996</v>
      </c>
      <c r="K86">
        <f>INDEX(OutputValues,82,$J$4)</f>
        <v>4826336.3099999996</v>
      </c>
    </row>
    <row r="87" spans="1:11" x14ac:dyDescent="0.2">
      <c r="A87" s="87">
        <v>83</v>
      </c>
      <c r="B87" s="80">
        <v>4882960.71</v>
      </c>
      <c r="K87">
        <f>INDEX(OutputValues,83,$J$4)</f>
        <v>4882960.71</v>
      </c>
    </row>
    <row r="88" spans="1:11" x14ac:dyDescent="0.2">
      <c r="A88" s="87">
        <v>84</v>
      </c>
      <c r="B88" s="80">
        <v>4939585.12</v>
      </c>
      <c r="K88">
        <f>INDEX(OutputValues,84,$J$4)</f>
        <v>4939585.12</v>
      </c>
    </row>
    <row r="89" spans="1:11" x14ac:dyDescent="0.2">
      <c r="A89" s="87">
        <v>85</v>
      </c>
      <c r="B89" s="80">
        <v>4996209.5199999996</v>
      </c>
      <c r="K89">
        <f>INDEX(OutputValues,85,$J$4)</f>
        <v>4996209.5199999996</v>
      </c>
    </row>
    <row r="90" spans="1:11" x14ac:dyDescent="0.2">
      <c r="A90" s="87">
        <v>86</v>
      </c>
      <c r="B90" s="80">
        <v>5052833.93</v>
      </c>
      <c r="K90">
        <f>INDEX(OutputValues,86,$J$4)</f>
        <v>5052833.93</v>
      </c>
    </row>
    <row r="91" spans="1:11" x14ac:dyDescent="0.2">
      <c r="A91" s="87">
        <v>87</v>
      </c>
      <c r="B91" s="80">
        <v>5109458.33</v>
      </c>
      <c r="K91">
        <f>INDEX(OutputValues,87,$J$4)</f>
        <v>5109458.33</v>
      </c>
    </row>
    <row r="92" spans="1:11" x14ac:dyDescent="0.2">
      <c r="A92" s="87">
        <v>88</v>
      </c>
      <c r="B92" s="80">
        <v>5166082.74</v>
      </c>
      <c r="K92">
        <f>INDEX(OutputValues,88,$J$4)</f>
        <v>5166082.74</v>
      </c>
    </row>
    <row r="93" spans="1:11" x14ac:dyDescent="0.2">
      <c r="A93" s="87">
        <v>89</v>
      </c>
      <c r="B93" s="80">
        <v>5222707.1399999997</v>
      </c>
      <c r="K93">
        <f>INDEX(OutputValues,89,$J$4)</f>
        <v>5222707.1399999997</v>
      </c>
    </row>
    <row r="94" spans="1:11" x14ac:dyDescent="0.2">
      <c r="A94" s="87">
        <v>90</v>
      </c>
      <c r="B94" s="80">
        <v>5279331.55</v>
      </c>
      <c r="K94">
        <f>INDEX(OutputValues,90,$J$4)</f>
        <v>5279331.55</v>
      </c>
    </row>
    <row r="95" spans="1:11" x14ac:dyDescent="0.2">
      <c r="A95" s="87">
        <v>91</v>
      </c>
      <c r="B95" s="80">
        <v>5335955.95</v>
      </c>
      <c r="K95">
        <f>INDEX(OutputValues,91,$J$4)</f>
        <v>5335955.95</v>
      </c>
    </row>
    <row r="96" spans="1:11" x14ac:dyDescent="0.2">
      <c r="A96" s="87">
        <v>92</v>
      </c>
      <c r="B96" s="80">
        <v>5392580.3600000003</v>
      </c>
      <c r="K96">
        <f>INDEX(OutputValues,92,$J$4)</f>
        <v>5392580.3600000003</v>
      </c>
    </row>
    <row r="97" spans="1:11" x14ac:dyDescent="0.2">
      <c r="A97" s="87">
        <v>93</v>
      </c>
      <c r="B97" s="80">
        <v>5449204.7599999998</v>
      </c>
      <c r="K97">
        <f>INDEX(OutputValues,93,$J$4)</f>
        <v>5449204.7599999998</v>
      </c>
    </row>
    <row r="98" spans="1:11" x14ac:dyDescent="0.2">
      <c r="A98" s="87">
        <v>94</v>
      </c>
      <c r="B98" s="80">
        <v>5505829.1699999999</v>
      </c>
      <c r="K98">
        <f>INDEX(OutputValues,94,$J$4)</f>
        <v>5505829.1699999999</v>
      </c>
    </row>
    <row r="99" spans="1:11" x14ac:dyDescent="0.2">
      <c r="A99" s="87">
        <v>95</v>
      </c>
      <c r="B99" s="80">
        <v>5562453.5700000003</v>
      </c>
      <c r="K99">
        <f>INDEX(OutputValues,95,$J$4)</f>
        <v>5562453.5700000003</v>
      </c>
    </row>
    <row r="100" spans="1:11" x14ac:dyDescent="0.2">
      <c r="A100" s="87">
        <v>96</v>
      </c>
      <c r="B100" s="80">
        <v>5619077.9800000004</v>
      </c>
      <c r="K100">
        <f>INDEX(OutputValues,96,$J$4)</f>
        <v>5619077.9800000004</v>
      </c>
    </row>
    <row r="101" spans="1:11" x14ac:dyDescent="0.2">
      <c r="A101" s="87">
        <v>97</v>
      </c>
      <c r="B101" s="80">
        <v>5675702.3799999999</v>
      </c>
      <c r="K101">
        <f>INDEX(OutputValues,97,$J$4)</f>
        <v>5675702.3799999999</v>
      </c>
    </row>
    <row r="102" spans="1:11" x14ac:dyDescent="0.2">
      <c r="A102" s="87">
        <v>98</v>
      </c>
      <c r="B102" s="80">
        <v>5732326.79</v>
      </c>
      <c r="K102">
        <f>INDEX(OutputValues,98,$J$4)</f>
        <v>5732326.79</v>
      </c>
    </row>
    <row r="103" spans="1:11" x14ac:dyDescent="0.2">
      <c r="A103" s="87">
        <v>99</v>
      </c>
      <c r="B103" s="80">
        <v>5788951.1900000004</v>
      </c>
      <c r="K103">
        <f>INDEX(OutputValues,99,$J$4)</f>
        <v>5788951.1900000004</v>
      </c>
    </row>
    <row r="104" spans="1:11" x14ac:dyDescent="0.2">
      <c r="A104" s="87">
        <v>100</v>
      </c>
      <c r="B104" s="81">
        <v>5845575.5999999996</v>
      </c>
      <c r="K104">
        <f>INDEX(OutputValues,100,$J$4)</f>
        <v>5845575.5999999996</v>
      </c>
    </row>
  </sheetData>
  <phoneticPr fontId="3" type="noConversion"/>
  <dataValidations count="1">
    <dataValidation type="list" allowBlank="1" showInputMessage="1" showErrorMessage="1" sqref="K4" xr:uid="{6A63B980-C7F2-41AF-95A5-53B07FC4D251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CF17-8D6B-447E-ABD0-8F1C99B7C50C}">
  <dimension ref="A1:K104"/>
  <sheetViews>
    <sheetView topLeftCell="A109" workbookViewId="0"/>
  </sheetViews>
  <sheetFormatPr defaultRowHeight="12.75" x14ac:dyDescent="0.2"/>
  <sheetData>
    <row r="1" spans="1:11" x14ac:dyDescent="0.2">
      <c r="A1" s="1" t="s">
        <v>294</v>
      </c>
      <c r="K1" s="78" t="str">
        <f>CONCATENATE("Sensitivity of ",$K$4," to ","Input")</f>
        <v>Sensitivity of $K$55 to Input</v>
      </c>
    </row>
    <row r="3" spans="1:11" x14ac:dyDescent="0.2">
      <c r="A3" t="s">
        <v>311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9">
        <v>1</v>
      </c>
      <c r="B5" s="89" t="s">
        <v>312</v>
      </c>
      <c r="K5" t="str">
        <f>INDEX(OutputValues,1,$J$4)</f>
        <v>Not feasible</v>
      </c>
    </row>
    <row r="6" spans="1:11" x14ac:dyDescent="0.2">
      <c r="A6" s="9">
        <v>2</v>
      </c>
      <c r="B6" s="90" t="s">
        <v>312</v>
      </c>
      <c r="K6" t="str">
        <f>INDEX(OutputValues,2,$J$4)</f>
        <v>Not feasible</v>
      </c>
    </row>
    <row r="7" spans="1:11" x14ac:dyDescent="0.2">
      <c r="A7" s="9">
        <v>3</v>
      </c>
      <c r="B7" s="90" t="s">
        <v>312</v>
      </c>
      <c r="K7" t="str">
        <f>INDEX(OutputValues,3,$J$4)</f>
        <v>Not feasible</v>
      </c>
    </row>
    <row r="8" spans="1:11" x14ac:dyDescent="0.2">
      <c r="A8" s="9">
        <v>4</v>
      </c>
      <c r="B8" s="90" t="s">
        <v>312</v>
      </c>
      <c r="K8" t="str">
        <f>INDEX(OutputValues,4,$J$4)</f>
        <v>Not feasible</v>
      </c>
    </row>
    <row r="9" spans="1:11" x14ac:dyDescent="0.2">
      <c r="A9" s="9">
        <v>5</v>
      </c>
      <c r="B9" s="90" t="s">
        <v>312</v>
      </c>
      <c r="K9" t="str">
        <f>INDEX(OutputValues,5,$J$4)</f>
        <v>Not feasible</v>
      </c>
    </row>
    <row r="10" spans="1:11" x14ac:dyDescent="0.2">
      <c r="A10" s="9">
        <v>6</v>
      </c>
      <c r="B10" s="90" t="s">
        <v>312</v>
      </c>
      <c r="K10" t="str">
        <f>INDEX(OutputValues,6,$J$4)</f>
        <v>Not feasible</v>
      </c>
    </row>
    <row r="11" spans="1:11" x14ac:dyDescent="0.2">
      <c r="A11" s="9">
        <v>7</v>
      </c>
      <c r="B11" s="90" t="s">
        <v>312</v>
      </c>
      <c r="K11" t="str">
        <f>INDEX(OutputValues,7,$J$4)</f>
        <v>Not feasible</v>
      </c>
    </row>
    <row r="12" spans="1:11" x14ac:dyDescent="0.2">
      <c r="A12" s="9">
        <v>8</v>
      </c>
      <c r="B12" s="90" t="s">
        <v>312</v>
      </c>
      <c r="K12" t="str">
        <f>INDEX(OutputValues,8,$J$4)</f>
        <v>Not feasible</v>
      </c>
    </row>
    <row r="13" spans="1:11" x14ac:dyDescent="0.2">
      <c r="A13" s="9">
        <v>9</v>
      </c>
      <c r="B13" s="90" t="s">
        <v>312</v>
      </c>
      <c r="K13" t="str">
        <f>INDEX(OutputValues,9,$J$4)</f>
        <v>Not feasible</v>
      </c>
    </row>
    <row r="14" spans="1:11" x14ac:dyDescent="0.2">
      <c r="A14" s="9">
        <v>10</v>
      </c>
      <c r="B14" s="90" t="s">
        <v>312</v>
      </c>
      <c r="K14" t="str">
        <f>INDEX(OutputValues,10,$J$4)</f>
        <v>Not feasible</v>
      </c>
    </row>
    <row r="15" spans="1:11" x14ac:dyDescent="0.2">
      <c r="A15" s="9">
        <v>11</v>
      </c>
      <c r="B15" s="90" t="s">
        <v>312</v>
      </c>
      <c r="K15" t="str">
        <f>INDEX(OutputValues,11,$J$4)</f>
        <v>Not feasible</v>
      </c>
    </row>
    <row r="16" spans="1:11" x14ac:dyDescent="0.2">
      <c r="A16" s="9">
        <v>12</v>
      </c>
      <c r="B16" s="90" t="s">
        <v>312</v>
      </c>
      <c r="K16" t="str">
        <f>INDEX(OutputValues,12,$J$4)</f>
        <v>Not feasible</v>
      </c>
    </row>
    <row r="17" spans="1:11" x14ac:dyDescent="0.2">
      <c r="A17" s="9">
        <v>13</v>
      </c>
      <c r="B17" s="90" t="s">
        <v>312</v>
      </c>
      <c r="K17" t="str">
        <f>INDEX(OutputValues,13,$J$4)</f>
        <v>Not feasible</v>
      </c>
    </row>
    <row r="18" spans="1:11" x14ac:dyDescent="0.2">
      <c r="A18" s="9">
        <v>14</v>
      </c>
      <c r="B18" s="90" t="s">
        <v>312</v>
      </c>
      <c r="K18" t="str">
        <f>INDEX(OutputValues,14,$J$4)</f>
        <v>Not feasible</v>
      </c>
    </row>
    <row r="19" spans="1:11" x14ac:dyDescent="0.2">
      <c r="A19" s="9">
        <v>15</v>
      </c>
      <c r="B19" s="90" t="s">
        <v>312</v>
      </c>
      <c r="K19" t="str">
        <f>INDEX(OutputValues,15,$J$4)</f>
        <v>Not feasible</v>
      </c>
    </row>
    <row r="20" spans="1:11" x14ac:dyDescent="0.2">
      <c r="A20" s="9">
        <v>16</v>
      </c>
      <c r="B20" s="90" t="s">
        <v>312</v>
      </c>
      <c r="K20" t="str">
        <f>INDEX(OutputValues,16,$J$4)</f>
        <v>Not feasible</v>
      </c>
    </row>
    <row r="21" spans="1:11" x14ac:dyDescent="0.2">
      <c r="A21" s="9">
        <v>17</v>
      </c>
      <c r="B21" s="90" t="s">
        <v>312</v>
      </c>
      <c r="K21" t="str">
        <f>INDEX(OutputValues,17,$J$4)</f>
        <v>Not feasible</v>
      </c>
    </row>
    <row r="22" spans="1:11" x14ac:dyDescent="0.2">
      <c r="A22" s="9">
        <v>18</v>
      </c>
      <c r="B22" s="90" t="s">
        <v>312</v>
      </c>
      <c r="K22" t="str">
        <f>INDEX(OutputValues,18,$J$4)</f>
        <v>Not feasible</v>
      </c>
    </row>
    <row r="23" spans="1:11" x14ac:dyDescent="0.2">
      <c r="A23" s="9">
        <v>19</v>
      </c>
      <c r="B23" s="90" t="s">
        <v>312</v>
      </c>
      <c r="K23" t="str">
        <f>INDEX(OutputValues,19,$J$4)</f>
        <v>Not feasible</v>
      </c>
    </row>
    <row r="24" spans="1:11" x14ac:dyDescent="0.2">
      <c r="A24" s="9">
        <v>20</v>
      </c>
      <c r="B24" s="90" t="s">
        <v>312</v>
      </c>
      <c r="K24" t="str">
        <f>INDEX(OutputValues,20,$J$4)</f>
        <v>Not feasible</v>
      </c>
    </row>
    <row r="25" spans="1:11" x14ac:dyDescent="0.2">
      <c r="A25" s="9">
        <v>21</v>
      </c>
      <c r="B25" s="90" t="s">
        <v>312</v>
      </c>
      <c r="K25" t="str">
        <f>INDEX(OutputValues,21,$J$4)</f>
        <v>Not feasible</v>
      </c>
    </row>
    <row r="26" spans="1:11" x14ac:dyDescent="0.2">
      <c r="A26" s="9">
        <v>22</v>
      </c>
      <c r="B26" s="90" t="s">
        <v>312</v>
      </c>
      <c r="K26" t="str">
        <f>INDEX(OutputValues,22,$J$4)</f>
        <v>Not feasible</v>
      </c>
    </row>
    <row r="27" spans="1:11" x14ac:dyDescent="0.2">
      <c r="A27" s="9">
        <v>23</v>
      </c>
      <c r="B27" s="90" t="s">
        <v>312</v>
      </c>
      <c r="K27" t="str">
        <f>INDEX(OutputValues,23,$J$4)</f>
        <v>Not feasible</v>
      </c>
    </row>
    <row r="28" spans="1:11" x14ac:dyDescent="0.2">
      <c r="A28" s="9">
        <v>24</v>
      </c>
      <c r="B28" s="90" t="s">
        <v>312</v>
      </c>
      <c r="K28" t="str">
        <f>INDEX(OutputValues,24,$J$4)</f>
        <v>Not feasible</v>
      </c>
    </row>
    <row r="29" spans="1:11" x14ac:dyDescent="0.2">
      <c r="A29" s="9">
        <v>25</v>
      </c>
      <c r="B29" s="90" t="s">
        <v>312</v>
      </c>
      <c r="K29" t="str">
        <f>INDEX(OutputValues,25,$J$4)</f>
        <v>Not feasible</v>
      </c>
    </row>
    <row r="30" spans="1:11" x14ac:dyDescent="0.2">
      <c r="A30" s="9">
        <v>26</v>
      </c>
      <c r="B30" s="90" t="s">
        <v>312</v>
      </c>
      <c r="K30" t="str">
        <f>INDEX(OutputValues,26,$J$4)</f>
        <v>Not feasible</v>
      </c>
    </row>
    <row r="31" spans="1:11" x14ac:dyDescent="0.2">
      <c r="A31" s="9">
        <v>27</v>
      </c>
      <c r="B31" s="90" t="s">
        <v>312</v>
      </c>
      <c r="K31" t="str">
        <f>INDEX(OutputValues,27,$J$4)</f>
        <v>Not feasible</v>
      </c>
    </row>
    <row r="32" spans="1:11" x14ac:dyDescent="0.2">
      <c r="A32" s="9">
        <v>28</v>
      </c>
      <c r="B32" s="90" t="s">
        <v>312</v>
      </c>
      <c r="K32" t="str">
        <f>INDEX(OutputValues,28,$J$4)</f>
        <v>Not feasible</v>
      </c>
    </row>
    <row r="33" spans="1:11" x14ac:dyDescent="0.2">
      <c r="A33" s="9">
        <v>29</v>
      </c>
      <c r="B33" s="90" t="s">
        <v>312</v>
      </c>
      <c r="K33" t="str">
        <f>INDEX(OutputValues,29,$J$4)</f>
        <v>Not feasible</v>
      </c>
    </row>
    <row r="34" spans="1:11" x14ac:dyDescent="0.2">
      <c r="A34" s="9">
        <v>30</v>
      </c>
      <c r="B34" s="90" t="s">
        <v>312</v>
      </c>
      <c r="K34" t="str">
        <f>INDEX(OutputValues,30,$J$4)</f>
        <v>Not feasible</v>
      </c>
    </row>
    <row r="35" spans="1:11" x14ac:dyDescent="0.2">
      <c r="A35" s="9">
        <v>31</v>
      </c>
      <c r="B35" s="90" t="s">
        <v>312</v>
      </c>
      <c r="K35" t="str">
        <f>INDEX(OutputValues,31,$J$4)</f>
        <v>Not feasible</v>
      </c>
    </row>
    <row r="36" spans="1:11" x14ac:dyDescent="0.2">
      <c r="A36" s="9">
        <v>32</v>
      </c>
      <c r="B36" s="90" t="s">
        <v>312</v>
      </c>
      <c r="K36" t="str">
        <f>INDEX(OutputValues,32,$J$4)</f>
        <v>Not feasible</v>
      </c>
    </row>
    <row r="37" spans="1:11" x14ac:dyDescent="0.2">
      <c r="A37" s="9">
        <v>33</v>
      </c>
      <c r="B37" s="90" t="s">
        <v>312</v>
      </c>
      <c r="K37" t="str">
        <f>INDEX(OutputValues,33,$J$4)</f>
        <v>Not feasible</v>
      </c>
    </row>
    <row r="38" spans="1:11" x14ac:dyDescent="0.2">
      <c r="A38" s="9">
        <v>34</v>
      </c>
      <c r="B38" s="90" t="s">
        <v>312</v>
      </c>
      <c r="K38" t="str">
        <f>INDEX(OutputValues,34,$J$4)</f>
        <v>Not feasible</v>
      </c>
    </row>
    <row r="39" spans="1:11" x14ac:dyDescent="0.2">
      <c r="A39" s="9">
        <v>35</v>
      </c>
      <c r="B39" s="90" t="s">
        <v>312</v>
      </c>
      <c r="K39" t="str">
        <f>INDEX(OutputValues,35,$J$4)</f>
        <v>Not feasible</v>
      </c>
    </row>
    <row r="40" spans="1:11" x14ac:dyDescent="0.2">
      <c r="A40" s="9">
        <v>36</v>
      </c>
      <c r="B40" s="90" t="s">
        <v>312</v>
      </c>
      <c r="K40" t="str">
        <f>INDEX(OutputValues,36,$J$4)</f>
        <v>Not feasible</v>
      </c>
    </row>
    <row r="41" spans="1:11" x14ac:dyDescent="0.2">
      <c r="A41" s="9">
        <v>37</v>
      </c>
      <c r="B41" s="90" t="s">
        <v>312</v>
      </c>
      <c r="K41" t="str">
        <f>INDEX(OutputValues,37,$J$4)</f>
        <v>Not feasible</v>
      </c>
    </row>
    <row r="42" spans="1:11" x14ac:dyDescent="0.2">
      <c r="A42" s="9">
        <v>38</v>
      </c>
      <c r="B42" s="90" t="s">
        <v>312</v>
      </c>
      <c r="K42" t="str">
        <f>INDEX(OutputValues,38,$J$4)</f>
        <v>Not feasible</v>
      </c>
    </row>
    <row r="43" spans="1:11" x14ac:dyDescent="0.2">
      <c r="A43" s="9">
        <v>39</v>
      </c>
      <c r="B43" s="90" t="s">
        <v>312</v>
      </c>
      <c r="K43" t="str">
        <f>INDEX(OutputValues,39,$J$4)</f>
        <v>Not feasible</v>
      </c>
    </row>
    <row r="44" spans="1:11" x14ac:dyDescent="0.2">
      <c r="A44" s="9">
        <v>40</v>
      </c>
      <c r="B44" s="90" t="s">
        <v>312</v>
      </c>
      <c r="K44" t="str">
        <f>INDEX(OutputValues,40,$J$4)</f>
        <v>Not feasible</v>
      </c>
    </row>
    <row r="45" spans="1:11" x14ac:dyDescent="0.2">
      <c r="A45" s="9">
        <v>41</v>
      </c>
      <c r="B45" s="90" t="s">
        <v>312</v>
      </c>
      <c r="K45" t="str">
        <f>INDEX(OutputValues,41,$J$4)</f>
        <v>Not feasible</v>
      </c>
    </row>
    <row r="46" spans="1:11" x14ac:dyDescent="0.2">
      <c r="A46" s="9">
        <v>42</v>
      </c>
      <c r="B46" s="90" t="s">
        <v>312</v>
      </c>
      <c r="K46" t="str">
        <f>INDEX(OutputValues,42,$J$4)</f>
        <v>Not feasible</v>
      </c>
    </row>
    <row r="47" spans="1:11" x14ac:dyDescent="0.2">
      <c r="A47" s="9">
        <v>43</v>
      </c>
      <c r="B47" s="90" t="s">
        <v>312</v>
      </c>
      <c r="K47" t="str">
        <f>INDEX(OutputValues,43,$J$4)</f>
        <v>Not feasible</v>
      </c>
    </row>
    <row r="48" spans="1:11" x14ac:dyDescent="0.2">
      <c r="A48" s="9">
        <v>44</v>
      </c>
      <c r="B48" s="90" t="s">
        <v>312</v>
      </c>
      <c r="K48" t="str">
        <f>INDEX(OutputValues,44,$J$4)</f>
        <v>Not feasible</v>
      </c>
    </row>
    <row r="49" spans="1:11" x14ac:dyDescent="0.2">
      <c r="A49" s="9">
        <v>45</v>
      </c>
      <c r="B49" s="90" t="s">
        <v>312</v>
      </c>
      <c r="K49" t="str">
        <f>INDEX(OutputValues,45,$J$4)</f>
        <v>Not feasible</v>
      </c>
    </row>
    <row r="50" spans="1:11" x14ac:dyDescent="0.2">
      <c r="A50" s="9">
        <v>46</v>
      </c>
      <c r="B50" s="90" t="s">
        <v>312</v>
      </c>
      <c r="K50" t="str">
        <f>INDEX(OutputValues,46,$J$4)</f>
        <v>Not feasible</v>
      </c>
    </row>
    <row r="51" spans="1:11" x14ac:dyDescent="0.2">
      <c r="A51" s="9">
        <v>47</v>
      </c>
      <c r="B51" s="90" t="s">
        <v>312</v>
      </c>
      <c r="K51" t="str">
        <f>INDEX(OutputValues,47,$J$4)</f>
        <v>Not feasible</v>
      </c>
    </row>
    <row r="52" spans="1:11" x14ac:dyDescent="0.2">
      <c r="A52" s="9">
        <v>48</v>
      </c>
      <c r="B52" s="90" t="s">
        <v>312</v>
      </c>
      <c r="K52" t="str">
        <f>INDEX(OutputValues,48,$J$4)</f>
        <v>Not feasible</v>
      </c>
    </row>
    <row r="53" spans="1:11" x14ac:dyDescent="0.2">
      <c r="A53" s="9">
        <v>49</v>
      </c>
      <c r="B53" s="90" t="s">
        <v>312</v>
      </c>
      <c r="K53" t="str">
        <f>INDEX(OutputValues,49,$J$4)</f>
        <v>Not feasible</v>
      </c>
    </row>
    <row r="54" spans="1:11" x14ac:dyDescent="0.2">
      <c r="A54" s="9">
        <v>50</v>
      </c>
      <c r="B54" s="90" t="s">
        <v>312</v>
      </c>
      <c r="K54" t="str">
        <f>INDEX(OutputValues,50,$J$4)</f>
        <v>Not feasible</v>
      </c>
    </row>
    <row r="55" spans="1:11" x14ac:dyDescent="0.2">
      <c r="A55" s="9">
        <v>51</v>
      </c>
      <c r="B55" s="90" t="s">
        <v>312</v>
      </c>
      <c r="K55" t="str">
        <f>INDEX(OutputValues,51,$J$4)</f>
        <v>Not feasible</v>
      </c>
    </row>
    <row r="56" spans="1:11" x14ac:dyDescent="0.2">
      <c r="A56" s="9">
        <v>52</v>
      </c>
      <c r="B56" s="90" t="s">
        <v>312</v>
      </c>
      <c r="K56" t="str">
        <f>INDEX(OutputValues,52,$J$4)</f>
        <v>Not feasible</v>
      </c>
    </row>
    <row r="57" spans="1:11" x14ac:dyDescent="0.2">
      <c r="A57" s="9">
        <v>53</v>
      </c>
      <c r="B57" s="90" t="s">
        <v>312</v>
      </c>
      <c r="K57" t="str">
        <f>INDEX(OutputValues,53,$J$4)</f>
        <v>Not feasible</v>
      </c>
    </row>
    <row r="58" spans="1:11" x14ac:dyDescent="0.2">
      <c r="A58" s="9">
        <v>54</v>
      </c>
      <c r="B58" s="90" t="s">
        <v>312</v>
      </c>
      <c r="K58" t="str">
        <f>INDEX(OutputValues,54,$J$4)</f>
        <v>Not feasible</v>
      </c>
    </row>
    <row r="59" spans="1:11" x14ac:dyDescent="0.2">
      <c r="A59" s="9">
        <v>55</v>
      </c>
      <c r="B59" s="90" t="s">
        <v>312</v>
      </c>
      <c r="K59" t="str">
        <f>INDEX(OutputValues,55,$J$4)</f>
        <v>Not feasible</v>
      </c>
    </row>
    <row r="60" spans="1:11" x14ac:dyDescent="0.2">
      <c r="A60" s="9">
        <v>56</v>
      </c>
      <c r="B60" s="90" t="s">
        <v>312</v>
      </c>
      <c r="K60" t="str">
        <f>INDEX(OutputValues,56,$J$4)</f>
        <v>Not feasible</v>
      </c>
    </row>
    <row r="61" spans="1:11" x14ac:dyDescent="0.2">
      <c r="A61" s="9">
        <v>57</v>
      </c>
      <c r="B61" s="90" t="s">
        <v>312</v>
      </c>
      <c r="K61" t="str">
        <f>INDEX(OutputValues,57,$J$4)</f>
        <v>Not feasible</v>
      </c>
    </row>
    <row r="62" spans="1:11" x14ac:dyDescent="0.2">
      <c r="A62" s="9">
        <v>58</v>
      </c>
      <c r="B62" s="90" t="s">
        <v>312</v>
      </c>
      <c r="K62" t="str">
        <f>INDEX(OutputValues,58,$J$4)</f>
        <v>Not feasible</v>
      </c>
    </row>
    <row r="63" spans="1:11" x14ac:dyDescent="0.2">
      <c r="A63" s="9">
        <v>59</v>
      </c>
      <c r="B63" s="90" t="s">
        <v>312</v>
      </c>
      <c r="K63" t="str">
        <f>INDEX(OutputValues,59,$J$4)</f>
        <v>Not feasible</v>
      </c>
    </row>
    <row r="64" spans="1:11" x14ac:dyDescent="0.2">
      <c r="A64" s="9">
        <v>60</v>
      </c>
      <c r="B64" s="90" t="s">
        <v>312</v>
      </c>
      <c r="K64" t="str">
        <f>INDEX(OutputValues,60,$J$4)</f>
        <v>Not feasible</v>
      </c>
    </row>
    <row r="65" spans="1:11" x14ac:dyDescent="0.2">
      <c r="A65" s="9">
        <v>61</v>
      </c>
      <c r="B65" s="90" t="s">
        <v>312</v>
      </c>
      <c r="K65" t="str">
        <f>INDEX(OutputValues,61,$J$4)</f>
        <v>Not feasible</v>
      </c>
    </row>
    <row r="66" spans="1:11" x14ac:dyDescent="0.2">
      <c r="A66" s="9">
        <v>62</v>
      </c>
      <c r="B66" s="90" t="s">
        <v>312</v>
      </c>
      <c r="K66" t="str">
        <f>INDEX(OutputValues,62,$J$4)</f>
        <v>Not feasible</v>
      </c>
    </row>
    <row r="67" spans="1:11" x14ac:dyDescent="0.2">
      <c r="A67" s="9">
        <v>63</v>
      </c>
      <c r="B67" s="90" t="s">
        <v>312</v>
      </c>
      <c r="K67" t="str">
        <f>INDEX(OutputValues,63,$J$4)</f>
        <v>Not feasible</v>
      </c>
    </row>
    <row r="68" spans="1:11" x14ac:dyDescent="0.2">
      <c r="A68" s="9">
        <v>64</v>
      </c>
      <c r="B68" s="90" t="s">
        <v>312</v>
      </c>
      <c r="K68" t="str">
        <f>INDEX(OutputValues,64,$J$4)</f>
        <v>Not feasible</v>
      </c>
    </row>
    <row r="69" spans="1:11" x14ac:dyDescent="0.2">
      <c r="A69" s="9">
        <v>65</v>
      </c>
      <c r="B69" s="90" t="s">
        <v>312</v>
      </c>
      <c r="K69" t="str">
        <f>INDEX(OutputValues,65,$J$4)</f>
        <v>Not feasible</v>
      </c>
    </row>
    <row r="70" spans="1:11" x14ac:dyDescent="0.2">
      <c r="A70" s="9">
        <v>66</v>
      </c>
      <c r="B70" s="90" t="s">
        <v>312</v>
      </c>
      <c r="K70" t="str">
        <f>INDEX(OutputValues,66,$J$4)</f>
        <v>Not feasible</v>
      </c>
    </row>
    <row r="71" spans="1:11" x14ac:dyDescent="0.2">
      <c r="A71" s="9">
        <v>67</v>
      </c>
      <c r="B71" s="90" t="s">
        <v>312</v>
      </c>
      <c r="K71" t="str">
        <f>INDEX(OutputValues,67,$J$4)</f>
        <v>Not feasible</v>
      </c>
    </row>
    <row r="72" spans="1:11" x14ac:dyDescent="0.2">
      <c r="A72" s="9">
        <v>68</v>
      </c>
      <c r="B72" s="90" t="s">
        <v>312</v>
      </c>
      <c r="K72" t="str">
        <f>INDEX(OutputValues,68,$J$4)</f>
        <v>Not feasible</v>
      </c>
    </row>
    <row r="73" spans="1:11" x14ac:dyDescent="0.2">
      <c r="A73" s="9">
        <v>69</v>
      </c>
      <c r="B73" s="90" t="s">
        <v>312</v>
      </c>
      <c r="K73" t="str">
        <f>INDEX(OutputValues,69,$J$4)</f>
        <v>Not feasible</v>
      </c>
    </row>
    <row r="74" spans="1:11" x14ac:dyDescent="0.2">
      <c r="A74" s="9">
        <v>70</v>
      </c>
      <c r="B74" s="90" t="s">
        <v>312</v>
      </c>
      <c r="K74" t="str">
        <f>INDEX(OutputValues,70,$J$4)</f>
        <v>Not feasible</v>
      </c>
    </row>
    <row r="75" spans="1:11" x14ac:dyDescent="0.2">
      <c r="A75" s="9">
        <v>71</v>
      </c>
      <c r="B75" s="90" t="s">
        <v>312</v>
      </c>
      <c r="K75" t="str">
        <f>INDEX(OutputValues,71,$J$4)</f>
        <v>Not feasible</v>
      </c>
    </row>
    <row r="76" spans="1:11" x14ac:dyDescent="0.2">
      <c r="A76" s="9">
        <v>72</v>
      </c>
      <c r="B76" s="90" t="s">
        <v>312</v>
      </c>
      <c r="K76" t="str">
        <f>INDEX(OutputValues,72,$J$4)</f>
        <v>Not feasible</v>
      </c>
    </row>
    <row r="77" spans="1:11" x14ac:dyDescent="0.2">
      <c r="A77" s="9">
        <v>73</v>
      </c>
      <c r="B77" s="90" t="s">
        <v>312</v>
      </c>
      <c r="K77" t="str">
        <f>INDEX(OutputValues,73,$J$4)</f>
        <v>Not feasible</v>
      </c>
    </row>
    <row r="78" spans="1:11" x14ac:dyDescent="0.2">
      <c r="A78" s="9">
        <v>74</v>
      </c>
      <c r="B78" s="90" t="s">
        <v>312</v>
      </c>
      <c r="K78" t="str">
        <f>INDEX(OutputValues,74,$J$4)</f>
        <v>Not feasible</v>
      </c>
    </row>
    <row r="79" spans="1:11" x14ac:dyDescent="0.2">
      <c r="A79" s="9">
        <v>75</v>
      </c>
      <c r="B79" s="90" t="s">
        <v>312</v>
      </c>
      <c r="K79" t="str">
        <f>INDEX(OutputValues,75,$J$4)</f>
        <v>Not feasible</v>
      </c>
    </row>
    <row r="80" spans="1:11" x14ac:dyDescent="0.2">
      <c r="A80" s="9">
        <v>76</v>
      </c>
      <c r="B80" s="90" t="s">
        <v>312</v>
      </c>
      <c r="K80" t="str">
        <f>INDEX(OutputValues,76,$J$4)</f>
        <v>Not feasible</v>
      </c>
    </row>
    <row r="81" spans="1:11" x14ac:dyDescent="0.2">
      <c r="A81" s="9">
        <v>77</v>
      </c>
      <c r="B81" s="90" t="s">
        <v>312</v>
      </c>
      <c r="K81" t="str">
        <f>INDEX(OutputValues,77,$J$4)</f>
        <v>Not feasible</v>
      </c>
    </row>
    <row r="82" spans="1:11" x14ac:dyDescent="0.2">
      <c r="A82" s="9">
        <v>78</v>
      </c>
      <c r="B82" s="90" t="s">
        <v>312</v>
      </c>
      <c r="K82" t="str">
        <f>INDEX(OutputValues,78,$J$4)</f>
        <v>Not feasible</v>
      </c>
    </row>
    <row r="83" spans="1:11" x14ac:dyDescent="0.2">
      <c r="A83" s="9">
        <v>79</v>
      </c>
      <c r="B83" s="90" t="s">
        <v>312</v>
      </c>
      <c r="K83" t="str">
        <f>INDEX(OutputValues,79,$J$4)</f>
        <v>Not feasible</v>
      </c>
    </row>
    <row r="84" spans="1:11" x14ac:dyDescent="0.2">
      <c r="A84" s="9">
        <v>80</v>
      </c>
      <c r="B84" s="90" t="s">
        <v>312</v>
      </c>
      <c r="K84" t="str">
        <f>INDEX(OutputValues,80,$J$4)</f>
        <v>Not feasible</v>
      </c>
    </row>
    <row r="85" spans="1:11" x14ac:dyDescent="0.2">
      <c r="A85" s="9">
        <v>81</v>
      </c>
      <c r="B85" s="90" t="s">
        <v>312</v>
      </c>
      <c r="K85" t="str">
        <f>INDEX(OutputValues,81,$J$4)</f>
        <v>Not feasible</v>
      </c>
    </row>
    <row r="86" spans="1:11" x14ac:dyDescent="0.2">
      <c r="A86" s="9">
        <v>82</v>
      </c>
      <c r="B86" s="90" t="s">
        <v>312</v>
      </c>
      <c r="K86" t="str">
        <f>INDEX(OutputValues,82,$J$4)</f>
        <v>Not feasible</v>
      </c>
    </row>
    <row r="87" spans="1:11" x14ac:dyDescent="0.2">
      <c r="A87" s="9">
        <v>83</v>
      </c>
      <c r="B87" s="90" t="s">
        <v>312</v>
      </c>
      <c r="K87" t="str">
        <f>INDEX(OutputValues,83,$J$4)</f>
        <v>Not feasible</v>
      </c>
    </row>
    <row r="88" spans="1:11" x14ac:dyDescent="0.2">
      <c r="A88" s="9">
        <v>84</v>
      </c>
      <c r="B88" s="90" t="s">
        <v>312</v>
      </c>
      <c r="K88" t="str">
        <f>INDEX(OutputValues,84,$J$4)</f>
        <v>Not feasible</v>
      </c>
    </row>
    <row r="89" spans="1:11" x14ac:dyDescent="0.2">
      <c r="A89" s="9">
        <v>85</v>
      </c>
      <c r="B89" s="90" t="s">
        <v>312</v>
      </c>
      <c r="K89" t="str">
        <f>INDEX(OutputValues,85,$J$4)</f>
        <v>Not feasible</v>
      </c>
    </row>
    <row r="90" spans="1:11" x14ac:dyDescent="0.2">
      <c r="A90" s="9">
        <v>86</v>
      </c>
      <c r="B90" s="90" t="s">
        <v>312</v>
      </c>
      <c r="K90" t="str">
        <f>INDEX(OutputValues,86,$J$4)</f>
        <v>Not feasible</v>
      </c>
    </row>
    <row r="91" spans="1:11" x14ac:dyDescent="0.2">
      <c r="A91" s="9">
        <v>87</v>
      </c>
      <c r="B91" s="90" t="s">
        <v>312</v>
      </c>
      <c r="K91" t="str">
        <f>INDEX(OutputValues,87,$J$4)</f>
        <v>Not feasible</v>
      </c>
    </row>
    <row r="92" spans="1:11" x14ac:dyDescent="0.2">
      <c r="A92" s="9">
        <v>88</v>
      </c>
      <c r="B92" s="90" t="s">
        <v>312</v>
      </c>
      <c r="K92" t="str">
        <f>INDEX(OutputValues,88,$J$4)</f>
        <v>Not feasible</v>
      </c>
    </row>
    <row r="93" spans="1:11" x14ac:dyDescent="0.2">
      <c r="A93" s="9">
        <v>89</v>
      </c>
      <c r="B93" s="90" t="s">
        <v>312</v>
      </c>
      <c r="K93" t="str">
        <f>INDEX(OutputValues,89,$J$4)</f>
        <v>Not feasible</v>
      </c>
    </row>
    <row r="94" spans="1:11" x14ac:dyDescent="0.2">
      <c r="A94" s="9">
        <v>90</v>
      </c>
      <c r="B94" s="90" t="s">
        <v>312</v>
      </c>
      <c r="K94" t="str">
        <f>INDEX(OutputValues,90,$J$4)</f>
        <v>Not feasible</v>
      </c>
    </row>
    <row r="95" spans="1:11" x14ac:dyDescent="0.2">
      <c r="A95" s="9">
        <v>91</v>
      </c>
      <c r="B95" s="90" t="s">
        <v>312</v>
      </c>
      <c r="K95" t="str">
        <f>INDEX(OutputValues,91,$J$4)</f>
        <v>Not feasible</v>
      </c>
    </row>
    <row r="96" spans="1:11" x14ac:dyDescent="0.2">
      <c r="A96" s="9">
        <v>92</v>
      </c>
      <c r="B96" s="90" t="s">
        <v>312</v>
      </c>
      <c r="K96" t="str">
        <f>INDEX(OutputValues,92,$J$4)</f>
        <v>Not feasible</v>
      </c>
    </row>
    <row r="97" spans="1:11" x14ac:dyDescent="0.2">
      <c r="A97" s="9">
        <v>93</v>
      </c>
      <c r="B97" s="90" t="s">
        <v>312</v>
      </c>
      <c r="K97" t="str">
        <f>INDEX(OutputValues,93,$J$4)</f>
        <v>Not feasible</v>
      </c>
    </row>
    <row r="98" spans="1:11" x14ac:dyDescent="0.2">
      <c r="A98" s="9">
        <v>94</v>
      </c>
      <c r="B98" s="90" t="s">
        <v>312</v>
      </c>
      <c r="K98" t="str">
        <f>INDEX(OutputValues,94,$J$4)</f>
        <v>Not feasible</v>
      </c>
    </row>
    <row r="99" spans="1:11" x14ac:dyDescent="0.2">
      <c r="A99" s="9">
        <v>95</v>
      </c>
      <c r="B99" s="90" t="s">
        <v>312</v>
      </c>
      <c r="K99" t="str">
        <f>INDEX(OutputValues,95,$J$4)</f>
        <v>Not feasible</v>
      </c>
    </row>
    <row r="100" spans="1:11" x14ac:dyDescent="0.2">
      <c r="A100" s="9">
        <v>96</v>
      </c>
      <c r="B100" s="90" t="s">
        <v>312</v>
      </c>
      <c r="K100" t="str">
        <f>INDEX(OutputValues,96,$J$4)</f>
        <v>Not feasible</v>
      </c>
    </row>
    <row r="101" spans="1:11" x14ac:dyDescent="0.2">
      <c r="A101" s="9">
        <v>97</v>
      </c>
      <c r="B101" s="90" t="s">
        <v>312</v>
      </c>
      <c r="K101" t="str">
        <f>INDEX(OutputValues,97,$J$4)</f>
        <v>Not feasible</v>
      </c>
    </row>
    <row r="102" spans="1:11" x14ac:dyDescent="0.2">
      <c r="A102" s="9">
        <v>98</v>
      </c>
      <c r="B102" s="90" t="s">
        <v>312</v>
      </c>
      <c r="K102" t="str">
        <f>INDEX(OutputValues,98,$J$4)</f>
        <v>Not feasible</v>
      </c>
    </row>
    <row r="103" spans="1:11" x14ac:dyDescent="0.2">
      <c r="A103" s="9">
        <v>99</v>
      </c>
      <c r="B103" s="90" t="s">
        <v>312</v>
      </c>
      <c r="K103" t="str">
        <f>INDEX(OutputValues,99,$J$4)</f>
        <v>Not feasible</v>
      </c>
    </row>
    <row r="104" spans="1:11" x14ac:dyDescent="0.2">
      <c r="A104" s="9">
        <v>100</v>
      </c>
      <c r="B104" s="91" t="s">
        <v>312</v>
      </c>
      <c r="K104" t="str">
        <f>INDEX(OutputValues,100,$J$4)</f>
        <v>Not feasible</v>
      </c>
    </row>
  </sheetData>
  <phoneticPr fontId="3" type="noConversion"/>
  <dataValidations count="1">
    <dataValidation type="list" allowBlank="1" showInputMessage="1" showErrorMessage="1" sqref="K4" xr:uid="{2871DEB3-D00D-4852-B546-DC12862BAED7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6A05-2A11-417F-A346-2DF17B624F63}">
  <dimension ref="A1:K24"/>
  <sheetViews>
    <sheetView workbookViewId="0"/>
  </sheetViews>
  <sheetFormatPr defaultRowHeight="12.75" x14ac:dyDescent="0.2"/>
  <cols>
    <col min="2" max="2" width="10.42578125" bestFit="1" customWidth="1"/>
  </cols>
  <sheetData>
    <row r="1" spans="1:11" x14ac:dyDescent="0.2">
      <c r="A1" s="1" t="s">
        <v>294</v>
      </c>
      <c r="K1" s="78" t="str">
        <f>CONCATENATE("Sensitivity of ",$K$4," to ","Input")</f>
        <v>Sensitivity of $K$55 to Input</v>
      </c>
    </row>
    <row r="3" spans="1:11" x14ac:dyDescent="0.2">
      <c r="A3" t="s">
        <v>311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9">
        <v>8030</v>
      </c>
      <c r="B5" s="79">
        <v>183135.11</v>
      </c>
      <c r="K5">
        <f>INDEX(OutputValues,1,$J$4)</f>
        <v>183135.11</v>
      </c>
    </row>
    <row r="6" spans="1:11" x14ac:dyDescent="0.2">
      <c r="A6" s="9">
        <v>8130</v>
      </c>
      <c r="B6" s="80">
        <v>183135.11</v>
      </c>
      <c r="K6">
        <f>INDEX(OutputValues,2,$J$4)</f>
        <v>183135.11</v>
      </c>
    </row>
    <row r="7" spans="1:11" x14ac:dyDescent="0.2">
      <c r="A7" s="9">
        <v>8230</v>
      </c>
      <c r="B7" s="80">
        <v>183135.11</v>
      </c>
      <c r="K7">
        <f>INDEX(OutputValues,3,$J$4)</f>
        <v>183135.11</v>
      </c>
    </row>
    <row r="8" spans="1:11" x14ac:dyDescent="0.2">
      <c r="A8" s="9">
        <v>8330</v>
      </c>
      <c r="B8" s="80">
        <v>183135.11</v>
      </c>
      <c r="K8">
        <f>INDEX(OutputValues,4,$J$4)</f>
        <v>183135.11</v>
      </c>
    </row>
    <row r="9" spans="1:11" x14ac:dyDescent="0.2">
      <c r="A9" s="9">
        <v>8430</v>
      </c>
      <c r="B9" s="80">
        <v>183135.11</v>
      </c>
      <c r="K9">
        <f>INDEX(OutputValues,5,$J$4)</f>
        <v>183135.11</v>
      </c>
    </row>
    <row r="10" spans="1:11" x14ac:dyDescent="0.2">
      <c r="A10" s="9">
        <v>8530</v>
      </c>
      <c r="B10" s="80">
        <v>183135.11</v>
      </c>
      <c r="K10">
        <f>INDEX(OutputValues,6,$J$4)</f>
        <v>183135.11</v>
      </c>
    </row>
    <row r="11" spans="1:11" x14ac:dyDescent="0.2">
      <c r="A11" s="9">
        <v>8630</v>
      </c>
      <c r="B11" s="80">
        <v>183135.11</v>
      </c>
      <c r="K11">
        <f>INDEX(OutputValues,7,$J$4)</f>
        <v>183135.11</v>
      </c>
    </row>
    <row r="12" spans="1:11" x14ac:dyDescent="0.2">
      <c r="A12" s="9">
        <v>8730</v>
      </c>
      <c r="B12" s="80">
        <v>183135.11</v>
      </c>
      <c r="K12">
        <f>INDEX(OutputValues,8,$J$4)</f>
        <v>183135.11</v>
      </c>
    </row>
    <row r="13" spans="1:11" x14ac:dyDescent="0.2">
      <c r="A13" s="9">
        <v>8830</v>
      </c>
      <c r="B13" s="80">
        <v>183135.11</v>
      </c>
      <c r="K13">
        <f>INDEX(OutputValues,9,$J$4)</f>
        <v>183135.11</v>
      </c>
    </row>
    <row r="14" spans="1:11" x14ac:dyDescent="0.2">
      <c r="A14" s="9">
        <v>8930</v>
      </c>
      <c r="B14" s="80">
        <v>183135.11</v>
      </c>
      <c r="K14">
        <f>INDEX(OutputValues,10,$J$4)</f>
        <v>183135.11</v>
      </c>
    </row>
    <row r="15" spans="1:11" x14ac:dyDescent="0.2">
      <c r="A15" s="9">
        <v>9030</v>
      </c>
      <c r="B15" s="80">
        <v>183135.11</v>
      </c>
      <c r="K15">
        <f>INDEX(OutputValues,11,$J$4)</f>
        <v>183135.11</v>
      </c>
    </row>
    <row r="16" spans="1:11" x14ac:dyDescent="0.2">
      <c r="A16" s="9">
        <v>9130</v>
      </c>
      <c r="B16" s="80">
        <v>183135.11</v>
      </c>
      <c r="K16">
        <f>INDEX(OutputValues,12,$J$4)</f>
        <v>183135.11</v>
      </c>
    </row>
    <row r="17" spans="1:11" x14ac:dyDescent="0.2">
      <c r="A17" s="9">
        <v>9230</v>
      </c>
      <c r="B17" s="80">
        <v>183135.11</v>
      </c>
      <c r="K17">
        <f>INDEX(OutputValues,13,$J$4)</f>
        <v>183135.11</v>
      </c>
    </row>
    <row r="18" spans="1:11" x14ac:dyDescent="0.2">
      <c r="A18" s="9">
        <v>9330</v>
      </c>
      <c r="B18" s="80">
        <v>183135.11</v>
      </c>
      <c r="K18">
        <f>INDEX(OutputValues,14,$J$4)</f>
        <v>183135.11</v>
      </c>
    </row>
    <row r="19" spans="1:11" x14ac:dyDescent="0.2">
      <c r="A19" s="9">
        <v>9430</v>
      </c>
      <c r="B19" s="80">
        <v>183135.11</v>
      </c>
      <c r="K19">
        <f>INDEX(OutputValues,15,$J$4)</f>
        <v>183135.11</v>
      </c>
    </row>
    <row r="20" spans="1:11" x14ac:dyDescent="0.2">
      <c r="A20" s="9">
        <v>9530</v>
      </c>
      <c r="B20" s="80">
        <v>183135.11</v>
      </c>
      <c r="K20">
        <f>INDEX(OutputValues,16,$J$4)</f>
        <v>183135.11</v>
      </c>
    </row>
    <row r="21" spans="1:11" x14ac:dyDescent="0.2">
      <c r="A21" s="9">
        <v>9630</v>
      </c>
      <c r="B21" s="80">
        <v>183135.11</v>
      </c>
      <c r="K21">
        <f>INDEX(OutputValues,17,$J$4)</f>
        <v>183135.11</v>
      </c>
    </row>
    <row r="22" spans="1:11" x14ac:dyDescent="0.2">
      <c r="A22" s="9">
        <v>9730</v>
      </c>
      <c r="B22" s="80">
        <v>183135.11</v>
      </c>
      <c r="K22">
        <f>INDEX(OutputValues,18,$J$4)</f>
        <v>183135.11</v>
      </c>
    </row>
    <row r="23" spans="1:11" x14ac:dyDescent="0.2">
      <c r="A23" s="9">
        <v>9830</v>
      </c>
      <c r="B23" s="80">
        <v>183135.11</v>
      </c>
      <c r="K23">
        <f>INDEX(OutputValues,19,$J$4)</f>
        <v>183135.11</v>
      </c>
    </row>
    <row r="24" spans="1:11" x14ac:dyDescent="0.2">
      <c r="A24" s="9">
        <v>9930</v>
      </c>
      <c r="B24" s="81">
        <v>183135.11</v>
      </c>
      <c r="K24">
        <f>INDEX(OutputValues,20,$J$4)</f>
        <v>183135.11</v>
      </c>
    </row>
  </sheetData>
  <phoneticPr fontId="3" type="noConversion"/>
  <dataValidations count="1">
    <dataValidation type="list" allowBlank="1" showInputMessage="1" showErrorMessage="1" sqref="K4" xr:uid="{782499DB-F340-43F8-9C57-E36D5DF52956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5D51-8C30-4C03-8B90-D9F37B5EE345}">
  <dimension ref="A1:K17"/>
  <sheetViews>
    <sheetView workbookViewId="0"/>
  </sheetViews>
  <sheetFormatPr defaultRowHeight="12.75" x14ac:dyDescent="0.2"/>
  <cols>
    <col min="2" max="2" width="10.42578125" bestFit="1" customWidth="1"/>
  </cols>
  <sheetData>
    <row r="1" spans="1:11" x14ac:dyDescent="0.2">
      <c r="A1" s="1" t="s">
        <v>294</v>
      </c>
      <c r="K1" s="78" t="str">
        <f>CONCATENATE("Sensitivity of ",$K$4," to ","Input")</f>
        <v>Sensitivity of $K$55 to Input</v>
      </c>
    </row>
    <row r="3" spans="1:11" x14ac:dyDescent="0.2">
      <c r="A3" t="s">
        <v>313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9">
        <v>8780</v>
      </c>
      <c r="B5" s="79">
        <v>183135.11</v>
      </c>
      <c r="K5">
        <f>INDEX(OutputValues,1,$J$4)</f>
        <v>183135.11</v>
      </c>
    </row>
    <row r="6" spans="1:11" x14ac:dyDescent="0.2">
      <c r="A6" s="9">
        <v>8880</v>
      </c>
      <c r="B6" s="80">
        <v>183135.11</v>
      </c>
      <c r="K6">
        <f>INDEX(OutputValues,2,$J$4)</f>
        <v>183135.11</v>
      </c>
    </row>
    <row r="7" spans="1:11" x14ac:dyDescent="0.2">
      <c r="A7" s="9">
        <v>8980</v>
      </c>
      <c r="B7" s="80">
        <v>183135.11</v>
      </c>
      <c r="K7">
        <f>INDEX(OutputValues,3,$J$4)</f>
        <v>183135.11</v>
      </c>
    </row>
    <row r="8" spans="1:11" x14ac:dyDescent="0.2">
      <c r="A8" s="9">
        <v>9080</v>
      </c>
      <c r="B8" s="80">
        <v>183135.11</v>
      </c>
      <c r="K8">
        <f>INDEX(OutputValues,4,$J$4)</f>
        <v>183135.11</v>
      </c>
    </row>
    <row r="9" spans="1:11" x14ac:dyDescent="0.2">
      <c r="A9" s="9">
        <v>9180</v>
      </c>
      <c r="B9" s="80">
        <v>183135.11</v>
      </c>
      <c r="K9">
        <f>INDEX(OutputValues,5,$J$4)</f>
        <v>183135.11</v>
      </c>
    </row>
    <row r="10" spans="1:11" x14ac:dyDescent="0.2">
      <c r="A10" s="9">
        <v>9280</v>
      </c>
      <c r="B10" s="80">
        <v>183135.11</v>
      </c>
      <c r="K10">
        <f>INDEX(OutputValues,6,$J$4)</f>
        <v>183135.11</v>
      </c>
    </row>
    <row r="11" spans="1:11" x14ac:dyDescent="0.2">
      <c r="A11" s="9">
        <v>9380</v>
      </c>
      <c r="B11" s="80">
        <v>183135.11</v>
      </c>
      <c r="K11">
        <f>INDEX(OutputValues,7,$J$4)</f>
        <v>183135.11</v>
      </c>
    </row>
    <row r="12" spans="1:11" x14ac:dyDescent="0.2">
      <c r="A12" s="9">
        <v>9480</v>
      </c>
      <c r="B12" s="80">
        <v>183135.11</v>
      </c>
      <c r="K12">
        <f>INDEX(OutputValues,8,$J$4)</f>
        <v>183135.11</v>
      </c>
    </row>
    <row r="13" spans="1:11" x14ac:dyDescent="0.2">
      <c r="A13" s="9">
        <v>9580</v>
      </c>
      <c r="B13" s="80">
        <v>183135.11</v>
      </c>
      <c r="K13">
        <f>INDEX(OutputValues,9,$J$4)</f>
        <v>183135.11</v>
      </c>
    </row>
    <row r="14" spans="1:11" x14ac:dyDescent="0.2">
      <c r="A14" s="9">
        <v>9680</v>
      </c>
      <c r="B14" s="80">
        <v>183135.11</v>
      </c>
      <c r="K14">
        <f>INDEX(OutputValues,10,$J$4)</f>
        <v>183135.11</v>
      </c>
    </row>
    <row r="15" spans="1:11" x14ac:dyDescent="0.2">
      <c r="A15" s="9">
        <v>9780</v>
      </c>
      <c r="B15" s="80">
        <v>183135.11</v>
      </c>
      <c r="K15">
        <f>INDEX(OutputValues,11,$J$4)</f>
        <v>183135.11</v>
      </c>
    </row>
    <row r="16" spans="1:11" x14ac:dyDescent="0.2">
      <c r="A16" s="9">
        <v>9880</v>
      </c>
      <c r="B16" s="80">
        <v>183135.11</v>
      </c>
      <c r="K16">
        <f>INDEX(OutputValues,12,$J$4)</f>
        <v>183135.11</v>
      </c>
    </row>
    <row r="17" spans="1:11" x14ac:dyDescent="0.2">
      <c r="A17" s="9">
        <v>9980</v>
      </c>
      <c r="B17" s="81">
        <v>183135.11</v>
      </c>
      <c r="K17">
        <f>INDEX(OutputValues,13,$J$4)</f>
        <v>183135.11</v>
      </c>
    </row>
  </sheetData>
  <phoneticPr fontId="3" type="noConversion"/>
  <dataValidations count="1">
    <dataValidation type="list" allowBlank="1" showInputMessage="1" showErrorMessage="1" sqref="K4" xr:uid="{AADF5257-0DEE-450B-9246-49B0A3D6F527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F24E-8883-4EB2-87B1-244EB00683EA}">
  <dimension ref="A1:K45"/>
  <sheetViews>
    <sheetView topLeftCell="A34" workbookViewId="0"/>
  </sheetViews>
  <sheetFormatPr defaultRowHeight="12.75" x14ac:dyDescent="0.2"/>
  <cols>
    <col min="2" max="2" width="10.42578125" bestFit="1" customWidth="1"/>
  </cols>
  <sheetData>
    <row r="1" spans="1:11" x14ac:dyDescent="0.2">
      <c r="A1" s="1" t="s">
        <v>294</v>
      </c>
      <c r="K1" s="78" t="str">
        <f>CONCATENATE("Sensitivity of ",$K$4," to ","Input")</f>
        <v>Sensitivity of $K$55 to Input</v>
      </c>
    </row>
    <row r="3" spans="1:11" x14ac:dyDescent="0.2">
      <c r="A3" t="s">
        <v>316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9">
        <v>4000</v>
      </c>
      <c r="B5" s="79">
        <v>183135.11</v>
      </c>
      <c r="K5">
        <f>INDEX(OutputValues,1,$J$4)</f>
        <v>183135.11</v>
      </c>
    </row>
    <row r="6" spans="1:11" x14ac:dyDescent="0.2">
      <c r="A6" s="9">
        <v>4100</v>
      </c>
      <c r="B6" s="80">
        <v>183135.11</v>
      </c>
      <c r="K6">
        <f>INDEX(OutputValues,2,$J$4)</f>
        <v>183135.11</v>
      </c>
    </row>
    <row r="7" spans="1:11" x14ac:dyDescent="0.2">
      <c r="A7" s="9">
        <v>4200</v>
      </c>
      <c r="B7" s="80">
        <v>183135.11</v>
      </c>
      <c r="K7">
        <f>INDEX(OutputValues,3,$J$4)</f>
        <v>183135.11</v>
      </c>
    </row>
    <row r="8" spans="1:11" x14ac:dyDescent="0.2">
      <c r="A8" s="9">
        <v>4300</v>
      </c>
      <c r="B8" s="80">
        <v>183135.11</v>
      </c>
      <c r="K8">
        <f>INDEX(OutputValues,4,$J$4)</f>
        <v>183135.11</v>
      </c>
    </row>
    <row r="9" spans="1:11" x14ac:dyDescent="0.2">
      <c r="A9" s="9">
        <v>4400</v>
      </c>
      <c r="B9" s="80">
        <v>183135.11</v>
      </c>
      <c r="K9">
        <f>INDEX(OutputValues,5,$J$4)</f>
        <v>183135.11</v>
      </c>
    </row>
    <row r="10" spans="1:11" x14ac:dyDescent="0.2">
      <c r="A10" s="9">
        <v>4500</v>
      </c>
      <c r="B10" s="80">
        <v>183135.11</v>
      </c>
      <c r="K10">
        <f>INDEX(OutputValues,6,$J$4)</f>
        <v>183135.11</v>
      </c>
    </row>
    <row r="11" spans="1:11" x14ac:dyDescent="0.2">
      <c r="A11" s="9">
        <v>4600</v>
      </c>
      <c r="B11" s="80">
        <v>183135.11</v>
      </c>
      <c r="K11">
        <f>INDEX(OutputValues,7,$J$4)</f>
        <v>183135.11</v>
      </c>
    </row>
    <row r="12" spans="1:11" x14ac:dyDescent="0.2">
      <c r="A12" s="9">
        <v>4700</v>
      </c>
      <c r="B12" s="80">
        <v>183135.11</v>
      </c>
      <c r="K12">
        <f>INDEX(OutputValues,8,$J$4)</f>
        <v>183135.11</v>
      </c>
    </row>
    <row r="13" spans="1:11" x14ac:dyDescent="0.2">
      <c r="A13" s="9">
        <v>4800</v>
      </c>
      <c r="B13" s="80">
        <v>183135.11</v>
      </c>
      <c r="K13">
        <f>INDEX(OutputValues,9,$J$4)</f>
        <v>183135.11</v>
      </c>
    </row>
    <row r="14" spans="1:11" x14ac:dyDescent="0.2">
      <c r="A14" s="9">
        <v>4900</v>
      </c>
      <c r="B14" s="80">
        <v>183135.11</v>
      </c>
      <c r="K14">
        <f>INDEX(OutputValues,10,$J$4)</f>
        <v>183135.11</v>
      </c>
    </row>
    <row r="15" spans="1:11" x14ac:dyDescent="0.2">
      <c r="A15" s="9">
        <v>5000</v>
      </c>
      <c r="B15" s="80">
        <v>183135.11</v>
      </c>
      <c r="K15">
        <f>INDEX(OutputValues,11,$J$4)</f>
        <v>183135.11</v>
      </c>
    </row>
    <row r="16" spans="1:11" x14ac:dyDescent="0.2">
      <c r="A16" s="9">
        <v>5100</v>
      </c>
      <c r="B16" s="80">
        <v>183135.11</v>
      </c>
      <c r="K16">
        <f>INDEX(OutputValues,12,$J$4)</f>
        <v>183135.11</v>
      </c>
    </row>
    <row r="17" spans="1:11" x14ac:dyDescent="0.2">
      <c r="A17" s="9">
        <v>5200</v>
      </c>
      <c r="B17" s="80">
        <v>183135.11</v>
      </c>
      <c r="K17">
        <f>INDEX(OutputValues,13,$J$4)</f>
        <v>183135.11</v>
      </c>
    </row>
    <row r="18" spans="1:11" x14ac:dyDescent="0.2">
      <c r="A18" s="9">
        <v>5300</v>
      </c>
      <c r="B18" s="80">
        <v>183135.11</v>
      </c>
      <c r="K18">
        <f>INDEX(OutputValues,14,$J$4)</f>
        <v>183135.11</v>
      </c>
    </row>
    <row r="19" spans="1:11" x14ac:dyDescent="0.2">
      <c r="A19" s="9">
        <v>5400</v>
      </c>
      <c r="B19" s="80">
        <v>183135.11</v>
      </c>
      <c r="K19">
        <f>INDEX(OutputValues,15,$J$4)</f>
        <v>183135.11</v>
      </c>
    </row>
    <row r="20" spans="1:11" x14ac:dyDescent="0.2">
      <c r="A20" s="9">
        <v>5500</v>
      </c>
      <c r="B20" s="80">
        <v>183135.11</v>
      </c>
      <c r="K20">
        <f>INDEX(OutputValues,16,$J$4)</f>
        <v>183135.11</v>
      </c>
    </row>
    <row r="21" spans="1:11" x14ac:dyDescent="0.2">
      <c r="A21" s="9">
        <v>5600</v>
      </c>
      <c r="B21" s="80">
        <v>183135.11</v>
      </c>
      <c r="K21">
        <f>INDEX(OutputValues,17,$J$4)</f>
        <v>183135.11</v>
      </c>
    </row>
    <row r="22" spans="1:11" x14ac:dyDescent="0.2">
      <c r="A22" s="9">
        <v>5700</v>
      </c>
      <c r="B22" s="80">
        <v>183135.11</v>
      </c>
      <c r="K22">
        <f>INDEX(OutputValues,18,$J$4)</f>
        <v>183135.11</v>
      </c>
    </row>
    <row r="23" spans="1:11" x14ac:dyDescent="0.2">
      <c r="A23" s="9">
        <v>5800</v>
      </c>
      <c r="B23" s="80">
        <v>183135.11</v>
      </c>
      <c r="K23">
        <f>INDEX(OutputValues,19,$J$4)</f>
        <v>183135.11</v>
      </c>
    </row>
    <row r="24" spans="1:11" x14ac:dyDescent="0.2">
      <c r="A24" s="9">
        <v>5900</v>
      </c>
      <c r="B24" s="80">
        <v>183135.11</v>
      </c>
      <c r="K24">
        <f>INDEX(OutputValues,20,$J$4)</f>
        <v>183135.11</v>
      </c>
    </row>
    <row r="25" spans="1:11" x14ac:dyDescent="0.2">
      <c r="A25" s="9">
        <v>6000</v>
      </c>
      <c r="B25" s="80">
        <v>183135.11</v>
      </c>
      <c r="K25">
        <f>INDEX(OutputValues,21,$J$4)</f>
        <v>183135.11</v>
      </c>
    </row>
    <row r="26" spans="1:11" x14ac:dyDescent="0.2">
      <c r="A26" s="9">
        <v>6100</v>
      </c>
      <c r="B26" s="80">
        <v>183135.11</v>
      </c>
      <c r="K26">
        <f>INDEX(OutputValues,22,$J$4)</f>
        <v>183135.11</v>
      </c>
    </row>
    <row r="27" spans="1:11" x14ac:dyDescent="0.2">
      <c r="A27" s="9">
        <v>6200</v>
      </c>
      <c r="B27" s="80">
        <v>183135.11</v>
      </c>
      <c r="K27">
        <f>INDEX(OutputValues,23,$J$4)</f>
        <v>183135.11</v>
      </c>
    </row>
    <row r="28" spans="1:11" x14ac:dyDescent="0.2">
      <c r="A28" s="9">
        <v>6300</v>
      </c>
      <c r="B28" s="80">
        <v>183135.11</v>
      </c>
      <c r="K28">
        <f>INDEX(OutputValues,24,$J$4)</f>
        <v>183135.11</v>
      </c>
    </row>
    <row r="29" spans="1:11" x14ac:dyDescent="0.2">
      <c r="A29" s="9">
        <v>6400</v>
      </c>
      <c r="B29" s="80">
        <v>183135.11</v>
      </c>
      <c r="K29">
        <f>INDEX(OutputValues,25,$J$4)</f>
        <v>183135.11</v>
      </c>
    </row>
    <row r="30" spans="1:11" x14ac:dyDescent="0.2">
      <c r="A30" s="9">
        <v>6500</v>
      </c>
      <c r="B30" s="80">
        <v>183135.11</v>
      </c>
      <c r="K30">
        <f>INDEX(OutputValues,26,$J$4)</f>
        <v>183135.11</v>
      </c>
    </row>
    <row r="31" spans="1:11" x14ac:dyDescent="0.2">
      <c r="A31" s="9">
        <v>6600</v>
      </c>
      <c r="B31" s="80">
        <v>183135.11</v>
      </c>
      <c r="K31">
        <f>INDEX(OutputValues,27,$J$4)</f>
        <v>183135.11</v>
      </c>
    </row>
    <row r="32" spans="1:11" x14ac:dyDescent="0.2">
      <c r="A32" s="9">
        <v>6700</v>
      </c>
      <c r="B32" s="80">
        <v>183135.11</v>
      </c>
      <c r="K32">
        <f>INDEX(OutputValues,28,$J$4)</f>
        <v>183135.11</v>
      </c>
    </row>
    <row r="33" spans="1:11" x14ac:dyDescent="0.2">
      <c r="A33" s="9">
        <v>6800</v>
      </c>
      <c r="B33" s="80">
        <v>183135.11</v>
      </c>
      <c r="K33">
        <f>INDEX(OutputValues,29,$J$4)</f>
        <v>183135.11</v>
      </c>
    </row>
    <row r="34" spans="1:11" x14ac:dyDescent="0.2">
      <c r="A34" s="9">
        <v>6900</v>
      </c>
      <c r="B34" s="80">
        <v>183135.11</v>
      </c>
      <c r="K34">
        <f>INDEX(OutputValues,30,$J$4)</f>
        <v>183135.11</v>
      </c>
    </row>
    <row r="35" spans="1:11" x14ac:dyDescent="0.2">
      <c r="A35" s="9">
        <v>7000</v>
      </c>
      <c r="B35" s="80">
        <v>183135.11</v>
      </c>
      <c r="K35">
        <f>INDEX(OutputValues,31,$J$4)</f>
        <v>183135.11</v>
      </c>
    </row>
    <row r="36" spans="1:11" x14ac:dyDescent="0.2">
      <c r="A36" s="9">
        <v>7100</v>
      </c>
      <c r="B36" s="80">
        <v>183135.11</v>
      </c>
      <c r="K36">
        <f>INDEX(OutputValues,32,$J$4)</f>
        <v>183135.11</v>
      </c>
    </row>
    <row r="37" spans="1:11" x14ac:dyDescent="0.2">
      <c r="A37" s="9">
        <v>7200</v>
      </c>
      <c r="B37" s="80">
        <v>183135.11</v>
      </c>
      <c r="K37">
        <f>INDEX(OutputValues,33,$J$4)</f>
        <v>183135.11</v>
      </c>
    </row>
    <row r="38" spans="1:11" x14ac:dyDescent="0.2">
      <c r="A38" s="9">
        <v>7300</v>
      </c>
      <c r="B38" s="80">
        <v>183135.11</v>
      </c>
      <c r="K38">
        <f>INDEX(OutputValues,34,$J$4)</f>
        <v>183135.11</v>
      </c>
    </row>
    <row r="39" spans="1:11" x14ac:dyDescent="0.2">
      <c r="A39" s="9">
        <v>7400</v>
      </c>
      <c r="B39" s="80">
        <v>183135.11</v>
      </c>
      <c r="K39">
        <f>INDEX(OutputValues,35,$J$4)</f>
        <v>183135.11</v>
      </c>
    </row>
    <row r="40" spans="1:11" x14ac:dyDescent="0.2">
      <c r="A40" s="9">
        <v>7500</v>
      </c>
      <c r="B40" s="80">
        <v>183135.11</v>
      </c>
      <c r="K40">
        <f>INDEX(OutputValues,36,$J$4)</f>
        <v>183135.11</v>
      </c>
    </row>
    <row r="41" spans="1:11" x14ac:dyDescent="0.2">
      <c r="A41" s="9">
        <v>7600</v>
      </c>
      <c r="B41" s="80">
        <v>183135.11</v>
      </c>
      <c r="K41">
        <f>INDEX(OutputValues,37,$J$4)</f>
        <v>183135.11</v>
      </c>
    </row>
    <row r="42" spans="1:11" x14ac:dyDescent="0.2">
      <c r="A42" s="9">
        <v>7700</v>
      </c>
      <c r="B42" s="80">
        <v>183135.11</v>
      </c>
      <c r="K42">
        <f>INDEX(OutputValues,38,$J$4)</f>
        <v>183135.11</v>
      </c>
    </row>
    <row r="43" spans="1:11" x14ac:dyDescent="0.2">
      <c r="A43" s="9">
        <v>7800</v>
      </c>
      <c r="B43" s="80">
        <v>183135.11</v>
      </c>
      <c r="K43">
        <f>INDEX(OutputValues,39,$J$4)</f>
        <v>183135.11</v>
      </c>
    </row>
    <row r="44" spans="1:11" x14ac:dyDescent="0.2">
      <c r="A44" s="9">
        <v>7900</v>
      </c>
      <c r="B44" s="80">
        <v>183135.11</v>
      </c>
      <c r="K44">
        <f>INDEX(OutputValues,40,$J$4)</f>
        <v>183135.11</v>
      </c>
    </row>
    <row r="45" spans="1:11" x14ac:dyDescent="0.2">
      <c r="A45" s="9">
        <v>8000</v>
      </c>
      <c r="B45" s="81">
        <v>183135.11</v>
      </c>
      <c r="K45">
        <f>INDEX(OutputValues,41,$J$4)</f>
        <v>183135.11</v>
      </c>
    </row>
  </sheetData>
  <phoneticPr fontId="3" type="noConversion"/>
  <dataValidations count="1">
    <dataValidation type="list" allowBlank="1" showInputMessage="1" showErrorMessage="1" sqref="K4" xr:uid="{F5BCC8D1-6BBF-4469-8A91-C9BDB72728E7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5219-E24E-4DFD-B80A-A185B0103FC2}">
  <dimension ref="A1:B18"/>
  <sheetViews>
    <sheetView workbookViewId="0"/>
  </sheetViews>
  <sheetFormatPr defaultRowHeight="12.75" x14ac:dyDescent="0.2"/>
  <sheetData>
    <row r="1" spans="1:2" x14ac:dyDescent="0.2">
      <c r="A1">
        <v>1</v>
      </c>
      <c r="B1">
        <v>1</v>
      </c>
    </row>
    <row r="2" spans="1:2" x14ac:dyDescent="0.2">
      <c r="A2" t="s">
        <v>330</v>
      </c>
      <c r="B2" t="s">
        <v>320</v>
      </c>
    </row>
    <row r="3" spans="1:2" x14ac:dyDescent="0.2">
      <c r="A3">
        <v>1</v>
      </c>
      <c r="B3">
        <v>1</v>
      </c>
    </row>
    <row r="4" spans="1:2" x14ac:dyDescent="0.2">
      <c r="A4">
        <v>-1</v>
      </c>
      <c r="B4">
        <v>-1</v>
      </c>
    </row>
    <row r="5" spans="1:2" x14ac:dyDescent="0.2">
      <c r="A5">
        <v>3</v>
      </c>
      <c r="B5">
        <v>3</v>
      </c>
    </row>
    <row r="6" spans="1:2" x14ac:dyDescent="0.2">
      <c r="A6">
        <v>0.1</v>
      </c>
      <c r="B6">
        <v>0.1</v>
      </c>
    </row>
    <row r="8" spans="1:2" x14ac:dyDescent="0.2">
      <c r="A8" s="33"/>
      <c r="B8" s="33" t="s">
        <v>325</v>
      </c>
    </row>
    <row r="9" spans="1:2" x14ac:dyDescent="0.2">
      <c r="A9" t="s">
        <v>309</v>
      </c>
      <c r="B9" t="s">
        <v>326</v>
      </c>
    </row>
    <row r="10" spans="1:2" x14ac:dyDescent="0.2">
      <c r="A10" t="s">
        <v>331</v>
      </c>
      <c r="B10">
        <v>1</v>
      </c>
    </row>
    <row r="11" spans="1:2" x14ac:dyDescent="0.2">
      <c r="B11">
        <v>0</v>
      </c>
    </row>
    <row r="12" spans="1:2" x14ac:dyDescent="0.2">
      <c r="B12">
        <v>3</v>
      </c>
    </row>
    <row r="13" spans="1:2" x14ac:dyDescent="0.2">
      <c r="B13">
        <v>0.1</v>
      </c>
    </row>
    <row r="15" spans="1:2" x14ac:dyDescent="0.2">
      <c r="B15" s="33" t="s">
        <v>325</v>
      </c>
    </row>
    <row r="16" spans="1:2" x14ac:dyDescent="0.2">
      <c r="B16" t="s">
        <v>128</v>
      </c>
    </row>
    <row r="17" spans="2:2" x14ac:dyDescent="0.2">
      <c r="B17" t="s">
        <v>321</v>
      </c>
    </row>
    <row r="18" spans="2:2" x14ac:dyDescent="0.2">
      <c r="B18" t="s">
        <v>327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72E4-D16A-46E8-9F2D-5C22CF17D09E}">
  <dimension ref="A1:R45"/>
  <sheetViews>
    <sheetView showGridLines="0" workbookViewId="0">
      <selection activeCell="K40" sqref="K40"/>
    </sheetView>
  </sheetViews>
  <sheetFormatPr defaultRowHeight="12.75" x14ac:dyDescent="0.2"/>
  <cols>
    <col min="1" max="1" width="7" bestFit="1" customWidth="1"/>
    <col min="2" max="5" width="10.42578125" bestFit="1" customWidth="1"/>
  </cols>
  <sheetData>
    <row r="1" spans="1:18" x14ac:dyDescent="0.2">
      <c r="A1" s="1" t="s">
        <v>328</v>
      </c>
    </row>
    <row r="2" spans="1:18" x14ac:dyDescent="0.2">
      <c r="R2" t="s">
        <v>128</v>
      </c>
    </row>
    <row r="3" spans="1:18" x14ac:dyDescent="0.2">
      <c r="A3" t="s">
        <v>329</v>
      </c>
    </row>
    <row r="4" spans="1:18" x14ac:dyDescent="0.2">
      <c r="A4" s="96"/>
      <c r="B4" s="75">
        <v>0</v>
      </c>
      <c r="C4" s="75">
        <v>0.5</v>
      </c>
      <c r="D4" s="75">
        <v>1</v>
      </c>
      <c r="E4" s="75">
        <v>1.5</v>
      </c>
      <c r="F4" s="103">
        <v>0.61499999999999999</v>
      </c>
    </row>
    <row r="5" spans="1:18" x14ac:dyDescent="0.2">
      <c r="A5" s="87">
        <v>-1</v>
      </c>
      <c r="B5" s="97">
        <v>273682.26</v>
      </c>
      <c r="C5" s="100">
        <v>200096.48</v>
      </c>
      <c r="D5" s="100">
        <v>129797.39</v>
      </c>
      <c r="E5" s="100">
        <v>63161.39</v>
      </c>
      <c r="F5">
        <v>183171.75</v>
      </c>
    </row>
    <row r="6" spans="1:18" x14ac:dyDescent="0.2">
      <c r="A6" s="87">
        <v>-0.89999997615814209</v>
      </c>
      <c r="B6" s="98">
        <v>264627.53999999998</v>
      </c>
      <c r="C6" s="101">
        <v>198400.34</v>
      </c>
      <c r="D6" s="101">
        <v>134338.79</v>
      </c>
      <c r="E6" s="101">
        <v>74366.39</v>
      </c>
      <c r="F6">
        <v>183168.09</v>
      </c>
    </row>
    <row r="7" spans="1:18" x14ac:dyDescent="0.2">
      <c r="A7" s="87">
        <v>-0.80000001192092896</v>
      </c>
      <c r="B7" s="98">
        <v>255572.83</v>
      </c>
      <c r="C7" s="101">
        <v>196704.21</v>
      </c>
      <c r="D7" s="101">
        <v>138880.18</v>
      </c>
      <c r="E7" s="101">
        <v>85571.38</v>
      </c>
      <c r="F7">
        <v>183164.42</v>
      </c>
    </row>
    <row r="8" spans="1:18" x14ac:dyDescent="0.2">
      <c r="A8" s="87">
        <v>-0.69999998807907104</v>
      </c>
      <c r="B8" s="98">
        <v>246518.11</v>
      </c>
      <c r="C8" s="101">
        <v>195008.07</v>
      </c>
      <c r="D8" s="101">
        <v>143520.63</v>
      </c>
      <c r="E8" s="101">
        <v>96776.38</v>
      </c>
      <c r="F8">
        <v>183160.76</v>
      </c>
    </row>
    <row r="9" spans="1:18" x14ac:dyDescent="0.2">
      <c r="A9" s="87">
        <v>-0.60000002384185791</v>
      </c>
      <c r="B9" s="98">
        <v>237463.4</v>
      </c>
      <c r="C9" s="101">
        <v>193311.93</v>
      </c>
      <c r="D9" s="101">
        <v>149160.46</v>
      </c>
      <c r="E9" s="101">
        <v>107981.37</v>
      </c>
      <c r="F9">
        <v>183157.1</v>
      </c>
    </row>
    <row r="10" spans="1:18" x14ac:dyDescent="0.2">
      <c r="A10" s="87">
        <v>-0.5</v>
      </c>
      <c r="B10" s="98">
        <v>228408.69</v>
      </c>
      <c r="C10" s="101">
        <v>191615.8</v>
      </c>
      <c r="D10" s="101">
        <v>154822.91</v>
      </c>
      <c r="E10" s="101">
        <v>119186.37</v>
      </c>
      <c r="F10">
        <v>183153.43</v>
      </c>
    </row>
    <row r="11" spans="1:18" x14ac:dyDescent="0.2">
      <c r="A11" s="87">
        <v>-0.39999997615814209</v>
      </c>
      <c r="B11" s="98">
        <v>219353.97</v>
      </c>
      <c r="C11" s="101">
        <v>189919.66</v>
      </c>
      <c r="D11" s="101">
        <v>160485.35</v>
      </c>
      <c r="E11" s="101">
        <v>131051.04</v>
      </c>
      <c r="F11">
        <v>183149.77</v>
      </c>
    </row>
    <row r="12" spans="1:18" x14ac:dyDescent="0.2">
      <c r="A12" s="87">
        <v>-0.29999998211860657</v>
      </c>
      <c r="B12" s="98">
        <v>210299.25</v>
      </c>
      <c r="C12" s="101">
        <v>188223.52</v>
      </c>
      <c r="D12" s="101">
        <v>166147.79</v>
      </c>
      <c r="E12" s="101">
        <v>144072.04999999999</v>
      </c>
      <c r="F12">
        <v>183146.1</v>
      </c>
    </row>
    <row r="13" spans="1:18" x14ac:dyDescent="0.2">
      <c r="A13" s="87">
        <v>-0.19999998807907104</v>
      </c>
      <c r="B13" s="98">
        <v>201244.54</v>
      </c>
      <c r="C13" s="101">
        <v>186527.38</v>
      </c>
      <c r="D13" s="101">
        <v>171810.23</v>
      </c>
      <c r="E13" s="101">
        <v>157093.07</v>
      </c>
      <c r="F13">
        <v>183142.44</v>
      </c>
    </row>
    <row r="14" spans="1:18" x14ac:dyDescent="0.2">
      <c r="A14" s="87">
        <v>-9.9999986588954926E-2</v>
      </c>
      <c r="B14" s="98">
        <v>192189.82</v>
      </c>
      <c r="C14" s="101">
        <v>184831.24</v>
      </c>
      <c r="D14" s="101">
        <v>177472.67</v>
      </c>
      <c r="E14" s="101">
        <v>170114.09</v>
      </c>
      <c r="F14">
        <v>183138.77</v>
      </c>
    </row>
    <row r="15" spans="1:18" x14ac:dyDescent="0.2">
      <c r="A15" s="87">
        <v>1.4901161193847656E-8</v>
      </c>
      <c r="B15" s="98">
        <v>183135.11</v>
      </c>
      <c r="C15" s="101">
        <v>183135.11</v>
      </c>
      <c r="D15" s="101">
        <v>183135.11</v>
      </c>
      <c r="E15" s="101">
        <v>183135.11</v>
      </c>
      <c r="F15">
        <v>183135.11</v>
      </c>
    </row>
    <row r="16" spans="1:18" x14ac:dyDescent="0.2">
      <c r="A16" s="87">
        <v>0.10000001639127731</v>
      </c>
      <c r="B16" s="98">
        <v>174080.39</v>
      </c>
      <c r="C16" s="101">
        <v>181438.97</v>
      </c>
      <c r="D16" s="101">
        <v>188797.55</v>
      </c>
      <c r="E16" s="101">
        <v>196156.13</v>
      </c>
      <c r="F16">
        <v>183131.44</v>
      </c>
    </row>
    <row r="17" spans="1:6" x14ac:dyDescent="0.2">
      <c r="A17" s="87">
        <v>0.20000001788139343</v>
      </c>
      <c r="B17" s="98">
        <v>165025.68</v>
      </c>
      <c r="C17" s="101">
        <v>179742.83</v>
      </c>
      <c r="D17" s="101">
        <v>194459.99</v>
      </c>
      <c r="E17" s="101">
        <v>209177.15</v>
      </c>
      <c r="F17">
        <v>183127.78</v>
      </c>
    </row>
    <row r="18" spans="1:6" x14ac:dyDescent="0.2">
      <c r="A18" s="87">
        <v>0.30000001192092896</v>
      </c>
      <c r="B18" s="98">
        <v>155970.96</v>
      </c>
      <c r="C18" s="101">
        <v>178046.7</v>
      </c>
      <c r="D18" s="101">
        <v>200122.43</v>
      </c>
      <c r="E18" s="101">
        <v>222198.16</v>
      </c>
      <c r="F18">
        <v>183124.11</v>
      </c>
    </row>
    <row r="19" spans="1:6" x14ac:dyDescent="0.2">
      <c r="A19" s="87">
        <v>0.40000003576278687</v>
      </c>
      <c r="B19" s="98">
        <v>146916.24</v>
      </c>
      <c r="C19" s="101">
        <v>176350.56</v>
      </c>
      <c r="D19" s="101">
        <v>205784.87</v>
      </c>
      <c r="E19" s="101">
        <v>235219.19</v>
      </c>
      <c r="F19">
        <v>183120.45</v>
      </c>
    </row>
    <row r="20" spans="1:6" x14ac:dyDescent="0.2">
      <c r="A20" s="87">
        <v>0.5</v>
      </c>
      <c r="B20" s="98">
        <v>137861.53</v>
      </c>
      <c r="C20" s="101">
        <v>174654.42</v>
      </c>
      <c r="D20" s="101">
        <v>211447.31</v>
      </c>
      <c r="E20" s="101">
        <v>248240.2</v>
      </c>
      <c r="F20">
        <v>183116.78</v>
      </c>
    </row>
    <row r="21" spans="1:6" x14ac:dyDescent="0.2">
      <c r="A21" s="87">
        <v>0.60000002384185791</v>
      </c>
      <c r="B21" s="98">
        <v>128806.81</v>
      </c>
      <c r="C21" s="101">
        <v>172958.28</v>
      </c>
      <c r="D21" s="101">
        <v>217109.75</v>
      </c>
      <c r="E21" s="101">
        <v>261261.22</v>
      </c>
      <c r="F21">
        <v>183113.12</v>
      </c>
    </row>
    <row r="22" spans="1:6" x14ac:dyDescent="0.2">
      <c r="A22" s="87">
        <v>0.70000004768371582</v>
      </c>
      <c r="B22" s="98">
        <v>119752.1</v>
      </c>
      <c r="C22" s="101">
        <v>171262.14</v>
      </c>
      <c r="D22" s="101">
        <v>222772.19</v>
      </c>
      <c r="E22" s="101">
        <v>274282.23999999999</v>
      </c>
      <c r="F22">
        <v>183109.46</v>
      </c>
    </row>
    <row r="23" spans="1:6" x14ac:dyDescent="0.2">
      <c r="A23" s="87">
        <v>0.80000001192092896</v>
      </c>
      <c r="B23" s="98">
        <v>110697.38</v>
      </c>
      <c r="C23" s="101">
        <v>169566.01</v>
      </c>
      <c r="D23" s="101">
        <v>228434.63</v>
      </c>
      <c r="E23" s="101">
        <v>287303.26</v>
      </c>
      <c r="F23">
        <v>183105.79</v>
      </c>
    </row>
    <row r="24" spans="1:6" x14ac:dyDescent="0.2">
      <c r="A24" s="87">
        <v>0.90000003576278687</v>
      </c>
      <c r="B24" s="98">
        <v>101642.67</v>
      </c>
      <c r="C24" s="101">
        <v>167869.87</v>
      </c>
      <c r="D24" s="101">
        <v>234097.07</v>
      </c>
      <c r="E24" s="101">
        <v>300324.28000000003</v>
      </c>
      <c r="F24">
        <v>183102.13</v>
      </c>
    </row>
    <row r="25" spans="1:6" x14ac:dyDescent="0.2">
      <c r="A25" s="87">
        <v>1</v>
      </c>
      <c r="B25" s="98">
        <v>92642.93</v>
      </c>
      <c r="C25" s="101">
        <v>166173.73000000001</v>
      </c>
      <c r="D25" s="101">
        <v>239759.51</v>
      </c>
      <c r="E25" s="101">
        <v>313345.28999999998</v>
      </c>
      <c r="F25">
        <v>183098.46</v>
      </c>
    </row>
    <row r="26" spans="1:6" x14ac:dyDescent="0.2">
      <c r="A26" s="87">
        <v>1.1000000238418579</v>
      </c>
      <c r="B26" s="98">
        <v>84332.46</v>
      </c>
      <c r="C26" s="101">
        <v>164477.59</v>
      </c>
      <c r="D26" s="101">
        <v>245421.95</v>
      </c>
      <c r="E26" s="101">
        <v>326366.31</v>
      </c>
      <c r="F26">
        <v>183094.8</v>
      </c>
    </row>
    <row r="27" spans="1:6" x14ac:dyDescent="0.2">
      <c r="A27" s="87">
        <v>1.2000000476837158</v>
      </c>
      <c r="B27" s="98">
        <v>76202.61</v>
      </c>
      <c r="C27" s="101">
        <v>162781.46</v>
      </c>
      <c r="D27" s="101">
        <v>251084.4</v>
      </c>
      <c r="E27" s="101">
        <v>339387.34</v>
      </c>
      <c r="F27">
        <v>183091.13</v>
      </c>
    </row>
    <row r="28" spans="1:6" x14ac:dyDescent="0.2">
      <c r="A28" s="87">
        <v>1.3000000715255737</v>
      </c>
      <c r="B28" s="98">
        <v>68072.759999999995</v>
      </c>
      <c r="C28" s="101">
        <v>161085.32</v>
      </c>
      <c r="D28" s="101">
        <v>256746.84</v>
      </c>
      <c r="E28" s="101">
        <v>352408.36</v>
      </c>
      <c r="F28">
        <v>183087.47</v>
      </c>
    </row>
    <row r="29" spans="1:6" x14ac:dyDescent="0.2">
      <c r="A29" s="87">
        <v>1.4000000953674316</v>
      </c>
      <c r="B29" s="98">
        <v>59942.91</v>
      </c>
      <c r="C29" s="101">
        <v>159389.18</v>
      </c>
      <c r="D29" s="101">
        <v>262409.28000000003</v>
      </c>
      <c r="E29" s="101">
        <v>365429.38</v>
      </c>
      <c r="F29">
        <v>183083.8</v>
      </c>
    </row>
    <row r="30" spans="1:6" x14ac:dyDescent="0.2">
      <c r="A30" s="87">
        <v>1.5</v>
      </c>
      <c r="B30" s="98">
        <v>51813.07</v>
      </c>
      <c r="C30" s="101">
        <v>157693.04999999999</v>
      </c>
      <c r="D30" s="101">
        <v>268071.71999999997</v>
      </c>
      <c r="E30" s="101">
        <v>378450.38</v>
      </c>
      <c r="F30">
        <v>183080.14</v>
      </c>
    </row>
    <row r="31" spans="1:6" x14ac:dyDescent="0.2">
      <c r="A31" s="87">
        <v>1.6000000238418579</v>
      </c>
      <c r="B31" s="98">
        <v>43683.22</v>
      </c>
      <c r="C31" s="101">
        <v>155996.91</v>
      </c>
      <c r="D31" s="101">
        <v>273734.15999999997</v>
      </c>
      <c r="E31" s="101">
        <v>391471.41</v>
      </c>
      <c r="F31">
        <v>183076.47</v>
      </c>
    </row>
    <row r="32" spans="1:6" x14ac:dyDescent="0.2">
      <c r="A32" s="87">
        <v>1.7000000476837158</v>
      </c>
      <c r="B32" s="98">
        <v>35553.370000000003</v>
      </c>
      <c r="C32" s="101">
        <v>154300.76999999999</v>
      </c>
      <c r="D32" s="101">
        <v>279396.59999999998</v>
      </c>
      <c r="E32" s="101">
        <v>404492.43</v>
      </c>
      <c r="F32">
        <v>183072.81</v>
      </c>
    </row>
    <row r="33" spans="1:6" x14ac:dyDescent="0.2">
      <c r="A33" s="87">
        <v>1.8000000715255737</v>
      </c>
      <c r="B33" s="98">
        <v>27423.52</v>
      </c>
      <c r="C33" s="101">
        <v>152604.63</v>
      </c>
      <c r="D33" s="101">
        <v>285059.03999999998</v>
      </c>
      <c r="E33" s="101">
        <v>417513.45</v>
      </c>
      <c r="F33">
        <v>183069.15</v>
      </c>
    </row>
    <row r="34" spans="1:6" x14ac:dyDescent="0.2">
      <c r="A34" s="87">
        <v>1.9000000953674316</v>
      </c>
      <c r="B34" s="98">
        <v>19293.66</v>
      </c>
      <c r="C34" s="101">
        <v>150908.49</v>
      </c>
      <c r="D34" s="101">
        <v>290721.48</v>
      </c>
      <c r="E34" s="101">
        <v>430534.47</v>
      </c>
      <c r="F34">
        <v>183065.48</v>
      </c>
    </row>
    <row r="35" spans="1:6" x14ac:dyDescent="0.2">
      <c r="A35" s="87">
        <v>2</v>
      </c>
      <c r="B35" s="98">
        <v>11163.82</v>
      </c>
      <c r="C35" s="101">
        <v>149212.35999999999</v>
      </c>
      <c r="D35" s="101">
        <v>296383.92</v>
      </c>
      <c r="E35" s="101">
        <v>443555.48</v>
      </c>
      <c r="F35">
        <v>183061.82</v>
      </c>
    </row>
    <row r="36" spans="1:6" x14ac:dyDescent="0.2">
      <c r="A36" s="87">
        <v>2.1000001430511475</v>
      </c>
      <c r="B36" s="98">
        <v>3033.96</v>
      </c>
      <c r="C36" s="101">
        <v>147516.22</v>
      </c>
      <c r="D36" s="101">
        <v>302046.37</v>
      </c>
      <c r="E36" s="101">
        <v>456576.51</v>
      </c>
      <c r="F36">
        <v>183058.15</v>
      </c>
    </row>
    <row r="37" spans="1:6" x14ac:dyDescent="0.2">
      <c r="A37" s="87">
        <v>2.2000000476837158</v>
      </c>
      <c r="B37" s="98">
        <v>-5095.88</v>
      </c>
      <c r="C37" s="101">
        <v>145820.07999999999</v>
      </c>
      <c r="D37" s="101">
        <v>307708.79999999999</v>
      </c>
      <c r="E37" s="101">
        <v>469597.52</v>
      </c>
      <c r="F37">
        <v>183054.49</v>
      </c>
    </row>
    <row r="38" spans="1:6" x14ac:dyDescent="0.2">
      <c r="A38" s="87">
        <v>2.2999999523162842</v>
      </c>
      <c r="B38" s="98">
        <v>-13225.72</v>
      </c>
      <c r="C38" s="101">
        <v>144123.95000000001</v>
      </c>
      <c r="D38" s="101">
        <v>313371.24</v>
      </c>
      <c r="E38" s="101">
        <v>482618.53</v>
      </c>
      <c r="F38">
        <v>183050.82</v>
      </c>
    </row>
    <row r="39" spans="1:6" x14ac:dyDescent="0.2">
      <c r="A39" s="87">
        <v>2.4000000953674316</v>
      </c>
      <c r="B39" s="98">
        <v>-21355.58</v>
      </c>
      <c r="C39" s="101">
        <v>142427.81</v>
      </c>
      <c r="D39" s="101">
        <v>319033.68</v>
      </c>
      <c r="E39" s="101">
        <v>495639.56</v>
      </c>
      <c r="F39">
        <v>183047.16</v>
      </c>
    </row>
    <row r="40" spans="1:6" x14ac:dyDescent="0.2">
      <c r="A40" s="87">
        <v>2.5</v>
      </c>
      <c r="B40" s="98">
        <v>-29485.42</v>
      </c>
      <c r="C40" s="101">
        <v>140731.67000000001</v>
      </c>
      <c r="D40" s="101">
        <v>324696.12</v>
      </c>
      <c r="E40" s="101">
        <v>508660.57</v>
      </c>
      <c r="F40">
        <v>183043.49</v>
      </c>
    </row>
    <row r="41" spans="1:6" x14ac:dyDescent="0.2">
      <c r="A41" s="87">
        <v>2.6000001430511475</v>
      </c>
      <c r="B41" s="98">
        <v>-37615.279999999999</v>
      </c>
      <c r="C41" s="101">
        <v>139035.53</v>
      </c>
      <c r="D41" s="101">
        <v>330358.57</v>
      </c>
      <c r="E41" s="101">
        <v>521681.61</v>
      </c>
      <c r="F41">
        <v>183039.83</v>
      </c>
    </row>
    <row r="42" spans="1:6" x14ac:dyDescent="0.2">
      <c r="A42" s="87">
        <v>2.7000000476837158</v>
      </c>
      <c r="B42" s="98">
        <v>-45745.120000000003</v>
      </c>
      <c r="C42" s="101">
        <v>137339.39000000001</v>
      </c>
      <c r="D42" s="101">
        <v>336021</v>
      </c>
      <c r="E42" s="101">
        <v>534702.61</v>
      </c>
      <c r="F42">
        <v>183036.16</v>
      </c>
    </row>
    <row r="43" spans="1:6" x14ac:dyDescent="0.2">
      <c r="A43" s="87">
        <v>2.7999999523162842</v>
      </c>
      <c r="B43" s="98">
        <v>-53874.96</v>
      </c>
      <c r="C43" s="101">
        <v>135643.26</v>
      </c>
      <c r="D43" s="101">
        <v>341683.44</v>
      </c>
      <c r="E43" s="101">
        <v>547723.62</v>
      </c>
      <c r="F43">
        <v>183032.5</v>
      </c>
    </row>
    <row r="44" spans="1:6" x14ac:dyDescent="0.2">
      <c r="A44" s="87">
        <v>2.9000000953674316</v>
      </c>
      <c r="B44" s="98">
        <v>-62004.83</v>
      </c>
      <c r="C44" s="101">
        <v>133947.12</v>
      </c>
      <c r="D44" s="101">
        <v>347345.89</v>
      </c>
      <c r="E44" s="101">
        <v>560744.66</v>
      </c>
      <c r="F44">
        <v>183028.84</v>
      </c>
    </row>
    <row r="45" spans="1:6" x14ac:dyDescent="0.2">
      <c r="A45" s="87">
        <v>3</v>
      </c>
      <c r="B45" s="99">
        <v>-70134.67</v>
      </c>
      <c r="C45" s="102">
        <v>132250.98000000001</v>
      </c>
      <c r="D45" s="102">
        <v>353008.32</v>
      </c>
      <c r="E45" s="102">
        <v>573765.66</v>
      </c>
      <c r="F45">
        <v>183025.17</v>
      </c>
    </row>
  </sheetData>
  <phoneticPr fontId="3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E037-7192-4C56-856F-E5846CA36716}">
  <dimension ref="A1:K45"/>
  <sheetViews>
    <sheetView workbookViewId="0"/>
  </sheetViews>
  <sheetFormatPr defaultRowHeight="12.75" x14ac:dyDescent="0.2"/>
  <cols>
    <col min="2" max="2" width="10.42578125" bestFit="1" customWidth="1"/>
  </cols>
  <sheetData>
    <row r="1" spans="1:11" x14ac:dyDescent="0.2">
      <c r="A1" s="1" t="s">
        <v>322</v>
      </c>
      <c r="K1" s="78" t="str">
        <f>CONCATENATE("Sensitivity of ",$K$4," to ","% Change in Fuel Cost")</f>
        <v>Sensitivity of $K$55 to % Change in Fuel Cost</v>
      </c>
    </row>
    <row r="3" spans="1:11" x14ac:dyDescent="0.2">
      <c r="A3" t="s">
        <v>323</v>
      </c>
      <c r="K3" t="s">
        <v>296</v>
      </c>
    </row>
    <row r="4" spans="1:11" ht="31.5" x14ac:dyDescent="0.2">
      <c r="B4" s="76" t="s">
        <v>128</v>
      </c>
      <c r="J4" s="78">
        <f>MATCH($K$4,OutputAddresses,0)</f>
        <v>1</v>
      </c>
      <c r="K4" s="77" t="s">
        <v>128</v>
      </c>
    </row>
    <row r="5" spans="1:11" x14ac:dyDescent="0.2">
      <c r="A5" s="87">
        <v>-1</v>
      </c>
      <c r="B5" s="79">
        <v>129797.39</v>
      </c>
      <c r="K5">
        <f>INDEX(OutputValues,1,$J$4)</f>
        <v>129797.39</v>
      </c>
    </row>
    <row r="6" spans="1:11" x14ac:dyDescent="0.2">
      <c r="A6" s="87">
        <v>-0.89999997615814209</v>
      </c>
      <c r="B6" s="80">
        <v>134338.79</v>
      </c>
      <c r="K6">
        <f>INDEX(OutputValues,2,$J$4)</f>
        <v>134338.79</v>
      </c>
    </row>
    <row r="7" spans="1:11" x14ac:dyDescent="0.2">
      <c r="A7" s="87">
        <v>-0.80000001192092896</v>
      </c>
      <c r="B7" s="80">
        <v>138880.18</v>
      </c>
      <c r="K7">
        <f>INDEX(OutputValues,3,$J$4)</f>
        <v>138880.18</v>
      </c>
    </row>
    <row r="8" spans="1:11" x14ac:dyDescent="0.2">
      <c r="A8" s="87">
        <v>-0.69999998807907104</v>
      </c>
      <c r="B8" s="80">
        <v>143520.63</v>
      </c>
      <c r="K8">
        <f>INDEX(OutputValues,4,$J$4)</f>
        <v>143520.63</v>
      </c>
    </row>
    <row r="9" spans="1:11" x14ac:dyDescent="0.2">
      <c r="A9" s="87">
        <v>-0.60000002384185791</v>
      </c>
      <c r="B9" s="80">
        <v>149160.46</v>
      </c>
      <c r="K9">
        <f>INDEX(OutputValues,5,$J$4)</f>
        <v>149160.46</v>
      </c>
    </row>
    <row r="10" spans="1:11" x14ac:dyDescent="0.2">
      <c r="A10" s="87">
        <v>-0.5</v>
      </c>
      <c r="B10" s="80">
        <v>154822.91</v>
      </c>
      <c r="K10">
        <f>INDEX(OutputValues,6,$J$4)</f>
        <v>154822.91</v>
      </c>
    </row>
    <row r="11" spans="1:11" x14ac:dyDescent="0.2">
      <c r="A11" s="87">
        <v>-0.39999997615814209</v>
      </c>
      <c r="B11" s="80">
        <v>160485.35</v>
      </c>
      <c r="K11">
        <f>INDEX(OutputValues,7,$J$4)</f>
        <v>160485.35</v>
      </c>
    </row>
    <row r="12" spans="1:11" x14ac:dyDescent="0.2">
      <c r="A12" s="87">
        <v>-0.29999998211860657</v>
      </c>
      <c r="B12" s="80">
        <v>166147.79</v>
      </c>
      <c r="K12">
        <f>INDEX(OutputValues,8,$J$4)</f>
        <v>166147.79</v>
      </c>
    </row>
    <row r="13" spans="1:11" x14ac:dyDescent="0.2">
      <c r="A13" s="87">
        <v>-0.19999998807907104</v>
      </c>
      <c r="B13" s="80">
        <v>171810.23</v>
      </c>
      <c r="K13">
        <f>INDEX(OutputValues,9,$J$4)</f>
        <v>171810.23</v>
      </c>
    </row>
    <row r="14" spans="1:11" x14ac:dyDescent="0.2">
      <c r="A14" s="87">
        <v>-9.9999986588954926E-2</v>
      </c>
      <c r="B14" s="80">
        <v>177472.67</v>
      </c>
      <c r="K14">
        <f>INDEX(OutputValues,10,$J$4)</f>
        <v>177472.67</v>
      </c>
    </row>
    <row r="15" spans="1:11" x14ac:dyDescent="0.2">
      <c r="A15" s="87">
        <v>1.4901161193847656E-8</v>
      </c>
      <c r="B15" s="80">
        <v>183135.11</v>
      </c>
      <c r="K15">
        <f>INDEX(OutputValues,11,$J$4)</f>
        <v>183135.11</v>
      </c>
    </row>
    <row r="16" spans="1:11" x14ac:dyDescent="0.2">
      <c r="A16" s="87">
        <v>0.10000001639127731</v>
      </c>
      <c r="B16" s="80">
        <v>188797.55</v>
      </c>
      <c r="K16">
        <f>INDEX(OutputValues,12,$J$4)</f>
        <v>188797.55</v>
      </c>
    </row>
    <row r="17" spans="1:11" x14ac:dyDescent="0.2">
      <c r="A17" s="87">
        <v>0.20000001788139343</v>
      </c>
      <c r="B17" s="80">
        <v>194459.99</v>
      </c>
      <c r="K17">
        <f>INDEX(OutputValues,13,$J$4)</f>
        <v>194459.99</v>
      </c>
    </row>
    <row r="18" spans="1:11" x14ac:dyDescent="0.2">
      <c r="A18" s="87">
        <v>0.30000001192092896</v>
      </c>
      <c r="B18" s="80">
        <v>200122.43</v>
      </c>
      <c r="K18">
        <f>INDEX(OutputValues,14,$J$4)</f>
        <v>200122.43</v>
      </c>
    </row>
    <row r="19" spans="1:11" x14ac:dyDescent="0.2">
      <c r="A19" s="87">
        <v>0.40000003576278687</v>
      </c>
      <c r="B19" s="80">
        <v>205784.87</v>
      </c>
      <c r="K19">
        <f>INDEX(OutputValues,15,$J$4)</f>
        <v>205784.87</v>
      </c>
    </row>
    <row r="20" spans="1:11" x14ac:dyDescent="0.2">
      <c r="A20" s="87">
        <v>0.5</v>
      </c>
      <c r="B20" s="80">
        <v>211447.31</v>
      </c>
      <c r="K20">
        <f>INDEX(OutputValues,16,$J$4)</f>
        <v>211447.31</v>
      </c>
    </row>
    <row r="21" spans="1:11" x14ac:dyDescent="0.2">
      <c r="A21" s="87">
        <v>0.60000002384185791</v>
      </c>
      <c r="B21" s="80">
        <v>217109.75</v>
      </c>
      <c r="K21">
        <f>INDEX(OutputValues,17,$J$4)</f>
        <v>217109.75</v>
      </c>
    </row>
    <row r="22" spans="1:11" x14ac:dyDescent="0.2">
      <c r="A22" s="87">
        <v>0.70000004768371582</v>
      </c>
      <c r="B22" s="80">
        <v>222772.19</v>
      </c>
      <c r="K22">
        <f>INDEX(OutputValues,18,$J$4)</f>
        <v>222772.19</v>
      </c>
    </row>
    <row r="23" spans="1:11" x14ac:dyDescent="0.2">
      <c r="A23" s="87">
        <v>0.80000001192092896</v>
      </c>
      <c r="B23" s="80">
        <v>228434.63</v>
      </c>
      <c r="K23">
        <f>INDEX(OutputValues,19,$J$4)</f>
        <v>228434.63</v>
      </c>
    </row>
    <row r="24" spans="1:11" x14ac:dyDescent="0.2">
      <c r="A24" s="87">
        <v>0.90000003576278687</v>
      </c>
      <c r="B24" s="80">
        <v>234097.07</v>
      </c>
      <c r="K24">
        <f>INDEX(OutputValues,20,$J$4)</f>
        <v>234097.07</v>
      </c>
    </row>
    <row r="25" spans="1:11" x14ac:dyDescent="0.2">
      <c r="A25" s="87">
        <v>1</v>
      </c>
      <c r="B25" s="80">
        <v>239759.51</v>
      </c>
      <c r="K25">
        <f>INDEX(OutputValues,21,$J$4)</f>
        <v>239759.51</v>
      </c>
    </row>
    <row r="26" spans="1:11" x14ac:dyDescent="0.2">
      <c r="A26" s="87">
        <v>1.1000000238418579</v>
      </c>
      <c r="B26" s="80">
        <v>245421.95</v>
      </c>
      <c r="K26">
        <f>INDEX(OutputValues,22,$J$4)</f>
        <v>245421.95</v>
      </c>
    </row>
    <row r="27" spans="1:11" x14ac:dyDescent="0.2">
      <c r="A27" s="87">
        <v>1.2000000476837158</v>
      </c>
      <c r="B27" s="80">
        <v>251084.4</v>
      </c>
      <c r="K27">
        <f>INDEX(OutputValues,23,$J$4)</f>
        <v>251084.4</v>
      </c>
    </row>
    <row r="28" spans="1:11" x14ac:dyDescent="0.2">
      <c r="A28" s="87">
        <v>1.3000000715255737</v>
      </c>
      <c r="B28" s="80">
        <v>256746.84</v>
      </c>
      <c r="K28">
        <f>INDEX(OutputValues,24,$J$4)</f>
        <v>256746.84</v>
      </c>
    </row>
    <row r="29" spans="1:11" x14ac:dyDescent="0.2">
      <c r="A29" s="87">
        <v>1.4000000953674316</v>
      </c>
      <c r="B29" s="80">
        <v>262409.28000000003</v>
      </c>
      <c r="K29">
        <f>INDEX(OutputValues,25,$J$4)</f>
        <v>262409.28000000003</v>
      </c>
    </row>
    <row r="30" spans="1:11" x14ac:dyDescent="0.2">
      <c r="A30" s="87">
        <v>1.5</v>
      </c>
      <c r="B30" s="80">
        <v>268071.71999999997</v>
      </c>
      <c r="K30">
        <f>INDEX(OutputValues,26,$J$4)</f>
        <v>268071.71999999997</v>
      </c>
    </row>
    <row r="31" spans="1:11" x14ac:dyDescent="0.2">
      <c r="A31" s="87">
        <v>1.6000000238418579</v>
      </c>
      <c r="B31" s="80">
        <v>273734.15999999997</v>
      </c>
      <c r="K31">
        <f>INDEX(OutputValues,27,$J$4)</f>
        <v>273734.15999999997</v>
      </c>
    </row>
    <row r="32" spans="1:11" x14ac:dyDescent="0.2">
      <c r="A32" s="87">
        <v>1.7000000476837158</v>
      </c>
      <c r="B32" s="80">
        <v>279396.59999999998</v>
      </c>
      <c r="K32">
        <f>INDEX(OutputValues,28,$J$4)</f>
        <v>279396.59999999998</v>
      </c>
    </row>
    <row r="33" spans="1:11" x14ac:dyDescent="0.2">
      <c r="A33" s="87">
        <v>1.8000000715255737</v>
      </c>
      <c r="B33" s="80">
        <v>285059.03999999998</v>
      </c>
      <c r="K33">
        <f>INDEX(OutputValues,29,$J$4)</f>
        <v>285059.03999999998</v>
      </c>
    </row>
    <row r="34" spans="1:11" x14ac:dyDescent="0.2">
      <c r="A34" s="87">
        <v>1.9000000953674316</v>
      </c>
      <c r="B34" s="80">
        <v>290721.48</v>
      </c>
      <c r="K34">
        <f>INDEX(OutputValues,30,$J$4)</f>
        <v>290721.48</v>
      </c>
    </row>
    <row r="35" spans="1:11" x14ac:dyDescent="0.2">
      <c r="A35" s="87">
        <v>2</v>
      </c>
      <c r="B35" s="80">
        <v>296383.92</v>
      </c>
      <c r="K35">
        <f>INDEX(OutputValues,31,$J$4)</f>
        <v>296383.92</v>
      </c>
    </row>
    <row r="36" spans="1:11" x14ac:dyDescent="0.2">
      <c r="A36" s="87">
        <v>2.1000001430511475</v>
      </c>
      <c r="B36" s="80">
        <v>302046.37</v>
      </c>
      <c r="K36">
        <f>INDEX(OutputValues,32,$J$4)</f>
        <v>302046.37</v>
      </c>
    </row>
    <row r="37" spans="1:11" x14ac:dyDescent="0.2">
      <c r="A37" s="87">
        <v>2.2000000476837158</v>
      </c>
      <c r="B37" s="80">
        <v>307708.79999999999</v>
      </c>
      <c r="K37">
        <f>INDEX(OutputValues,33,$J$4)</f>
        <v>307708.79999999999</v>
      </c>
    </row>
    <row r="38" spans="1:11" x14ac:dyDescent="0.2">
      <c r="A38" s="87">
        <v>2.2999999523162842</v>
      </c>
      <c r="B38" s="80">
        <v>313371.24</v>
      </c>
      <c r="K38">
        <f>INDEX(OutputValues,34,$J$4)</f>
        <v>313371.24</v>
      </c>
    </row>
    <row r="39" spans="1:11" x14ac:dyDescent="0.2">
      <c r="A39" s="87">
        <v>2.4000000953674316</v>
      </c>
      <c r="B39" s="80">
        <v>319033.68</v>
      </c>
      <c r="K39">
        <f>INDEX(OutputValues,35,$J$4)</f>
        <v>319033.68</v>
      </c>
    </row>
    <row r="40" spans="1:11" x14ac:dyDescent="0.2">
      <c r="A40" s="87">
        <v>2.5</v>
      </c>
      <c r="B40" s="80">
        <v>324696.12</v>
      </c>
      <c r="K40">
        <f>INDEX(OutputValues,36,$J$4)</f>
        <v>324696.12</v>
      </c>
    </row>
    <row r="41" spans="1:11" x14ac:dyDescent="0.2">
      <c r="A41" s="87">
        <v>2.6000001430511475</v>
      </c>
      <c r="B41" s="80">
        <v>330358.57</v>
      </c>
      <c r="K41">
        <f>INDEX(OutputValues,37,$J$4)</f>
        <v>330358.57</v>
      </c>
    </row>
    <row r="42" spans="1:11" x14ac:dyDescent="0.2">
      <c r="A42" s="87">
        <v>2.7000000476837158</v>
      </c>
      <c r="B42" s="80">
        <v>336021</v>
      </c>
      <c r="K42">
        <f>INDEX(OutputValues,38,$J$4)</f>
        <v>336021</v>
      </c>
    </row>
    <row r="43" spans="1:11" x14ac:dyDescent="0.2">
      <c r="A43" s="87">
        <v>2.7999999523162842</v>
      </c>
      <c r="B43" s="80">
        <v>341683.44</v>
      </c>
      <c r="K43">
        <f>INDEX(OutputValues,39,$J$4)</f>
        <v>341683.44</v>
      </c>
    </row>
    <row r="44" spans="1:11" x14ac:dyDescent="0.2">
      <c r="A44" s="87">
        <v>2.9000000953674316</v>
      </c>
      <c r="B44" s="80">
        <v>347345.89</v>
      </c>
      <c r="K44">
        <f>INDEX(OutputValues,40,$J$4)</f>
        <v>347345.89</v>
      </c>
    </row>
    <row r="45" spans="1:11" x14ac:dyDescent="0.2">
      <c r="A45" s="87">
        <v>3</v>
      </c>
      <c r="B45" s="81">
        <v>353008.32</v>
      </c>
      <c r="K45">
        <f>INDEX(OutputValues,41,$J$4)</f>
        <v>353008.32</v>
      </c>
    </row>
  </sheetData>
  <phoneticPr fontId="3" type="noConversion"/>
  <dataValidations count="1">
    <dataValidation type="list" allowBlank="1" showInputMessage="1" showErrorMessage="1" sqref="K4" xr:uid="{DDAC108A-6F28-41A3-945B-98E32C2C4F0B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4E32-35E8-4F12-9D1B-6CEBF4228461}">
  <dimension ref="A1:O64"/>
  <sheetViews>
    <sheetView showGridLines="0" tabSelected="1" zoomScaleNormal="100" workbookViewId="0">
      <selection activeCell="N4" sqref="N4"/>
    </sheetView>
  </sheetViews>
  <sheetFormatPr defaultColWidth="8.85546875" defaultRowHeight="12.75" x14ac:dyDescent="0.2"/>
  <cols>
    <col min="1" max="1" width="30.7109375" customWidth="1"/>
    <col min="2" max="5" width="11.7109375" customWidth="1"/>
    <col min="7" max="7" width="21.42578125" customWidth="1"/>
    <col min="8" max="8" width="21" customWidth="1"/>
    <col min="9" max="9" width="15.42578125" customWidth="1"/>
    <col min="10" max="10" width="13.7109375" customWidth="1"/>
    <col min="11" max="11" width="15.140625" customWidth="1"/>
    <col min="12" max="12" width="27.140625" customWidth="1"/>
    <col min="13" max="13" width="26.140625" customWidth="1"/>
    <col min="14" max="14" width="27.140625" customWidth="1"/>
    <col min="15" max="15" width="26" customWidth="1"/>
  </cols>
  <sheetData>
    <row r="1" spans="1:15" x14ac:dyDescent="0.2">
      <c r="A1" s="1" t="s">
        <v>0</v>
      </c>
    </row>
    <row r="2" spans="1:15" x14ac:dyDescent="0.2">
      <c r="H2" s="104" t="s">
        <v>55</v>
      </c>
      <c r="I2" s="104"/>
      <c r="J2" s="104"/>
      <c r="K2" s="104"/>
      <c r="L2" s="104"/>
      <c r="N2" t="s">
        <v>318</v>
      </c>
    </row>
    <row r="3" spans="1:15" x14ac:dyDescent="0.2">
      <c r="H3" s="104"/>
      <c r="I3" s="104"/>
      <c r="J3" s="104"/>
      <c r="K3" s="104"/>
      <c r="L3" s="104"/>
      <c r="N3" s="87">
        <v>0.5</v>
      </c>
    </row>
    <row r="4" spans="1:15" x14ac:dyDescent="0.2">
      <c r="A4" s="1" t="s">
        <v>1</v>
      </c>
      <c r="C4" t="s">
        <v>304</v>
      </c>
      <c r="D4" s="86">
        <v>0</v>
      </c>
      <c r="H4" s="104"/>
      <c r="I4" s="104"/>
      <c r="J4" s="104"/>
      <c r="K4" s="104"/>
      <c r="L4" s="104"/>
      <c r="N4" t="s">
        <v>324</v>
      </c>
    </row>
    <row r="5" spans="1:15" x14ac:dyDescent="0.2">
      <c r="B5" s="28" t="s">
        <v>2</v>
      </c>
      <c r="C5" s="88"/>
      <c r="D5" s="105" t="s">
        <v>3</v>
      </c>
      <c r="E5" s="105"/>
      <c r="N5">
        <v>1</v>
      </c>
    </row>
    <row r="6" spans="1:15" x14ac:dyDescent="0.2">
      <c r="A6" t="s">
        <v>4</v>
      </c>
      <c r="B6" s="29" t="s">
        <v>5</v>
      </c>
      <c r="C6" s="88" t="s">
        <v>6</v>
      </c>
      <c r="D6" s="88" t="s">
        <v>7</v>
      </c>
      <c r="E6" s="15" t="s">
        <v>8</v>
      </c>
      <c r="F6" s="94"/>
      <c r="H6" s="24" t="s">
        <v>56</v>
      </c>
      <c r="I6" s="17"/>
    </row>
    <row r="7" spans="1:15" ht="15" customHeight="1" x14ac:dyDescent="0.2">
      <c r="B7" s="30" t="s">
        <v>9</v>
      </c>
      <c r="C7" s="4" t="s">
        <v>10</v>
      </c>
      <c r="D7" s="4" t="s">
        <v>10</v>
      </c>
      <c r="E7" s="4" t="s">
        <v>10</v>
      </c>
      <c r="H7" s="40" t="s">
        <v>57</v>
      </c>
      <c r="I7" s="41" t="s">
        <v>59</v>
      </c>
      <c r="J7" s="41" t="s">
        <v>60</v>
      </c>
      <c r="K7" s="43" t="s">
        <v>228</v>
      </c>
      <c r="L7" s="44" t="s">
        <v>61</v>
      </c>
      <c r="M7" s="63" t="s">
        <v>227</v>
      </c>
      <c r="N7" s="92" t="s">
        <v>317</v>
      </c>
      <c r="O7" s="92"/>
    </row>
    <row r="8" spans="1:15" ht="12.75" customHeight="1" x14ac:dyDescent="0.2">
      <c r="A8" s="6" t="s">
        <v>11</v>
      </c>
      <c r="B8" s="22">
        <v>1000</v>
      </c>
      <c r="C8" s="7">
        <v>25.2</v>
      </c>
      <c r="D8" s="7">
        <v>5</v>
      </c>
      <c r="E8" s="7">
        <v>11.6</v>
      </c>
      <c r="H8" s="6" t="s">
        <v>11</v>
      </c>
      <c r="I8" s="35">
        <v>1000</v>
      </c>
      <c r="J8" s="35">
        <v>0</v>
      </c>
      <c r="K8" s="37">
        <f>I8+J8</f>
        <v>1000</v>
      </c>
      <c r="L8" s="36">
        <f>K8*C8+I8*D8+J8*E8+N8</f>
        <v>31575</v>
      </c>
      <c r="M8" s="19">
        <v>1000</v>
      </c>
      <c r="N8" s="92">
        <f>I8*D8*0.55*$N$3+J8*E8*0.55*$N$3</f>
        <v>1375</v>
      </c>
      <c r="O8" s="92"/>
    </row>
    <row r="9" spans="1:15" ht="12.75" customHeight="1" x14ac:dyDescent="0.2">
      <c r="A9" s="6" t="s">
        <v>12</v>
      </c>
      <c r="B9" s="22">
        <v>1583</v>
      </c>
      <c r="C9" s="7">
        <v>24.5</v>
      </c>
      <c r="D9" s="7">
        <v>5</v>
      </c>
      <c r="E9" s="7">
        <v>13.7</v>
      </c>
      <c r="H9" s="6" t="s">
        <v>12</v>
      </c>
      <c r="I9" s="35">
        <v>1583</v>
      </c>
      <c r="J9" s="35">
        <v>0</v>
      </c>
      <c r="K9" s="37">
        <f t="shared" ref="K9:K15" si="0">I9+J9</f>
        <v>1583</v>
      </c>
      <c r="L9" s="36">
        <f t="shared" ref="L9:L15" si="1">K9*C9+I9*D9+J9*E9+N9</f>
        <v>48875.125</v>
      </c>
      <c r="M9" s="19">
        <v>1583</v>
      </c>
      <c r="N9" s="92">
        <f t="shared" ref="N9:N15" si="2">I9*D9*0.55*$N$3+J9*E9*0.55*$N$3</f>
        <v>2176.625</v>
      </c>
      <c r="O9" s="92"/>
    </row>
    <row r="10" spans="1:15" ht="12.75" customHeight="1" x14ac:dyDescent="0.2">
      <c r="A10" s="5" t="s">
        <v>13</v>
      </c>
      <c r="B10" s="22">
        <v>2140</v>
      </c>
      <c r="C10" s="7">
        <v>25.5</v>
      </c>
      <c r="D10" s="7">
        <v>19.600000000000001</v>
      </c>
      <c r="E10" s="7">
        <v>11.5</v>
      </c>
      <c r="H10" s="6" t="s">
        <v>13</v>
      </c>
      <c r="I10" s="35">
        <v>0</v>
      </c>
      <c r="J10" s="35">
        <v>2140</v>
      </c>
      <c r="K10" s="37">
        <f t="shared" si="0"/>
        <v>2140</v>
      </c>
      <c r="L10" s="36">
        <f t="shared" si="1"/>
        <v>85947.75</v>
      </c>
      <c r="M10" s="19">
        <v>2140</v>
      </c>
      <c r="N10" s="92">
        <f t="shared" si="2"/>
        <v>6767.7500000000009</v>
      </c>
      <c r="O10" s="92"/>
    </row>
    <row r="11" spans="1:15" ht="15.75" x14ac:dyDescent="0.2">
      <c r="A11" s="5" t="s">
        <v>14</v>
      </c>
      <c r="B11" s="22">
        <v>1370</v>
      </c>
      <c r="C11" s="7">
        <v>23.3</v>
      </c>
      <c r="D11" s="7">
        <v>4</v>
      </c>
      <c r="E11" s="7">
        <v>10.6</v>
      </c>
      <c r="H11" s="6" t="s">
        <v>14</v>
      </c>
      <c r="I11" s="35">
        <v>530.18024471680599</v>
      </c>
      <c r="J11" s="35">
        <v>839.8197552831939</v>
      </c>
      <c r="K11" s="37">
        <f t="shared" si="0"/>
        <v>1370</v>
      </c>
      <c r="L11" s="36">
        <f t="shared" si="1"/>
        <v>45975.083240708074</v>
      </c>
      <c r="M11" s="19">
        <v>1370</v>
      </c>
      <c r="N11" s="92">
        <f t="shared" si="2"/>
        <v>3031.2728558389972</v>
      </c>
      <c r="O11" s="93"/>
    </row>
    <row r="12" spans="1:15" ht="15.75" x14ac:dyDescent="0.2">
      <c r="A12" s="5" t="s">
        <v>15</v>
      </c>
      <c r="B12" s="22">
        <v>2000</v>
      </c>
      <c r="C12" s="7">
        <v>24.2</v>
      </c>
      <c r="D12" s="7">
        <v>4.2</v>
      </c>
      <c r="E12" s="7">
        <v>12.1</v>
      </c>
      <c r="H12" s="6" t="s">
        <v>15</v>
      </c>
      <c r="I12" s="35">
        <v>2000</v>
      </c>
      <c r="J12" s="35">
        <v>0</v>
      </c>
      <c r="K12" s="37">
        <f t="shared" si="0"/>
        <v>2000</v>
      </c>
      <c r="L12" s="36">
        <f t="shared" si="1"/>
        <v>59110</v>
      </c>
      <c r="M12" s="19">
        <v>2000</v>
      </c>
      <c r="N12" s="92">
        <f t="shared" si="2"/>
        <v>2310</v>
      </c>
    </row>
    <row r="13" spans="1:15" ht="15.75" x14ac:dyDescent="0.2">
      <c r="A13" s="5" t="s">
        <v>16</v>
      </c>
      <c r="B13" s="22">
        <v>1850</v>
      </c>
      <c r="C13" s="7">
        <v>23.3</v>
      </c>
      <c r="D13" s="7">
        <v>7.65</v>
      </c>
      <c r="E13" s="7">
        <v>11</v>
      </c>
      <c r="H13" s="6" t="s">
        <v>16</v>
      </c>
      <c r="I13" s="35">
        <v>0</v>
      </c>
      <c r="J13" s="35">
        <v>1849.9999999999998</v>
      </c>
      <c r="K13" s="37">
        <f t="shared" si="0"/>
        <v>1849.9999999999998</v>
      </c>
      <c r="L13" s="36">
        <f t="shared" si="1"/>
        <v>69051.249999999985</v>
      </c>
      <c r="M13" s="19">
        <v>1850</v>
      </c>
      <c r="N13" s="92">
        <f t="shared" si="2"/>
        <v>5596.2499999999991</v>
      </c>
    </row>
    <row r="14" spans="1:15" ht="15.75" x14ac:dyDescent="0.2">
      <c r="A14" s="5" t="s">
        <v>17</v>
      </c>
      <c r="B14" s="22">
        <v>1260</v>
      </c>
      <c r="C14" s="7">
        <v>23.3</v>
      </c>
      <c r="D14" s="7">
        <v>14.7</v>
      </c>
      <c r="E14" s="7">
        <v>4.8</v>
      </c>
      <c r="H14" s="6" t="s">
        <v>17</v>
      </c>
      <c r="I14" s="35">
        <v>0</v>
      </c>
      <c r="J14" s="35">
        <v>1260</v>
      </c>
      <c r="K14" s="37">
        <f t="shared" si="0"/>
        <v>1260</v>
      </c>
      <c r="L14" s="36">
        <f t="shared" si="1"/>
        <v>37069.199999999997</v>
      </c>
      <c r="M14" s="19">
        <v>1260</v>
      </c>
      <c r="N14" s="92">
        <f t="shared" si="2"/>
        <v>1663.2</v>
      </c>
    </row>
    <row r="15" spans="1:15" ht="15.75" x14ac:dyDescent="0.2">
      <c r="A15" s="5" t="s">
        <v>18</v>
      </c>
      <c r="B15" s="22">
        <v>1700</v>
      </c>
      <c r="C15" s="7">
        <v>24.2</v>
      </c>
      <c r="D15" s="7">
        <v>16.3</v>
      </c>
      <c r="E15" s="7">
        <v>10.3</v>
      </c>
      <c r="H15" s="46" t="s">
        <v>18</v>
      </c>
      <c r="I15" s="47">
        <v>0</v>
      </c>
      <c r="J15" s="47">
        <v>1700</v>
      </c>
      <c r="K15" s="37">
        <f t="shared" si="0"/>
        <v>1700</v>
      </c>
      <c r="L15" s="36">
        <f t="shared" si="1"/>
        <v>63465.25</v>
      </c>
      <c r="M15" s="19">
        <v>1700</v>
      </c>
      <c r="N15" s="92">
        <f t="shared" si="2"/>
        <v>4815.25</v>
      </c>
    </row>
    <row r="16" spans="1:15" x14ac:dyDescent="0.2">
      <c r="H16" s="24" t="s">
        <v>77</v>
      </c>
      <c r="I16" s="34"/>
      <c r="J16" s="34"/>
      <c r="K16" s="34"/>
      <c r="L16" s="45">
        <f>SUM(L8:L15)</f>
        <v>441068.65824070812</v>
      </c>
    </row>
    <row r="17" spans="1:15" x14ac:dyDescent="0.2">
      <c r="C17">
        <v>0</v>
      </c>
      <c r="D17" s="7">
        <v>15.3</v>
      </c>
      <c r="E17" s="7">
        <v>13.1</v>
      </c>
      <c r="H17" s="22"/>
      <c r="I17" s="22"/>
      <c r="J17" s="22"/>
      <c r="K17" s="56"/>
      <c r="L17" s="71"/>
    </row>
    <row r="18" spans="1:15" x14ac:dyDescent="0.2">
      <c r="A18" s="1" t="s">
        <v>19</v>
      </c>
      <c r="H18" s="51" t="s">
        <v>62</v>
      </c>
      <c r="I18" s="51"/>
      <c r="J18" s="59" t="s">
        <v>63</v>
      </c>
      <c r="K18" s="59" t="s">
        <v>64</v>
      </c>
      <c r="L18" s="43" t="s">
        <v>72</v>
      </c>
      <c r="M18" s="43" t="s">
        <v>229</v>
      </c>
      <c r="N18" s="43" t="s">
        <v>230</v>
      </c>
      <c r="O18" s="43" t="s">
        <v>231</v>
      </c>
    </row>
    <row r="19" spans="1:15" x14ac:dyDescent="0.2">
      <c r="B19" s="88" t="s">
        <v>7</v>
      </c>
      <c r="C19" s="15" t="s">
        <v>8</v>
      </c>
      <c r="H19" s="50" t="s">
        <v>65</v>
      </c>
      <c r="I19" s="19"/>
      <c r="J19" s="36">
        <f>SUM(I8:I15)*(1-B21)</f>
        <v>4975.1243781094527</v>
      </c>
      <c r="K19" s="36">
        <f>SUM(J8:J15)*(1-C21)</f>
        <v>7579.494621890547</v>
      </c>
      <c r="L19" s="19">
        <f>B33*B37</f>
        <v>4015</v>
      </c>
      <c r="M19" s="20">
        <f>C33*C37</f>
        <v>4390</v>
      </c>
      <c r="N19" s="20">
        <f>B33*B38</f>
        <v>8030</v>
      </c>
      <c r="O19" s="20">
        <f>C33*C38</f>
        <v>8780</v>
      </c>
    </row>
    <row r="20" spans="1:15" x14ac:dyDescent="0.2">
      <c r="A20" s="5" t="s">
        <v>20</v>
      </c>
      <c r="H20" s="1" t="s">
        <v>66</v>
      </c>
      <c r="J20" s="36">
        <f>$J$19*B24</f>
        <v>1761.1940298507461</v>
      </c>
      <c r="K20" s="36">
        <f>$K$19*C24</f>
        <v>2326.9048489203979</v>
      </c>
    </row>
    <row r="21" spans="1:15" x14ac:dyDescent="0.2">
      <c r="A21" t="s">
        <v>21</v>
      </c>
      <c r="B21" s="8">
        <v>2.7E-2</v>
      </c>
      <c r="C21" s="8">
        <v>2.7E-2</v>
      </c>
      <c r="H21" s="50" t="s">
        <v>67</v>
      </c>
      <c r="J21" s="36">
        <f>$J$19*B25</f>
        <v>2000</v>
      </c>
      <c r="K21" s="36">
        <f>$K$19*C25</f>
        <v>3456.2495475820897</v>
      </c>
      <c r="M21" s="20">
        <f>B34</f>
        <v>2000</v>
      </c>
      <c r="O21" s="20">
        <f>C34</f>
        <v>4000</v>
      </c>
    </row>
    <row r="22" spans="1:15" x14ac:dyDescent="0.2">
      <c r="H22" s="51" t="s">
        <v>68</v>
      </c>
      <c r="I22" s="26"/>
      <c r="J22" s="38">
        <f>$J$19*B26</f>
        <v>1213.9303482587063</v>
      </c>
      <c r="K22" s="38">
        <f>$K$19*C26</f>
        <v>1796.3402253880599</v>
      </c>
    </row>
    <row r="23" spans="1:15" x14ac:dyDescent="0.2">
      <c r="A23" s="5" t="s">
        <v>22</v>
      </c>
      <c r="H23" s="54" t="s">
        <v>82</v>
      </c>
      <c r="J23" s="36"/>
      <c r="K23" s="36"/>
    </row>
    <row r="24" spans="1:15" x14ac:dyDescent="0.2">
      <c r="A24" t="s">
        <v>23</v>
      </c>
      <c r="B24" s="8">
        <v>0.35399999999999998</v>
      </c>
      <c r="C24" s="8">
        <v>0.307</v>
      </c>
      <c r="H24" s="1" t="s">
        <v>69</v>
      </c>
      <c r="J24" s="36">
        <f>$J$19*B29</f>
        <v>154228.85572139302</v>
      </c>
      <c r="K24" s="36">
        <f>$K$19*C29</f>
        <v>288020.79563184077</v>
      </c>
    </row>
    <row r="25" spans="1:15" ht="13.5" thickBot="1" x14ac:dyDescent="0.25">
      <c r="A25" t="s">
        <v>24</v>
      </c>
      <c r="B25" s="8">
        <v>0.40200000000000002</v>
      </c>
      <c r="C25" s="8">
        <v>0.45600000000000002</v>
      </c>
      <c r="H25" s="52" t="s">
        <v>70</v>
      </c>
      <c r="I25" s="53"/>
      <c r="J25" s="49">
        <f>B30</f>
        <v>10000</v>
      </c>
      <c r="K25" s="49">
        <f>C30</f>
        <v>14200</v>
      </c>
    </row>
    <row r="26" spans="1:15" x14ac:dyDescent="0.2">
      <c r="A26" t="s">
        <v>54</v>
      </c>
      <c r="B26" s="8">
        <f>1-B24-B25</f>
        <v>0.24399999999999999</v>
      </c>
      <c r="C26" s="8">
        <f>1-C24-C25</f>
        <v>0.23700000000000004</v>
      </c>
      <c r="H26" s="27" t="s">
        <v>71</v>
      </c>
      <c r="I26" s="25"/>
      <c r="J26" s="55">
        <f>SUM(J24:J25)</f>
        <v>164228.85572139302</v>
      </c>
      <c r="K26" s="55">
        <f>SUM(K24:K25)</f>
        <v>302220.79563184077</v>
      </c>
    </row>
    <row r="28" spans="1:15" x14ac:dyDescent="0.2">
      <c r="A28" t="s">
        <v>25</v>
      </c>
      <c r="H28" s="1" t="s">
        <v>73</v>
      </c>
    </row>
    <row r="29" spans="1:15" x14ac:dyDescent="0.2">
      <c r="A29" s="16" t="s">
        <v>53</v>
      </c>
      <c r="B29" s="9">
        <v>31</v>
      </c>
      <c r="C29" s="9">
        <v>38</v>
      </c>
      <c r="H29" s="51" t="s">
        <v>74</v>
      </c>
      <c r="I29" s="41" t="s">
        <v>78</v>
      </c>
      <c r="J29" s="41" t="s">
        <v>79</v>
      </c>
      <c r="K29" s="43" t="s">
        <v>77</v>
      </c>
      <c r="L29" s="43" t="s">
        <v>75</v>
      </c>
      <c r="M29" s="43" t="s">
        <v>76</v>
      </c>
      <c r="N29" s="42" t="s">
        <v>83</v>
      </c>
      <c r="O29" s="95" t="s">
        <v>319</v>
      </c>
    </row>
    <row r="30" spans="1:15" x14ac:dyDescent="0.2">
      <c r="A30" s="5" t="s">
        <v>26</v>
      </c>
      <c r="B30" s="9">
        <v>10000</v>
      </c>
      <c r="C30" s="9">
        <v>14200</v>
      </c>
      <c r="H30" s="5" t="s">
        <v>39</v>
      </c>
      <c r="I30" s="35">
        <v>480</v>
      </c>
      <c r="J30" s="35">
        <v>0</v>
      </c>
      <c r="K30" s="37">
        <f>I30+J30</f>
        <v>480</v>
      </c>
      <c r="L30" s="37">
        <v>480</v>
      </c>
      <c r="M30" s="37">
        <v>900</v>
      </c>
      <c r="N30" s="36">
        <f>I30*D46+J30*E46+O30</f>
        <v>15288</v>
      </c>
      <c r="O30">
        <f>I30*D46*0.45*$N$3+J30*E46*0.45*$N$3</f>
        <v>2808</v>
      </c>
    </row>
    <row r="31" spans="1:15" x14ac:dyDescent="0.2">
      <c r="H31" t="s">
        <v>40</v>
      </c>
      <c r="I31" s="35">
        <v>0</v>
      </c>
      <c r="J31" s="35">
        <v>850</v>
      </c>
      <c r="K31" s="37">
        <f t="shared" ref="K31:K38" si="3">I31+J31</f>
        <v>850</v>
      </c>
      <c r="L31" s="37">
        <v>850</v>
      </c>
      <c r="M31" s="37">
        <v>1150</v>
      </c>
      <c r="N31" s="36">
        <f t="shared" ref="N31:N38" si="4">I31*D47+J31*E47+O31</f>
        <v>33007.625</v>
      </c>
      <c r="O31">
        <f t="shared" ref="O31:O38" si="5">I31*D47*0.45*$N$3+J31*E47*0.45*$N$3</f>
        <v>6062.625</v>
      </c>
    </row>
    <row r="32" spans="1:15" x14ac:dyDescent="0.2">
      <c r="A32" s="21" t="s">
        <v>27</v>
      </c>
      <c r="B32" s="22"/>
      <c r="C32" s="22"/>
      <c r="H32" t="s">
        <v>41</v>
      </c>
      <c r="I32" s="35">
        <v>133.09515107960229</v>
      </c>
      <c r="J32" s="35">
        <v>506.90484892039774</v>
      </c>
      <c r="K32" s="37">
        <f t="shared" si="3"/>
        <v>640</v>
      </c>
      <c r="L32" s="37">
        <v>640</v>
      </c>
      <c r="M32" s="37">
        <v>800</v>
      </c>
      <c r="N32" s="36">
        <f t="shared" si="4"/>
        <v>7239.4865086743703</v>
      </c>
      <c r="O32">
        <f t="shared" si="5"/>
        <v>1329.7016036340679</v>
      </c>
    </row>
    <row r="33" spans="1:15" x14ac:dyDescent="0.2">
      <c r="A33" s="21" t="s">
        <v>28</v>
      </c>
      <c r="B33" s="23">
        <v>8030</v>
      </c>
      <c r="C33" s="23">
        <v>8780</v>
      </c>
      <c r="H33" t="s">
        <v>42</v>
      </c>
      <c r="I33" s="35">
        <v>651.0988787711442</v>
      </c>
      <c r="J33" s="35">
        <v>0</v>
      </c>
      <c r="K33" s="37">
        <f t="shared" si="3"/>
        <v>651.0988787711442</v>
      </c>
      <c r="L33" s="37">
        <v>575</v>
      </c>
      <c r="M33" s="37">
        <v>775</v>
      </c>
      <c r="N33" s="36">
        <f t="shared" si="4"/>
        <v>12921.057249213358</v>
      </c>
      <c r="O33">
        <f t="shared" si="5"/>
        <v>2373.2554131208208</v>
      </c>
    </row>
    <row r="34" spans="1:15" x14ac:dyDescent="0.2">
      <c r="A34" s="22" t="s">
        <v>29</v>
      </c>
      <c r="B34" s="23">
        <v>2000</v>
      </c>
      <c r="C34" s="23">
        <v>4000</v>
      </c>
      <c r="H34" t="s">
        <v>43</v>
      </c>
      <c r="I34" s="35">
        <v>0</v>
      </c>
      <c r="J34" s="35">
        <v>969.99999999999989</v>
      </c>
      <c r="K34" s="37">
        <f t="shared" si="3"/>
        <v>969.99999999999989</v>
      </c>
      <c r="L34" s="37">
        <v>970</v>
      </c>
      <c r="M34" s="37">
        <v>970</v>
      </c>
      <c r="N34" s="36">
        <f t="shared" si="4"/>
        <v>15684.899999999998</v>
      </c>
      <c r="O34">
        <f t="shared" si="5"/>
        <v>2880.8999999999996</v>
      </c>
    </row>
    <row r="35" spans="1:15" x14ac:dyDescent="0.2">
      <c r="A35" s="22"/>
      <c r="B35" s="22"/>
      <c r="C35" s="22"/>
      <c r="H35" s="5" t="s">
        <v>44</v>
      </c>
      <c r="I35" s="35">
        <v>107</v>
      </c>
      <c r="J35" s="35">
        <v>0</v>
      </c>
      <c r="K35" s="37">
        <f t="shared" si="3"/>
        <v>107</v>
      </c>
      <c r="L35" s="37">
        <v>107</v>
      </c>
      <c r="M35" s="37">
        <v>200</v>
      </c>
      <c r="N35" s="36">
        <f t="shared" si="4"/>
        <v>3447.2725</v>
      </c>
      <c r="O35">
        <f t="shared" si="5"/>
        <v>633.17250000000001</v>
      </c>
    </row>
    <row r="36" spans="1:15" x14ac:dyDescent="0.2">
      <c r="A36" t="s">
        <v>30</v>
      </c>
      <c r="H36" t="s">
        <v>45</v>
      </c>
      <c r="I36" s="35">
        <v>80</v>
      </c>
      <c r="J36" s="35">
        <v>0</v>
      </c>
      <c r="K36" s="37">
        <f t="shared" si="3"/>
        <v>80</v>
      </c>
      <c r="L36" s="37">
        <v>80</v>
      </c>
      <c r="M36" s="37">
        <v>400</v>
      </c>
      <c r="N36" s="36">
        <f t="shared" si="4"/>
        <v>2087.4</v>
      </c>
      <c r="O36">
        <f t="shared" si="5"/>
        <v>383.40000000000003</v>
      </c>
    </row>
    <row r="37" spans="1:15" x14ac:dyDescent="0.2">
      <c r="A37" t="s">
        <v>31</v>
      </c>
      <c r="B37" s="10">
        <v>0.5</v>
      </c>
      <c r="C37" s="10">
        <v>0.5</v>
      </c>
      <c r="H37" t="s">
        <v>46</v>
      </c>
      <c r="I37" s="35">
        <v>310</v>
      </c>
      <c r="J37" s="35">
        <v>0</v>
      </c>
      <c r="K37" s="37">
        <f t="shared" si="3"/>
        <v>310</v>
      </c>
      <c r="L37" s="37">
        <v>0</v>
      </c>
      <c r="M37" s="37">
        <v>310</v>
      </c>
      <c r="N37" s="36">
        <f t="shared" si="4"/>
        <v>5810.1750000000002</v>
      </c>
      <c r="O37">
        <f t="shared" si="5"/>
        <v>1067.175</v>
      </c>
    </row>
    <row r="38" spans="1:15" x14ac:dyDescent="0.2">
      <c r="A38" t="s">
        <v>32</v>
      </c>
      <c r="B38" s="10">
        <v>1</v>
      </c>
      <c r="C38" s="10">
        <v>1</v>
      </c>
      <c r="H38" s="26" t="s">
        <v>47</v>
      </c>
      <c r="I38" s="47">
        <v>0</v>
      </c>
      <c r="J38" s="47">
        <v>0</v>
      </c>
      <c r="K38" s="48">
        <f t="shared" si="3"/>
        <v>0</v>
      </c>
      <c r="L38" s="48">
        <v>0</v>
      </c>
      <c r="M38" s="48">
        <v>470</v>
      </c>
      <c r="N38" s="36">
        <f t="shared" si="4"/>
        <v>0</v>
      </c>
      <c r="O38">
        <f t="shared" si="5"/>
        <v>0</v>
      </c>
    </row>
    <row r="39" spans="1:15" x14ac:dyDescent="0.2">
      <c r="B39" s="10"/>
      <c r="C39" s="10"/>
      <c r="H39" s="54" t="s">
        <v>77</v>
      </c>
      <c r="I39" s="57">
        <f>SUM(I30:I38)</f>
        <v>1761.1940298507466</v>
      </c>
      <c r="J39" s="57">
        <f>SUM(J30:J38)</f>
        <v>2326.9048489203979</v>
      </c>
      <c r="K39" s="57">
        <f>SUM(K30:K38)</f>
        <v>4088.098878771144</v>
      </c>
      <c r="L39" s="36"/>
      <c r="M39" s="36"/>
      <c r="N39" s="45">
        <f>SUM(N30:N38)</f>
        <v>95485.916257887729</v>
      </c>
    </row>
    <row r="40" spans="1:15" x14ac:dyDescent="0.2">
      <c r="H40" s="50" t="s">
        <v>80</v>
      </c>
      <c r="I40" s="58">
        <f>J20</f>
        <v>1761.1940298507461</v>
      </c>
      <c r="J40" s="58">
        <f>K20</f>
        <v>2326.9048489203979</v>
      </c>
      <c r="K40" s="56"/>
      <c r="L40" s="36"/>
      <c r="M40" s="36"/>
      <c r="N40" s="36"/>
    </row>
    <row r="41" spans="1:15" x14ac:dyDescent="0.2">
      <c r="A41" s="1" t="s">
        <v>33</v>
      </c>
    </row>
    <row r="42" spans="1:15" x14ac:dyDescent="0.2">
      <c r="H42" s="1" t="s">
        <v>84</v>
      </c>
    </row>
    <row r="43" spans="1:15" ht="12.75" customHeight="1" x14ac:dyDescent="0.2">
      <c r="B43" s="15" t="s">
        <v>34</v>
      </c>
      <c r="C43" s="15" t="s">
        <v>35</v>
      </c>
      <c r="D43" s="105" t="s">
        <v>36</v>
      </c>
      <c r="E43" s="105"/>
      <c r="H43" s="51" t="s">
        <v>85</v>
      </c>
      <c r="I43" s="51" t="s">
        <v>58</v>
      </c>
      <c r="J43" s="51" t="s">
        <v>89</v>
      </c>
      <c r="K43" s="51" t="s">
        <v>85</v>
      </c>
      <c r="M43" s="106" t="s">
        <v>226</v>
      </c>
      <c r="N43" s="107"/>
      <c r="O43" s="108"/>
    </row>
    <row r="44" spans="1:15" ht="12.75" customHeight="1" x14ac:dyDescent="0.2">
      <c r="A44" s="5" t="s">
        <v>37</v>
      </c>
      <c r="B44" s="88" t="s">
        <v>5</v>
      </c>
      <c r="C44" s="15" t="s">
        <v>38</v>
      </c>
      <c r="D44" s="88" t="s">
        <v>7</v>
      </c>
      <c r="E44" s="15" t="s">
        <v>8</v>
      </c>
      <c r="H44" s="18" t="s">
        <v>86</v>
      </c>
      <c r="I44" s="36">
        <f>J21</f>
        <v>2000</v>
      </c>
      <c r="J44" s="36">
        <f>B61</f>
        <v>200</v>
      </c>
      <c r="K44" s="36">
        <f>I44*J44</f>
        <v>400000</v>
      </c>
      <c r="M44" s="109"/>
      <c r="N44" s="110"/>
      <c r="O44" s="111"/>
    </row>
    <row r="45" spans="1:15" ht="12.75" customHeight="1" x14ac:dyDescent="0.2">
      <c r="A45" s="11"/>
      <c r="B45" s="12" t="s">
        <v>9</v>
      </c>
      <c r="C45" s="12" t="s">
        <v>9</v>
      </c>
      <c r="D45" s="4" t="s">
        <v>10</v>
      </c>
      <c r="E45" s="4" t="s">
        <v>10</v>
      </c>
      <c r="H45" s="39" t="s">
        <v>87</v>
      </c>
      <c r="I45" s="60">
        <f>K21</f>
        <v>3456.2495475820897</v>
      </c>
      <c r="J45" s="36">
        <f>B62</f>
        <v>150</v>
      </c>
      <c r="K45" s="36">
        <f>I45*J45</f>
        <v>518437.43213731347</v>
      </c>
      <c r="M45" s="109"/>
      <c r="N45" s="110"/>
      <c r="O45" s="111"/>
    </row>
    <row r="46" spans="1:15" ht="12.75" customHeight="1" x14ac:dyDescent="0.2">
      <c r="A46" s="5" t="s">
        <v>39</v>
      </c>
      <c r="B46">
        <v>480</v>
      </c>
      <c r="C46">
        <v>900</v>
      </c>
      <c r="D46" s="7">
        <v>26</v>
      </c>
      <c r="E46" s="7">
        <v>30.1</v>
      </c>
      <c r="G46" s="5"/>
      <c r="H46" s="6" t="s">
        <v>88</v>
      </c>
      <c r="I46" s="60">
        <f>K39</f>
        <v>4088.098878771144</v>
      </c>
      <c r="J46" s="36">
        <f>B63</f>
        <v>54</v>
      </c>
      <c r="K46" s="36">
        <f>I46*J46</f>
        <v>220757.33945364176</v>
      </c>
      <c r="M46" s="109"/>
      <c r="N46" s="110"/>
      <c r="O46" s="111"/>
    </row>
    <row r="47" spans="1:15" ht="13.5" customHeight="1" thickBot="1" x14ac:dyDescent="0.25">
      <c r="A47" t="s">
        <v>40</v>
      </c>
      <c r="B47">
        <v>850</v>
      </c>
      <c r="C47">
        <v>1150</v>
      </c>
      <c r="D47" s="7">
        <v>51.7</v>
      </c>
      <c r="E47" s="7">
        <v>31.7</v>
      </c>
      <c r="H47" s="18" t="s">
        <v>54</v>
      </c>
      <c r="I47" s="36">
        <f>J22+K22</f>
        <v>3010.270573646766</v>
      </c>
      <c r="J47" s="36">
        <f>B64</f>
        <v>25</v>
      </c>
      <c r="K47" s="49">
        <f>I47*J47</f>
        <v>75256.764341169153</v>
      </c>
      <c r="M47" s="109"/>
      <c r="N47" s="110"/>
      <c r="O47" s="111"/>
    </row>
    <row r="48" spans="1:15" ht="12.75" customHeight="1" x14ac:dyDescent="0.2">
      <c r="A48" t="s">
        <v>41</v>
      </c>
      <c r="B48">
        <v>640</v>
      </c>
      <c r="C48">
        <v>800</v>
      </c>
      <c r="D48" s="7">
        <v>16.600000000000001</v>
      </c>
      <c r="E48" s="7">
        <v>7.3</v>
      </c>
      <c r="H48" s="51" t="s">
        <v>77</v>
      </c>
      <c r="I48" s="38"/>
      <c r="J48" s="38"/>
      <c r="K48" s="62">
        <f>SUM(K44:K47)</f>
        <v>1214451.5359321246</v>
      </c>
      <c r="M48" s="109"/>
      <c r="N48" s="110"/>
      <c r="O48" s="111"/>
    </row>
    <row r="49" spans="1:15" ht="12.75" customHeight="1" x14ac:dyDescent="0.2">
      <c r="A49" t="s">
        <v>42</v>
      </c>
      <c r="B49">
        <v>575</v>
      </c>
      <c r="C49">
        <v>775</v>
      </c>
      <c r="D49" s="7">
        <v>16.2</v>
      </c>
      <c r="E49" s="7">
        <v>21.5</v>
      </c>
      <c r="H49" s="1" t="s">
        <v>82</v>
      </c>
      <c r="I49" s="36"/>
      <c r="J49" s="36"/>
      <c r="K49" s="36"/>
      <c r="M49" s="109"/>
      <c r="N49" s="110"/>
      <c r="O49" s="111"/>
    </row>
    <row r="50" spans="1:15" ht="12.75" customHeight="1" x14ac:dyDescent="0.2">
      <c r="A50" t="s">
        <v>43</v>
      </c>
      <c r="B50">
        <v>970</v>
      </c>
      <c r="C50">
        <v>970</v>
      </c>
      <c r="D50" s="7">
        <v>24.5</v>
      </c>
      <c r="E50" s="7">
        <v>13.2</v>
      </c>
      <c r="H50" s="16" t="s">
        <v>90</v>
      </c>
      <c r="I50" s="36"/>
      <c r="J50" s="36"/>
      <c r="K50" s="36">
        <f>L16</f>
        <v>441068.65824070812</v>
      </c>
      <c r="M50" s="109"/>
      <c r="N50" s="110"/>
      <c r="O50" s="111"/>
    </row>
    <row r="51" spans="1:15" ht="12.75" customHeight="1" x14ac:dyDescent="0.2">
      <c r="A51" s="5" t="s">
        <v>44</v>
      </c>
      <c r="B51">
        <v>107</v>
      </c>
      <c r="C51">
        <v>200</v>
      </c>
      <c r="D51" s="7">
        <v>26.3</v>
      </c>
      <c r="E51" s="7">
        <v>28</v>
      </c>
      <c r="G51" s="5"/>
      <c r="H51" s="16" t="s">
        <v>62</v>
      </c>
      <c r="I51" s="36"/>
      <c r="J51" s="36"/>
      <c r="K51" s="36">
        <f>J26+K26</f>
        <v>466449.65135323378</v>
      </c>
      <c r="M51" s="109"/>
      <c r="N51" s="110"/>
      <c r="O51" s="111"/>
    </row>
    <row r="52" spans="1:15" ht="13.5" thickBot="1" x14ac:dyDescent="0.25">
      <c r="A52" t="s">
        <v>45</v>
      </c>
      <c r="B52">
        <v>80</v>
      </c>
      <c r="C52">
        <v>400</v>
      </c>
      <c r="D52" s="7">
        <v>21.3</v>
      </c>
      <c r="E52" s="7">
        <v>46.2</v>
      </c>
      <c r="H52" s="16" t="s">
        <v>91</v>
      </c>
      <c r="I52" s="36"/>
      <c r="J52" s="36"/>
      <c r="K52" s="49">
        <f>N39</f>
        <v>95485.916257887729</v>
      </c>
      <c r="M52" s="109"/>
      <c r="N52" s="110"/>
      <c r="O52" s="111"/>
    </row>
    <row r="53" spans="1:15" x14ac:dyDescent="0.2">
      <c r="A53" t="s">
        <v>46</v>
      </c>
      <c r="B53">
        <v>0</v>
      </c>
      <c r="C53">
        <v>310</v>
      </c>
      <c r="D53" s="7">
        <v>15.3</v>
      </c>
      <c r="E53" s="7">
        <v>28.4</v>
      </c>
      <c r="H53" s="51" t="s">
        <v>77</v>
      </c>
      <c r="I53" s="38"/>
      <c r="J53" s="38"/>
      <c r="K53" s="62">
        <f>SUM(K50:K52)</f>
        <v>1003004.2258518296</v>
      </c>
      <c r="M53" s="109"/>
      <c r="N53" s="110"/>
      <c r="O53" s="111"/>
    </row>
    <row r="54" spans="1:15" x14ac:dyDescent="0.2">
      <c r="A54" t="s">
        <v>47</v>
      </c>
      <c r="B54">
        <v>0</v>
      </c>
      <c r="C54">
        <v>470</v>
      </c>
      <c r="D54" s="7">
        <v>24.3</v>
      </c>
      <c r="E54" s="7">
        <v>14.7</v>
      </c>
      <c r="I54" s="36"/>
      <c r="J54" s="36"/>
      <c r="K54" s="36"/>
      <c r="M54" s="109"/>
      <c r="N54" s="110"/>
      <c r="O54" s="111"/>
    </row>
    <row r="55" spans="1:15" x14ac:dyDescent="0.2">
      <c r="H55" s="1" t="s">
        <v>92</v>
      </c>
      <c r="I55" s="36"/>
      <c r="J55" s="36"/>
      <c r="K55" s="61">
        <f>K48-K53</f>
        <v>211447.31008029496</v>
      </c>
      <c r="M55" s="109"/>
      <c r="N55" s="110"/>
      <c r="O55" s="111"/>
    </row>
    <row r="56" spans="1:15" x14ac:dyDescent="0.2">
      <c r="M56" s="112"/>
      <c r="N56" s="113"/>
      <c r="O56" s="114"/>
    </row>
    <row r="57" spans="1:15" x14ac:dyDescent="0.2">
      <c r="A57" s="1" t="s">
        <v>48</v>
      </c>
    </row>
    <row r="59" spans="1:15" x14ac:dyDescent="0.2">
      <c r="A59" t="s">
        <v>49</v>
      </c>
      <c r="B59" s="13" t="s">
        <v>6</v>
      </c>
    </row>
    <row r="60" spans="1:15" x14ac:dyDescent="0.2">
      <c r="B60" s="4" t="s">
        <v>10</v>
      </c>
    </row>
    <row r="61" spans="1:15" x14ac:dyDescent="0.2">
      <c r="A61" t="s">
        <v>50</v>
      </c>
      <c r="B61">
        <v>200</v>
      </c>
    </row>
    <row r="62" spans="1:15" x14ac:dyDescent="0.2">
      <c r="A62" s="5" t="s">
        <v>51</v>
      </c>
      <c r="B62">
        <v>150</v>
      </c>
    </row>
    <row r="63" spans="1:15" x14ac:dyDescent="0.2">
      <c r="A63" t="s">
        <v>23</v>
      </c>
      <c r="B63">
        <f>36*(1+N3*N5)</f>
        <v>54</v>
      </c>
    </row>
    <row r="64" spans="1:15" x14ac:dyDescent="0.2">
      <c r="A64" t="s">
        <v>52</v>
      </c>
      <c r="B64">
        <v>25</v>
      </c>
    </row>
  </sheetData>
  <mergeCells count="4">
    <mergeCell ref="H2:L4"/>
    <mergeCell ref="D5:E5"/>
    <mergeCell ref="D43:E43"/>
    <mergeCell ref="M43:O56"/>
  </mergeCells>
  <phoneticPr fontId="3" type="noConversion"/>
  <printOptions headings="1"/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9B3A-1DB1-8945-9830-3BC96071C05E}">
  <dimension ref="A1:G92"/>
  <sheetViews>
    <sheetView showGridLines="0" topLeftCell="A54" workbookViewId="0">
      <selection activeCell="I10" sqref="I10"/>
    </sheetView>
  </sheetViews>
  <sheetFormatPr defaultColWidth="11.42578125" defaultRowHeight="12.75" x14ac:dyDescent="0.2"/>
  <cols>
    <col min="1" max="1" width="2.28515625" customWidth="1"/>
    <col min="2" max="2" width="6.28515625" bestFit="1" customWidth="1"/>
    <col min="3" max="3" width="34.7109375" bestFit="1" customWidth="1"/>
    <col min="4" max="4" width="12.85546875" bestFit="1" customWidth="1"/>
    <col min="5" max="5" width="13.7109375" bestFit="1" customWidth="1"/>
    <col min="6" max="6" width="10.140625" bestFit="1" customWidth="1"/>
    <col min="7" max="7" width="12.140625" bestFit="1" customWidth="1"/>
  </cols>
  <sheetData>
    <row r="1" spans="1:5" x14ac:dyDescent="0.2">
      <c r="A1" s="1" t="s">
        <v>232</v>
      </c>
    </row>
    <row r="2" spans="1:5" x14ac:dyDescent="0.2">
      <c r="A2" s="1" t="s">
        <v>233</v>
      </c>
    </row>
    <row r="3" spans="1:5" x14ac:dyDescent="0.2">
      <c r="A3" s="1" t="s">
        <v>234</v>
      </c>
    </row>
    <row r="4" spans="1:5" x14ac:dyDescent="0.2">
      <c r="A4" s="1" t="s">
        <v>235</v>
      </c>
    </row>
    <row r="5" spans="1:5" x14ac:dyDescent="0.2">
      <c r="A5" s="1" t="s">
        <v>118</v>
      </c>
    </row>
    <row r="6" spans="1:5" x14ac:dyDescent="0.2">
      <c r="A6" s="1"/>
      <c r="B6" t="s">
        <v>119</v>
      </c>
    </row>
    <row r="7" spans="1:5" x14ac:dyDescent="0.2">
      <c r="A7" s="1"/>
      <c r="B7" t="s">
        <v>236</v>
      </c>
    </row>
    <row r="8" spans="1:5" x14ac:dyDescent="0.2">
      <c r="A8" s="1"/>
      <c r="B8" t="s">
        <v>237</v>
      </c>
    </row>
    <row r="9" spans="1:5" x14ac:dyDescent="0.2">
      <c r="A9" s="1" t="s">
        <v>120</v>
      </c>
    </row>
    <row r="10" spans="1:5" x14ac:dyDescent="0.2">
      <c r="B10" t="s">
        <v>238</v>
      </c>
    </row>
    <row r="11" spans="1:5" x14ac:dyDescent="0.2">
      <c r="B11" t="s">
        <v>121</v>
      </c>
    </row>
    <row r="14" spans="1:5" ht="13.5" thickBot="1" x14ac:dyDescent="0.25">
      <c r="A14" t="s">
        <v>122</v>
      </c>
    </row>
    <row r="15" spans="1:5" ht="13.5" thickBot="1" x14ac:dyDescent="0.25">
      <c r="B15" s="64" t="s">
        <v>93</v>
      </c>
      <c r="C15" s="64" t="s">
        <v>94</v>
      </c>
      <c r="D15" s="64" t="s">
        <v>123</v>
      </c>
      <c r="E15" s="64" t="s">
        <v>124</v>
      </c>
    </row>
    <row r="16" spans="1:5" ht="13.5" thickBot="1" x14ac:dyDescent="0.25">
      <c r="B16" s="31" t="s">
        <v>128</v>
      </c>
      <c r="C16" s="31" t="s">
        <v>129</v>
      </c>
      <c r="D16" s="65">
        <v>-24200</v>
      </c>
      <c r="E16" s="65">
        <v>183135.10759999999</v>
      </c>
    </row>
    <row r="19" spans="1:6" ht="13.5" thickBot="1" x14ac:dyDescent="0.25">
      <c r="A19" t="s">
        <v>125</v>
      </c>
    </row>
    <row r="20" spans="1:6" ht="13.5" thickBot="1" x14ac:dyDescent="0.25">
      <c r="B20" s="64" t="s">
        <v>93</v>
      </c>
      <c r="C20" s="64" t="s">
        <v>94</v>
      </c>
      <c r="D20" s="64" t="s">
        <v>123</v>
      </c>
      <c r="E20" s="64" t="s">
        <v>124</v>
      </c>
      <c r="F20" s="64" t="s">
        <v>126</v>
      </c>
    </row>
    <row r="21" spans="1:6" x14ac:dyDescent="0.2">
      <c r="B21" s="32" t="s">
        <v>130</v>
      </c>
      <c r="C21" s="32" t="s">
        <v>131</v>
      </c>
      <c r="D21" s="66">
        <v>0</v>
      </c>
      <c r="E21" s="66">
        <v>1000</v>
      </c>
      <c r="F21" s="32" t="s">
        <v>132</v>
      </c>
    </row>
    <row r="22" spans="1:6" x14ac:dyDescent="0.2">
      <c r="B22" s="32" t="s">
        <v>239</v>
      </c>
      <c r="C22" s="32" t="s">
        <v>240</v>
      </c>
      <c r="D22" s="66">
        <v>0</v>
      </c>
      <c r="E22" s="66">
        <v>0</v>
      </c>
      <c r="F22" s="32" t="s">
        <v>132</v>
      </c>
    </row>
    <row r="23" spans="1:6" x14ac:dyDescent="0.2">
      <c r="B23" s="32" t="s">
        <v>133</v>
      </c>
      <c r="C23" s="32" t="s">
        <v>134</v>
      </c>
      <c r="D23" s="66">
        <v>0</v>
      </c>
      <c r="E23" s="66">
        <v>1583</v>
      </c>
      <c r="F23" s="32" t="s">
        <v>132</v>
      </c>
    </row>
    <row r="24" spans="1:6" x14ac:dyDescent="0.2">
      <c r="B24" s="32" t="s">
        <v>241</v>
      </c>
      <c r="C24" s="32" t="s">
        <v>242</v>
      </c>
      <c r="D24" s="66">
        <v>0</v>
      </c>
      <c r="E24" s="66">
        <v>0</v>
      </c>
      <c r="F24" s="32" t="s">
        <v>132</v>
      </c>
    </row>
    <row r="25" spans="1:6" x14ac:dyDescent="0.2">
      <c r="B25" s="32" t="s">
        <v>135</v>
      </c>
      <c r="C25" s="32" t="s">
        <v>136</v>
      </c>
      <c r="D25" s="66">
        <v>0</v>
      </c>
      <c r="E25" s="66">
        <v>0</v>
      </c>
      <c r="F25" s="32" t="s">
        <v>132</v>
      </c>
    </row>
    <row r="26" spans="1:6" x14ac:dyDescent="0.2">
      <c r="B26" s="32" t="s">
        <v>243</v>
      </c>
      <c r="C26" s="32" t="s">
        <v>244</v>
      </c>
      <c r="D26" s="66">
        <v>0</v>
      </c>
      <c r="E26" s="66">
        <v>2140</v>
      </c>
      <c r="F26" s="32" t="s">
        <v>132</v>
      </c>
    </row>
    <row r="27" spans="1:6" x14ac:dyDescent="0.2">
      <c r="B27" s="32" t="s">
        <v>137</v>
      </c>
      <c r="C27" s="32" t="s">
        <v>138</v>
      </c>
      <c r="D27" s="66">
        <v>0</v>
      </c>
      <c r="E27" s="66">
        <v>530.18024471680599</v>
      </c>
      <c r="F27" s="32" t="s">
        <v>132</v>
      </c>
    </row>
    <row r="28" spans="1:6" x14ac:dyDescent="0.2">
      <c r="B28" s="32" t="s">
        <v>245</v>
      </c>
      <c r="C28" s="32" t="s">
        <v>246</v>
      </c>
      <c r="D28" s="66">
        <v>0</v>
      </c>
      <c r="E28" s="66">
        <v>839.8197552831939</v>
      </c>
      <c r="F28" s="32" t="s">
        <v>132</v>
      </c>
    </row>
    <row r="29" spans="1:6" x14ac:dyDescent="0.2">
      <c r="B29" s="32" t="s">
        <v>139</v>
      </c>
      <c r="C29" s="32" t="s">
        <v>140</v>
      </c>
      <c r="D29" s="66">
        <v>0</v>
      </c>
      <c r="E29" s="66">
        <v>2000</v>
      </c>
      <c r="F29" s="32" t="s">
        <v>132</v>
      </c>
    </row>
    <row r="30" spans="1:6" x14ac:dyDescent="0.2">
      <c r="B30" s="32" t="s">
        <v>247</v>
      </c>
      <c r="C30" s="32" t="s">
        <v>248</v>
      </c>
      <c r="D30" s="66">
        <v>0</v>
      </c>
      <c r="E30" s="66">
        <v>0</v>
      </c>
      <c r="F30" s="32" t="s">
        <v>132</v>
      </c>
    </row>
    <row r="31" spans="1:6" x14ac:dyDescent="0.2">
      <c r="B31" s="32" t="s">
        <v>141</v>
      </c>
      <c r="C31" s="32" t="s">
        <v>142</v>
      </c>
      <c r="D31" s="66">
        <v>0</v>
      </c>
      <c r="E31" s="66">
        <v>0</v>
      </c>
      <c r="F31" s="32" t="s">
        <v>132</v>
      </c>
    </row>
    <row r="32" spans="1:6" x14ac:dyDescent="0.2">
      <c r="B32" s="32" t="s">
        <v>249</v>
      </c>
      <c r="C32" s="32" t="s">
        <v>250</v>
      </c>
      <c r="D32" s="66">
        <v>0</v>
      </c>
      <c r="E32" s="66">
        <v>1849.9999999999998</v>
      </c>
      <c r="F32" s="32" t="s">
        <v>132</v>
      </c>
    </row>
    <row r="33" spans="2:6" x14ac:dyDescent="0.2">
      <c r="B33" s="32" t="s">
        <v>143</v>
      </c>
      <c r="C33" s="32" t="s">
        <v>144</v>
      </c>
      <c r="D33" s="66">
        <v>0</v>
      </c>
      <c r="E33" s="66">
        <v>0</v>
      </c>
      <c r="F33" s="32" t="s">
        <v>132</v>
      </c>
    </row>
    <row r="34" spans="2:6" x14ac:dyDescent="0.2">
      <c r="B34" s="32" t="s">
        <v>251</v>
      </c>
      <c r="C34" s="32" t="s">
        <v>252</v>
      </c>
      <c r="D34" s="66">
        <v>0</v>
      </c>
      <c r="E34" s="66">
        <v>1260</v>
      </c>
      <c r="F34" s="32" t="s">
        <v>132</v>
      </c>
    </row>
    <row r="35" spans="2:6" x14ac:dyDescent="0.2">
      <c r="B35" s="32" t="s">
        <v>145</v>
      </c>
      <c r="C35" s="32" t="s">
        <v>146</v>
      </c>
      <c r="D35" s="66">
        <v>0</v>
      </c>
      <c r="E35" s="66">
        <v>0</v>
      </c>
      <c r="F35" s="32" t="s">
        <v>132</v>
      </c>
    </row>
    <row r="36" spans="2:6" x14ac:dyDescent="0.2">
      <c r="B36" s="32" t="s">
        <v>253</v>
      </c>
      <c r="C36" s="32" t="s">
        <v>254</v>
      </c>
      <c r="D36" s="66">
        <v>0</v>
      </c>
      <c r="E36" s="66">
        <v>1700</v>
      </c>
      <c r="F36" s="32" t="s">
        <v>132</v>
      </c>
    </row>
    <row r="37" spans="2:6" x14ac:dyDescent="0.2">
      <c r="B37" s="32" t="s">
        <v>147</v>
      </c>
      <c r="C37" s="32" t="s">
        <v>148</v>
      </c>
      <c r="D37" s="66">
        <v>0</v>
      </c>
      <c r="E37" s="66">
        <v>480</v>
      </c>
      <c r="F37" s="32" t="s">
        <v>132</v>
      </c>
    </row>
    <row r="38" spans="2:6" x14ac:dyDescent="0.2">
      <c r="B38" s="32" t="s">
        <v>149</v>
      </c>
      <c r="C38" s="32" t="s">
        <v>150</v>
      </c>
      <c r="D38" s="66">
        <v>0</v>
      </c>
      <c r="E38" s="66">
        <v>0</v>
      </c>
      <c r="F38" s="32" t="s">
        <v>132</v>
      </c>
    </row>
    <row r="39" spans="2:6" x14ac:dyDescent="0.2">
      <c r="B39" s="32" t="s">
        <v>151</v>
      </c>
      <c r="C39" s="32" t="s">
        <v>152</v>
      </c>
      <c r="D39" s="66">
        <v>0</v>
      </c>
      <c r="E39" s="66">
        <v>0</v>
      </c>
      <c r="F39" s="32" t="s">
        <v>132</v>
      </c>
    </row>
    <row r="40" spans="2:6" x14ac:dyDescent="0.2">
      <c r="B40" s="32" t="s">
        <v>153</v>
      </c>
      <c r="C40" s="32" t="s">
        <v>154</v>
      </c>
      <c r="D40" s="66">
        <v>0</v>
      </c>
      <c r="E40" s="66">
        <v>850</v>
      </c>
      <c r="F40" s="32" t="s">
        <v>132</v>
      </c>
    </row>
    <row r="41" spans="2:6" x14ac:dyDescent="0.2">
      <c r="B41" s="32" t="s">
        <v>155</v>
      </c>
      <c r="C41" s="32" t="s">
        <v>156</v>
      </c>
      <c r="D41" s="66">
        <v>0</v>
      </c>
      <c r="E41" s="66">
        <v>133.09515107960229</v>
      </c>
      <c r="F41" s="32" t="s">
        <v>132</v>
      </c>
    </row>
    <row r="42" spans="2:6" x14ac:dyDescent="0.2">
      <c r="B42" s="32" t="s">
        <v>157</v>
      </c>
      <c r="C42" s="32" t="s">
        <v>158</v>
      </c>
      <c r="D42" s="66">
        <v>0</v>
      </c>
      <c r="E42" s="66">
        <v>506.90484892039774</v>
      </c>
      <c r="F42" s="32" t="s">
        <v>132</v>
      </c>
    </row>
    <row r="43" spans="2:6" x14ac:dyDescent="0.2">
      <c r="B43" s="32" t="s">
        <v>159</v>
      </c>
      <c r="C43" s="32" t="s">
        <v>160</v>
      </c>
      <c r="D43" s="66">
        <v>0</v>
      </c>
      <c r="E43" s="66">
        <v>651.0988787711442</v>
      </c>
      <c r="F43" s="32" t="s">
        <v>132</v>
      </c>
    </row>
    <row r="44" spans="2:6" x14ac:dyDescent="0.2">
      <c r="B44" s="32" t="s">
        <v>161</v>
      </c>
      <c r="C44" s="32" t="s">
        <v>162</v>
      </c>
      <c r="D44" s="66">
        <v>0</v>
      </c>
      <c r="E44" s="66">
        <v>0</v>
      </c>
      <c r="F44" s="32" t="s">
        <v>132</v>
      </c>
    </row>
    <row r="45" spans="2:6" x14ac:dyDescent="0.2">
      <c r="B45" s="32" t="s">
        <v>163</v>
      </c>
      <c r="C45" s="32" t="s">
        <v>164</v>
      </c>
      <c r="D45" s="66">
        <v>0</v>
      </c>
      <c r="E45" s="66">
        <v>0</v>
      </c>
      <c r="F45" s="32" t="s">
        <v>132</v>
      </c>
    </row>
    <row r="46" spans="2:6" x14ac:dyDescent="0.2">
      <c r="B46" s="32" t="s">
        <v>165</v>
      </c>
      <c r="C46" s="32" t="s">
        <v>166</v>
      </c>
      <c r="D46" s="66">
        <v>0</v>
      </c>
      <c r="E46" s="66">
        <v>969.99999999999989</v>
      </c>
      <c r="F46" s="32" t="s">
        <v>132</v>
      </c>
    </row>
    <row r="47" spans="2:6" x14ac:dyDescent="0.2">
      <c r="B47" s="32" t="s">
        <v>167</v>
      </c>
      <c r="C47" s="32" t="s">
        <v>168</v>
      </c>
      <c r="D47" s="66">
        <v>0</v>
      </c>
      <c r="E47" s="66">
        <v>107</v>
      </c>
      <c r="F47" s="32" t="s">
        <v>132</v>
      </c>
    </row>
    <row r="48" spans="2:6" x14ac:dyDescent="0.2">
      <c r="B48" s="32" t="s">
        <v>169</v>
      </c>
      <c r="C48" s="32" t="s">
        <v>170</v>
      </c>
      <c r="D48" s="66">
        <v>0</v>
      </c>
      <c r="E48" s="66">
        <v>0</v>
      </c>
      <c r="F48" s="32" t="s">
        <v>132</v>
      </c>
    </row>
    <row r="49" spans="1:7" x14ac:dyDescent="0.2">
      <c r="B49" s="32" t="s">
        <v>171</v>
      </c>
      <c r="C49" s="32" t="s">
        <v>172</v>
      </c>
      <c r="D49" s="66">
        <v>0</v>
      </c>
      <c r="E49" s="66">
        <v>80</v>
      </c>
      <c r="F49" s="32" t="s">
        <v>132</v>
      </c>
    </row>
    <row r="50" spans="1:7" x14ac:dyDescent="0.2">
      <c r="B50" s="32" t="s">
        <v>173</v>
      </c>
      <c r="C50" s="32" t="s">
        <v>174</v>
      </c>
      <c r="D50" s="66">
        <v>0</v>
      </c>
      <c r="E50" s="66">
        <v>0</v>
      </c>
      <c r="F50" s="32" t="s">
        <v>132</v>
      </c>
    </row>
    <row r="51" spans="1:7" x14ac:dyDescent="0.2">
      <c r="B51" s="32" t="s">
        <v>175</v>
      </c>
      <c r="C51" s="32" t="s">
        <v>176</v>
      </c>
      <c r="D51" s="66">
        <v>0</v>
      </c>
      <c r="E51" s="66">
        <v>310</v>
      </c>
      <c r="F51" s="32" t="s">
        <v>132</v>
      </c>
    </row>
    <row r="52" spans="1:7" x14ac:dyDescent="0.2">
      <c r="B52" s="32" t="s">
        <v>177</v>
      </c>
      <c r="C52" s="32" t="s">
        <v>178</v>
      </c>
      <c r="D52" s="66">
        <v>0</v>
      </c>
      <c r="E52" s="66">
        <v>0</v>
      </c>
      <c r="F52" s="32" t="s">
        <v>132</v>
      </c>
    </row>
    <row r="53" spans="1:7" x14ac:dyDescent="0.2">
      <c r="B53" s="32" t="s">
        <v>179</v>
      </c>
      <c r="C53" s="32" t="s">
        <v>180</v>
      </c>
      <c r="D53" s="66">
        <v>0</v>
      </c>
      <c r="E53" s="66">
        <v>0</v>
      </c>
      <c r="F53" s="32" t="s">
        <v>132</v>
      </c>
    </row>
    <row r="54" spans="1:7" ht="13.5" thickBot="1" x14ac:dyDescent="0.25">
      <c r="B54" s="31" t="s">
        <v>181</v>
      </c>
      <c r="C54" s="31" t="s">
        <v>182</v>
      </c>
      <c r="D54" s="67">
        <v>0</v>
      </c>
      <c r="E54" s="67">
        <v>0</v>
      </c>
      <c r="F54" s="31" t="s">
        <v>132</v>
      </c>
    </row>
    <row r="57" spans="1:7" ht="13.5" thickBot="1" x14ac:dyDescent="0.25">
      <c r="A57" t="s">
        <v>127</v>
      </c>
    </row>
    <row r="58" spans="1:7" ht="13.5" thickBot="1" x14ac:dyDescent="0.25">
      <c r="B58" s="64" t="s">
        <v>93</v>
      </c>
      <c r="C58" s="64" t="s">
        <v>94</v>
      </c>
      <c r="D58" s="64" t="s">
        <v>95</v>
      </c>
      <c r="E58" s="64" t="s">
        <v>96</v>
      </c>
      <c r="F58" s="64" t="s">
        <v>97</v>
      </c>
      <c r="G58" s="64" t="s">
        <v>98</v>
      </c>
    </row>
    <row r="59" spans="1:7" x14ac:dyDescent="0.2">
      <c r="B59" s="32" t="s">
        <v>255</v>
      </c>
      <c r="C59" s="32" t="s">
        <v>256</v>
      </c>
      <c r="D59" s="66">
        <v>1761.1940298507461</v>
      </c>
      <c r="E59" s="32" t="s">
        <v>257</v>
      </c>
      <c r="F59" s="32" t="s">
        <v>99</v>
      </c>
      <c r="G59" s="66">
        <v>0</v>
      </c>
    </row>
    <row r="60" spans="1:7" x14ac:dyDescent="0.2">
      <c r="B60" s="32" t="s">
        <v>258</v>
      </c>
      <c r="C60" s="32" t="s">
        <v>259</v>
      </c>
      <c r="D60" s="66">
        <v>2326.9048489203979</v>
      </c>
      <c r="E60" s="32" t="s">
        <v>260</v>
      </c>
      <c r="F60" s="32" t="s">
        <v>99</v>
      </c>
      <c r="G60" s="66">
        <v>0</v>
      </c>
    </row>
    <row r="61" spans="1:7" x14ac:dyDescent="0.2">
      <c r="B61" s="32" t="s">
        <v>183</v>
      </c>
      <c r="C61" s="32" t="s">
        <v>184</v>
      </c>
      <c r="D61" s="66">
        <v>4975.1243781094527</v>
      </c>
      <c r="E61" s="32" t="s">
        <v>261</v>
      </c>
      <c r="F61" s="32" t="s">
        <v>185</v>
      </c>
      <c r="G61" s="32">
        <v>3054.8756218905473</v>
      </c>
    </row>
    <row r="62" spans="1:7" x14ac:dyDescent="0.2">
      <c r="B62" s="32" t="s">
        <v>187</v>
      </c>
      <c r="C62" s="32" t="s">
        <v>188</v>
      </c>
      <c r="D62" s="66">
        <v>7579.494621890547</v>
      </c>
      <c r="E62" s="32" t="s">
        <v>189</v>
      </c>
      <c r="F62" s="32" t="s">
        <v>185</v>
      </c>
      <c r="G62" s="32">
        <v>1200.505378109453</v>
      </c>
    </row>
    <row r="63" spans="1:7" x14ac:dyDescent="0.2">
      <c r="B63" s="32" t="s">
        <v>183</v>
      </c>
      <c r="C63" s="32" t="s">
        <v>184</v>
      </c>
      <c r="D63" s="66">
        <v>4975.1243781094527</v>
      </c>
      <c r="E63" s="32" t="s">
        <v>186</v>
      </c>
      <c r="F63" s="32" t="s">
        <v>185</v>
      </c>
      <c r="G63" s="66">
        <v>960.12437810945266</v>
      </c>
    </row>
    <row r="64" spans="1:7" x14ac:dyDescent="0.2">
      <c r="B64" s="32" t="s">
        <v>187</v>
      </c>
      <c r="C64" s="32" t="s">
        <v>188</v>
      </c>
      <c r="D64" s="66">
        <v>7579.494621890547</v>
      </c>
      <c r="E64" s="32" t="s">
        <v>262</v>
      </c>
      <c r="F64" s="32" t="s">
        <v>185</v>
      </c>
      <c r="G64" s="66">
        <v>3189.494621890547</v>
      </c>
    </row>
    <row r="65" spans="2:7" x14ac:dyDescent="0.2">
      <c r="B65" s="32" t="s">
        <v>100</v>
      </c>
      <c r="C65" s="32" t="s">
        <v>101</v>
      </c>
      <c r="D65" s="66">
        <v>2000</v>
      </c>
      <c r="E65" s="32" t="s">
        <v>102</v>
      </c>
      <c r="F65" s="32" t="s">
        <v>99</v>
      </c>
      <c r="G65" s="32">
        <v>0</v>
      </c>
    </row>
    <row r="66" spans="2:7" x14ac:dyDescent="0.2">
      <c r="B66" s="32" t="s">
        <v>190</v>
      </c>
      <c r="C66" s="32" t="s">
        <v>191</v>
      </c>
      <c r="D66" s="66">
        <v>3456.2495475820897</v>
      </c>
      <c r="E66" s="32" t="s">
        <v>192</v>
      </c>
      <c r="F66" s="32" t="s">
        <v>185</v>
      </c>
      <c r="G66" s="32">
        <v>543.75045241791031</v>
      </c>
    </row>
    <row r="67" spans="2:7" x14ac:dyDescent="0.2">
      <c r="B67" s="32" t="s">
        <v>103</v>
      </c>
      <c r="C67" s="32" t="s">
        <v>104</v>
      </c>
      <c r="D67" s="66">
        <v>480</v>
      </c>
      <c r="E67" s="32" t="s">
        <v>193</v>
      </c>
      <c r="F67" s="32" t="s">
        <v>185</v>
      </c>
      <c r="G67" s="32">
        <v>420</v>
      </c>
    </row>
    <row r="68" spans="2:7" x14ac:dyDescent="0.2">
      <c r="B68" s="32" t="s">
        <v>106</v>
      </c>
      <c r="C68" s="32" t="s">
        <v>107</v>
      </c>
      <c r="D68" s="66">
        <v>850</v>
      </c>
      <c r="E68" s="32" t="s">
        <v>194</v>
      </c>
      <c r="F68" s="32" t="s">
        <v>185</v>
      </c>
      <c r="G68" s="32">
        <v>300</v>
      </c>
    </row>
    <row r="69" spans="2:7" x14ac:dyDescent="0.2">
      <c r="B69" s="32" t="s">
        <v>109</v>
      </c>
      <c r="C69" s="32" t="s">
        <v>110</v>
      </c>
      <c r="D69" s="66">
        <v>640</v>
      </c>
      <c r="E69" s="32" t="s">
        <v>195</v>
      </c>
      <c r="F69" s="32" t="s">
        <v>185</v>
      </c>
      <c r="G69" s="32">
        <v>160</v>
      </c>
    </row>
    <row r="70" spans="2:7" x14ac:dyDescent="0.2">
      <c r="B70" s="32" t="s">
        <v>112</v>
      </c>
      <c r="C70" s="32" t="s">
        <v>113</v>
      </c>
      <c r="D70" s="66">
        <v>651.0988787711442</v>
      </c>
      <c r="E70" s="32" t="s">
        <v>196</v>
      </c>
      <c r="F70" s="32" t="s">
        <v>185</v>
      </c>
      <c r="G70" s="32">
        <v>123.9011212288558</v>
      </c>
    </row>
    <row r="71" spans="2:7" x14ac:dyDescent="0.2">
      <c r="B71" s="32" t="s">
        <v>115</v>
      </c>
      <c r="C71" s="32" t="s">
        <v>116</v>
      </c>
      <c r="D71" s="66">
        <v>969.99999999999989</v>
      </c>
      <c r="E71" s="32" t="s">
        <v>197</v>
      </c>
      <c r="F71" s="32" t="s">
        <v>99</v>
      </c>
      <c r="G71" s="32">
        <v>0</v>
      </c>
    </row>
    <row r="72" spans="2:7" x14ac:dyDescent="0.2">
      <c r="B72" s="32" t="s">
        <v>198</v>
      </c>
      <c r="C72" s="32" t="s">
        <v>199</v>
      </c>
      <c r="D72" s="66">
        <v>107</v>
      </c>
      <c r="E72" s="32" t="s">
        <v>200</v>
      </c>
      <c r="F72" s="32" t="s">
        <v>185</v>
      </c>
      <c r="G72" s="32">
        <v>93</v>
      </c>
    </row>
    <row r="73" spans="2:7" x14ac:dyDescent="0.2">
      <c r="B73" s="32" t="s">
        <v>201</v>
      </c>
      <c r="C73" s="32" t="s">
        <v>202</v>
      </c>
      <c r="D73" s="66">
        <v>80</v>
      </c>
      <c r="E73" s="32" t="s">
        <v>203</v>
      </c>
      <c r="F73" s="32" t="s">
        <v>185</v>
      </c>
      <c r="G73" s="32">
        <v>320</v>
      </c>
    </row>
    <row r="74" spans="2:7" x14ac:dyDescent="0.2">
      <c r="B74" s="32" t="s">
        <v>204</v>
      </c>
      <c r="C74" s="32" t="s">
        <v>205</v>
      </c>
      <c r="D74" s="66">
        <v>310</v>
      </c>
      <c r="E74" s="32" t="s">
        <v>206</v>
      </c>
      <c r="F74" s="32" t="s">
        <v>99</v>
      </c>
      <c r="G74" s="32">
        <v>0</v>
      </c>
    </row>
    <row r="75" spans="2:7" x14ac:dyDescent="0.2">
      <c r="B75" s="32" t="s">
        <v>207</v>
      </c>
      <c r="C75" s="32" t="s">
        <v>208</v>
      </c>
      <c r="D75" s="66">
        <v>0</v>
      </c>
      <c r="E75" s="32" t="s">
        <v>209</v>
      </c>
      <c r="F75" s="32" t="s">
        <v>185</v>
      </c>
      <c r="G75" s="32">
        <v>470</v>
      </c>
    </row>
    <row r="76" spans="2:7" x14ac:dyDescent="0.2">
      <c r="B76" s="32" t="s">
        <v>103</v>
      </c>
      <c r="C76" s="32" t="s">
        <v>104</v>
      </c>
      <c r="D76" s="66">
        <v>480</v>
      </c>
      <c r="E76" s="32" t="s">
        <v>105</v>
      </c>
      <c r="F76" s="32" t="s">
        <v>99</v>
      </c>
      <c r="G76" s="66">
        <v>0</v>
      </c>
    </row>
    <row r="77" spans="2:7" x14ac:dyDescent="0.2">
      <c r="B77" s="32" t="s">
        <v>106</v>
      </c>
      <c r="C77" s="32" t="s">
        <v>107</v>
      </c>
      <c r="D77" s="66">
        <v>850</v>
      </c>
      <c r="E77" s="32" t="s">
        <v>108</v>
      </c>
      <c r="F77" s="32" t="s">
        <v>99</v>
      </c>
      <c r="G77" s="66">
        <v>0</v>
      </c>
    </row>
    <row r="78" spans="2:7" x14ac:dyDescent="0.2">
      <c r="B78" s="32" t="s">
        <v>109</v>
      </c>
      <c r="C78" s="32" t="s">
        <v>110</v>
      </c>
      <c r="D78" s="66">
        <v>640</v>
      </c>
      <c r="E78" s="32" t="s">
        <v>111</v>
      </c>
      <c r="F78" s="32" t="s">
        <v>99</v>
      </c>
      <c r="G78" s="66">
        <v>0</v>
      </c>
    </row>
    <row r="79" spans="2:7" x14ac:dyDescent="0.2">
      <c r="B79" s="32" t="s">
        <v>112</v>
      </c>
      <c r="C79" s="32" t="s">
        <v>113</v>
      </c>
      <c r="D79" s="66">
        <v>651.0988787711442</v>
      </c>
      <c r="E79" s="32" t="s">
        <v>114</v>
      </c>
      <c r="F79" s="32" t="s">
        <v>185</v>
      </c>
      <c r="G79" s="66">
        <v>76.0988787711442</v>
      </c>
    </row>
    <row r="80" spans="2:7" x14ac:dyDescent="0.2">
      <c r="B80" s="32" t="s">
        <v>115</v>
      </c>
      <c r="C80" s="32" t="s">
        <v>116</v>
      </c>
      <c r="D80" s="66">
        <v>969.99999999999989</v>
      </c>
      <c r="E80" s="32" t="s">
        <v>117</v>
      </c>
      <c r="F80" s="32" t="s">
        <v>99</v>
      </c>
      <c r="G80" s="66">
        <v>0</v>
      </c>
    </row>
    <row r="81" spans="2:7" x14ac:dyDescent="0.2">
      <c r="B81" s="32" t="s">
        <v>198</v>
      </c>
      <c r="C81" s="32" t="s">
        <v>199</v>
      </c>
      <c r="D81" s="66">
        <v>107</v>
      </c>
      <c r="E81" s="32" t="s">
        <v>210</v>
      </c>
      <c r="F81" s="32" t="s">
        <v>99</v>
      </c>
      <c r="G81" s="66">
        <v>0</v>
      </c>
    </row>
    <row r="82" spans="2:7" x14ac:dyDescent="0.2">
      <c r="B82" s="32" t="s">
        <v>201</v>
      </c>
      <c r="C82" s="32" t="s">
        <v>202</v>
      </c>
      <c r="D82" s="66">
        <v>80</v>
      </c>
      <c r="E82" s="32" t="s">
        <v>211</v>
      </c>
      <c r="F82" s="32" t="s">
        <v>99</v>
      </c>
      <c r="G82" s="66">
        <v>0</v>
      </c>
    </row>
    <row r="83" spans="2:7" x14ac:dyDescent="0.2">
      <c r="B83" s="32" t="s">
        <v>204</v>
      </c>
      <c r="C83" s="32" t="s">
        <v>205</v>
      </c>
      <c r="D83" s="66">
        <v>310</v>
      </c>
      <c r="E83" s="32" t="s">
        <v>212</v>
      </c>
      <c r="F83" s="32" t="s">
        <v>185</v>
      </c>
      <c r="G83" s="66">
        <v>310</v>
      </c>
    </row>
    <row r="84" spans="2:7" x14ac:dyDescent="0.2">
      <c r="B84" s="32" t="s">
        <v>207</v>
      </c>
      <c r="C84" s="32" t="s">
        <v>208</v>
      </c>
      <c r="D84" s="66">
        <v>0</v>
      </c>
      <c r="E84" s="32" t="s">
        <v>213</v>
      </c>
      <c r="F84" s="32" t="s">
        <v>99</v>
      </c>
      <c r="G84" s="66">
        <v>0</v>
      </c>
    </row>
    <row r="85" spans="2:7" x14ac:dyDescent="0.2">
      <c r="B85" s="32" t="s">
        <v>263</v>
      </c>
      <c r="C85" s="32" t="s">
        <v>264</v>
      </c>
      <c r="D85" s="66">
        <v>1000</v>
      </c>
      <c r="E85" s="32" t="s">
        <v>265</v>
      </c>
      <c r="F85" s="32" t="s">
        <v>99</v>
      </c>
      <c r="G85" s="32">
        <v>0</v>
      </c>
    </row>
    <row r="86" spans="2:7" x14ac:dyDescent="0.2">
      <c r="B86" s="32" t="s">
        <v>266</v>
      </c>
      <c r="C86" s="32" t="s">
        <v>267</v>
      </c>
      <c r="D86" s="66">
        <v>1583</v>
      </c>
      <c r="E86" s="32" t="s">
        <v>268</v>
      </c>
      <c r="F86" s="32" t="s">
        <v>99</v>
      </c>
      <c r="G86" s="32">
        <v>0</v>
      </c>
    </row>
    <row r="87" spans="2:7" x14ac:dyDescent="0.2">
      <c r="B87" s="32" t="s">
        <v>269</v>
      </c>
      <c r="C87" s="32" t="s">
        <v>270</v>
      </c>
      <c r="D87" s="66">
        <v>2140</v>
      </c>
      <c r="E87" s="32" t="s">
        <v>271</v>
      </c>
      <c r="F87" s="32" t="s">
        <v>99</v>
      </c>
      <c r="G87" s="32">
        <v>0</v>
      </c>
    </row>
    <row r="88" spans="2:7" x14ac:dyDescent="0.2">
      <c r="B88" s="32" t="s">
        <v>272</v>
      </c>
      <c r="C88" s="32" t="s">
        <v>273</v>
      </c>
      <c r="D88" s="66">
        <v>1370</v>
      </c>
      <c r="E88" s="32" t="s">
        <v>274</v>
      </c>
      <c r="F88" s="32" t="s">
        <v>99</v>
      </c>
      <c r="G88" s="32">
        <v>0</v>
      </c>
    </row>
    <row r="89" spans="2:7" x14ac:dyDescent="0.2">
      <c r="B89" s="32" t="s">
        <v>275</v>
      </c>
      <c r="C89" s="32" t="s">
        <v>276</v>
      </c>
      <c r="D89" s="66">
        <v>2000</v>
      </c>
      <c r="E89" s="32" t="s">
        <v>277</v>
      </c>
      <c r="F89" s="32" t="s">
        <v>99</v>
      </c>
      <c r="G89" s="32">
        <v>0</v>
      </c>
    </row>
    <row r="90" spans="2:7" x14ac:dyDescent="0.2">
      <c r="B90" s="32" t="s">
        <v>278</v>
      </c>
      <c r="C90" s="32" t="s">
        <v>279</v>
      </c>
      <c r="D90" s="66">
        <v>1849.9999999999998</v>
      </c>
      <c r="E90" s="32" t="s">
        <v>280</v>
      </c>
      <c r="F90" s="32" t="s">
        <v>99</v>
      </c>
      <c r="G90" s="32">
        <v>0</v>
      </c>
    </row>
    <row r="91" spans="2:7" x14ac:dyDescent="0.2">
      <c r="B91" s="32" t="s">
        <v>281</v>
      </c>
      <c r="C91" s="32" t="s">
        <v>282</v>
      </c>
      <c r="D91" s="66">
        <v>1260</v>
      </c>
      <c r="E91" s="32" t="s">
        <v>283</v>
      </c>
      <c r="F91" s="32" t="s">
        <v>99</v>
      </c>
      <c r="G91" s="32">
        <v>0</v>
      </c>
    </row>
    <row r="92" spans="2:7" ht="13.5" thickBot="1" x14ac:dyDescent="0.25">
      <c r="B92" s="31" t="s">
        <v>284</v>
      </c>
      <c r="C92" s="31" t="s">
        <v>285</v>
      </c>
      <c r="D92" s="67">
        <v>1700</v>
      </c>
      <c r="E92" s="31" t="s">
        <v>286</v>
      </c>
      <c r="F92" s="31" t="s">
        <v>99</v>
      </c>
      <c r="G92" s="31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8B69-EB0C-734F-BAD3-C2DCFA9FE50E}">
  <dimension ref="A1:H80"/>
  <sheetViews>
    <sheetView showGridLines="0" workbookViewId="0">
      <selection sqref="A1:A3"/>
    </sheetView>
  </sheetViews>
  <sheetFormatPr defaultColWidth="11.42578125" defaultRowHeight="12.75" x14ac:dyDescent="0.2"/>
  <cols>
    <col min="1" max="1" width="2.28515625" customWidth="1"/>
    <col min="2" max="2" width="6.28515625" bestFit="1" customWidth="1"/>
    <col min="3" max="3" width="34.7109375" bestFit="1" customWidth="1"/>
    <col min="4" max="5" width="12.140625" bestFit="1" customWidth="1"/>
    <col min="6" max="6" width="9.85546875" bestFit="1" customWidth="1"/>
    <col min="7" max="8" width="12.140625" bestFit="1" customWidth="1"/>
  </cols>
  <sheetData>
    <row r="1" spans="1:8" x14ac:dyDescent="0.2">
      <c r="A1" s="1" t="s">
        <v>287</v>
      </c>
    </row>
    <row r="2" spans="1:8" x14ac:dyDescent="0.2">
      <c r="A2" s="1" t="s">
        <v>233</v>
      </c>
    </row>
    <row r="3" spans="1:8" x14ac:dyDescent="0.2">
      <c r="A3" s="1" t="s">
        <v>288</v>
      </c>
    </row>
    <row r="6" spans="1:8" ht="13.5" thickBot="1" x14ac:dyDescent="0.25">
      <c r="A6" t="s">
        <v>125</v>
      </c>
    </row>
    <row r="7" spans="1:8" x14ac:dyDescent="0.2">
      <c r="B7" s="68"/>
      <c r="C7" s="68"/>
      <c r="D7" s="68" t="s">
        <v>214</v>
      </c>
      <c r="E7" s="68" t="s">
        <v>216</v>
      </c>
      <c r="F7" s="68" t="s">
        <v>217</v>
      </c>
      <c r="G7" s="68" t="s">
        <v>219</v>
      </c>
      <c r="H7" s="68" t="s">
        <v>219</v>
      </c>
    </row>
    <row r="8" spans="1:8" ht="13.5" thickBot="1" x14ac:dyDescent="0.25">
      <c r="B8" s="69" t="s">
        <v>93</v>
      </c>
      <c r="C8" s="69" t="s">
        <v>94</v>
      </c>
      <c r="D8" s="69" t="s">
        <v>215</v>
      </c>
      <c r="E8" s="69" t="s">
        <v>81</v>
      </c>
      <c r="F8" s="69" t="s">
        <v>218</v>
      </c>
      <c r="G8" s="69" t="s">
        <v>220</v>
      </c>
      <c r="H8" s="69" t="s">
        <v>221</v>
      </c>
    </row>
    <row r="9" spans="1:8" x14ac:dyDescent="0.2">
      <c r="B9" s="32" t="s">
        <v>130</v>
      </c>
      <c r="C9" s="32" t="s">
        <v>131</v>
      </c>
      <c r="D9" s="32">
        <v>1000</v>
      </c>
      <c r="E9" s="32">
        <v>0</v>
      </c>
      <c r="F9" s="32">
        <v>23.801499999997759</v>
      </c>
      <c r="G9" s="32">
        <v>1E+30</v>
      </c>
      <c r="H9" s="32">
        <v>0</v>
      </c>
    </row>
    <row r="10" spans="1:8" x14ac:dyDescent="0.2">
      <c r="B10" s="32" t="s">
        <v>239</v>
      </c>
      <c r="C10" s="32" t="s">
        <v>240</v>
      </c>
      <c r="D10" s="32">
        <v>0</v>
      </c>
      <c r="E10" s="32">
        <v>0</v>
      </c>
      <c r="F10" s="32">
        <v>-1.455774999998539</v>
      </c>
      <c r="G10" s="32">
        <v>0</v>
      </c>
      <c r="H10" s="32">
        <v>1E+30</v>
      </c>
    </row>
    <row r="11" spans="1:8" x14ac:dyDescent="0.2">
      <c r="B11" s="32" t="s">
        <v>133</v>
      </c>
      <c r="C11" s="32" t="s">
        <v>134</v>
      </c>
      <c r="D11" s="32">
        <v>1583</v>
      </c>
      <c r="E11" s="32">
        <v>0</v>
      </c>
      <c r="F11" s="32">
        <v>24.501500000002125</v>
      </c>
      <c r="G11" s="32">
        <v>1E+30</v>
      </c>
      <c r="H11" s="32">
        <v>2.0999999999985519</v>
      </c>
    </row>
    <row r="12" spans="1:8" x14ac:dyDescent="0.2">
      <c r="B12" s="32" t="s">
        <v>241</v>
      </c>
      <c r="C12" s="32" t="s">
        <v>242</v>
      </c>
      <c r="D12" s="32">
        <v>0</v>
      </c>
      <c r="E12" s="32">
        <v>-2.0999999999985519</v>
      </c>
      <c r="F12" s="32">
        <v>-2.8557749999999942</v>
      </c>
      <c r="G12" s="32">
        <v>2.0999999999985519</v>
      </c>
      <c r="H12" s="32">
        <v>1E+30</v>
      </c>
    </row>
    <row r="13" spans="1:8" x14ac:dyDescent="0.2">
      <c r="B13" s="32" t="s">
        <v>135</v>
      </c>
      <c r="C13" s="32" t="s">
        <v>136</v>
      </c>
      <c r="D13" s="32">
        <v>0</v>
      </c>
      <c r="E13" s="32">
        <v>-14.700000000004373</v>
      </c>
      <c r="F13" s="32">
        <v>8.9014999999999418</v>
      </c>
      <c r="G13" s="32">
        <v>14.700000000004373</v>
      </c>
      <c r="H13" s="32">
        <v>1E+30</v>
      </c>
    </row>
    <row r="14" spans="1:8" x14ac:dyDescent="0.2">
      <c r="B14" s="32" t="s">
        <v>243</v>
      </c>
      <c r="C14" s="32" t="s">
        <v>244</v>
      </c>
      <c r="D14" s="32">
        <v>2140</v>
      </c>
      <c r="E14" s="32">
        <v>0</v>
      </c>
      <c r="F14" s="32">
        <v>-1.6557749999992666</v>
      </c>
      <c r="G14" s="32">
        <v>1E+30</v>
      </c>
      <c r="H14" s="32">
        <v>7.036715100000289</v>
      </c>
    </row>
    <row r="15" spans="1:8" x14ac:dyDescent="0.2">
      <c r="B15" s="32" t="s">
        <v>137</v>
      </c>
      <c r="C15" s="32" t="s">
        <v>138</v>
      </c>
      <c r="D15" s="32">
        <v>530.18024471680599</v>
      </c>
      <c r="E15" s="32">
        <v>0</v>
      </c>
      <c r="F15" s="32">
        <v>26.701499999999214</v>
      </c>
      <c r="G15" s="32">
        <v>0</v>
      </c>
      <c r="H15" s="32">
        <v>3.25</v>
      </c>
    </row>
    <row r="16" spans="1:8" x14ac:dyDescent="0.2">
      <c r="B16" s="32" t="s">
        <v>245</v>
      </c>
      <c r="C16" s="32" t="s">
        <v>246</v>
      </c>
      <c r="D16" s="32">
        <v>839.8197552831939</v>
      </c>
      <c r="E16" s="32">
        <v>0</v>
      </c>
      <c r="F16" s="32">
        <v>1.4442249999956402</v>
      </c>
      <c r="G16" s="32">
        <v>3.2499999999999991</v>
      </c>
      <c r="H16" s="32">
        <v>0</v>
      </c>
    </row>
    <row r="17" spans="2:8" x14ac:dyDescent="0.2">
      <c r="B17" s="32" t="s">
        <v>139</v>
      </c>
      <c r="C17" s="32" t="s">
        <v>140</v>
      </c>
      <c r="D17" s="32">
        <v>2000</v>
      </c>
      <c r="E17" s="32">
        <v>0</v>
      </c>
      <c r="F17" s="32">
        <v>25.601499999997031</v>
      </c>
      <c r="G17" s="32">
        <v>1E+30</v>
      </c>
      <c r="H17" s="32">
        <v>1.2999999999883549</v>
      </c>
    </row>
    <row r="18" spans="2:8" x14ac:dyDescent="0.2">
      <c r="B18" s="32" t="s">
        <v>247</v>
      </c>
      <c r="C18" s="32" t="s">
        <v>248</v>
      </c>
      <c r="D18" s="32">
        <v>0</v>
      </c>
      <c r="E18" s="32">
        <v>-1.2999999999883549</v>
      </c>
      <c r="F18" s="32">
        <v>-0.95577499999490101</v>
      </c>
      <c r="G18" s="32">
        <v>1.2999999999883549</v>
      </c>
      <c r="H18" s="32">
        <v>1E+30</v>
      </c>
    </row>
    <row r="19" spans="2:8" x14ac:dyDescent="0.2">
      <c r="B19" s="32" t="s">
        <v>141</v>
      </c>
      <c r="C19" s="32" t="s">
        <v>142</v>
      </c>
      <c r="D19" s="32">
        <v>0</v>
      </c>
      <c r="E19" s="32">
        <v>-3.25</v>
      </c>
      <c r="F19" s="32">
        <v>23.051500000001397</v>
      </c>
      <c r="G19" s="32">
        <v>3.25</v>
      </c>
      <c r="H19" s="32">
        <v>1E+30</v>
      </c>
    </row>
    <row r="20" spans="2:8" x14ac:dyDescent="0.2">
      <c r="B20" s="32" t="s">
        <v>249</v>
      </c>
      <c r="C20" s="32" t="s">
        <v>250</v>
      </c>
      <c r="D20" s="32">
        <v>1849.9999999999998</v>
      </c>
      <c r="E20" s="32">
        <v>0</v>
      </c>
      <c r="F20" s="32">
        <v>1.044224999997823</v>
      </c>
      <c r="G20" s="32">
        <v>1E+30</v>
      </c>
      <c r="H20" s="32">
        <v>3.2499999999999991</v>
      </c>
    </row>
    <row r="21" spans="2:8" x14ac:dyDescent="0.2">
      <c r="B21" s="32" t="s">
        <v>143</v>
      </c>
      <c r="C21" s="32" t="s">
        <v>144</v>
      </c>
      <c r="D21" s="32">
        <v>0</v>
      </c>
      <c r="E21" s="32">
        <v>-16.500000000003638</v>
      </c>
      <c r="F21" s="32">
        <v>16.001500000002125</v>
      </c>
      <c r="G21" s="32">
        <v>16.500000000003638</v>
      </c>
      <c r="H21" s="32">
        <v>1E+30</v>
      </c>
    </row>
    <row r="22" spans="2:8" x14ac:dyDescent="0.2">
      <c r="B22" s="32" t="s">
        <v>251</v>
      </c>
      <c r="C22" s="32" t="s">
        <v>252</v>
      </c>
      <c r="D22" s="32">
        <v>1260</v>
      </c>
      <c r="E22" s="32">
        <v>0</v>
      </c>
      <c r="F22" s="32">
        <v>7.2442250000021886</v>
      </c>
      <c r="G22" s="32">
        <v>1E+30</v>
      </c>
      <c r="H22" s="32">
        <v>15.936715100001752</v>
      </c>
    </row>
    <row r="23" spans="2:8" x14ac:dyDescent="0.2">
      <c r="B23" s="32" t="s">
        <v>145</v>
      </c>
      <c r="C23" s="32" t="s">
        <v>146</v>
      </c>
      <c r="D23" s="32">
        <v>0</v>
      </c>
      <c r="E23" s="32">
        <v>-12.600000000005824</v>
      </c>
      <c r="F23" s="32">
        <v>13.501499999998487</v>
      </c>
      <c r="G23" s="32">
        <v>12.600000000005824</v>
      </c>
      <c r="H23" s="32">
        <v>1E+30</v>
      </c>
    </row>
    <row r="24" spans="2:8" x14ac:dyDescent="0.2">
      <c r="B24" s="32" t="s">
        <v>253</v>
      </c>
      <c r="C24" s="32" t="s">
        <v>254</v>
      </c>
      <c r="D24" s="32">
        <v>1700</v>
      </c>
      <c r="E24" s="32">
        <v>0</v>
      </c>
      <c r="F24" s="32">
        <v>0.84422500000073342</v>
      </c>
      <c r="G24" s="32">
        <v>1E+30</v>
      </c>
      <c r="H24" s="32">
        <v>9.5367151000002863</v>
      </c>
    </row>
    <row r="25" spans="2:8" x14ac:dyDescent="0.2">
      <c r="B25" s="32" t="s">
        <v>147</v>
      </c>
      <c r="C25" s="32" t="s">
        <v>148</v>
      </c>
      <c r="D25" s="32">
        <v>480</v>
      </c>
      <c r="E25" s="32">
        <v>0</v>
      </c>
      <c r="F25" s="32">
        <v>10</v>
      </c>
      <c r="G25" s="32">
        <v>9.8000000000029086</v>
      </c>
      <c r="H25" s="32">
        <v>13.399999999994179</v>
      </c>
    </row>
    <row r="26" spans="2:8" x14ac:dyDescent="0.2">
      <c r="B26" s="32" t="s">
        <v>149</v>
      </c>
      <c r="C26" s="32" t="s">
        <v>150</v>
      </c>
      <c r="D26" s="32">
        <v>0</v>
      </c>
      <c r="E26" s="32">
        <v>-13.399999999994179</v>
      </c>
      <c r="F26" s="32">
        <v>5.9000000000014552</v>
      </c>
      <c r="G26" s="32">
        <v>13.399999999994179</v>
      </c>
      <c r="H26" s="32">
        <v>1E+30</v>
      </c>
    </row>
    <row r="27" spans="2:8" x14ac:dyDescent="0.2">
      <c r="B27" s="32" t="s">
        <v>151</v>
      </c>
      <c r="C27" s="32" t="s">
        <v>152</v>
      </c>
      <c r="D27" s="32">
        <v>0</v>
      </c>
      <c r="E27" s="32">
        <v>-10.700000000004366</v>
      </c>
      <c r="F27" s="32">
        <v>-15.700000000000728</v>
      </c>
      <c r="G27" s="32">
        <v>10.700000000004366</v>
      </c>
      <c r="H27" s="32">
        <v>1E+30</v>
      </c>
    </row>
    <row r="28" spans="2:8" x14ac:dyDescent="0.2">
      <c r="B28" s="32" t="s">
        <v>153</v>
      </c>
      <c r="C28" s="32" t="s">
        <v>154</v>
      </c>
      <c r="D28" s="32">
        <v>850</v>
      </c>
      <c r="E28" s="32">
        <v>0</v>
      </c>
      <c r="F28" s="32">
        <v>4.2999999999992724</v>
      </c>
      <c r="G28" s="32">
        <v>24.799999999999269</v>
      </c>
      <c r="H28" s="32">
        <v>10.700000000004366</v>
      </c>
    </row>
    <row r="29" spans="2:8" x14ac:dyDescent="0.2">
      <c r="B29" s="32" t="s">
        <v>155</v>
      </c>
      <c r="C29" s="32" t="s">
        <v>156</v>
      </c>
      <c r="D29" s="32">
        <v>133.09515107960229</v>
      </c>
      <c r="E29" s="32">
        <v>0</v>
      </c>
      <c r="F29" s="32">
        <v>19.400000000001455</v>
      </c>
      <c r="G29" s="32">
        <v>0.40000000000145253</v>
      </c>
      <c r="H29" s="32">
        <v>0.30000000000291038</v>
      </c>
    </row>
    <row r="30" spans="2:8" x14ac:dyDescent="0.2">
      <c r="B30" s="32" t="s">
        <v>157</v>
      </c>
      <c r="C30" s="32" t="s">
        <v>158</v>
      </c>
      <c r="D30" s="32">
        <v>506.90484892039774</v>
      </c>
      <c r="E30" s="32">
        <v>0</v>
      </c>
      <c r="F30" s="32">
        <v>28.69999999999709</v>
      </c>
      <c r="G30" s="32">
        <v>0.30000000000291038</v>
      </c>
      <c r="H30" s="32">
        <v>6.2999999999992644</v>
      </c>
    </row>
    <row r="31" spans="2:8" x14ac:dyDescent="0.2">
      <c r="B31" s="32" t="s">
        <v>159</v>
      </c>
      <c r="C31" s="32" t="s">
        <v>160</v>
      </c>
      <c r="D31" s="32">
        <v>651.0988787711442</v>
      </c>
      <c r="E31" s="32">
        <v>0</v>
      </c>
      <c r="F31" s="32">
        <v>19.80000000000291</v>
      </c>
      <c r="G31" s="32">
        <v>0.89999999999418012</v>
      </c>
      <c r="H31" s="32">
        <v>0.40000000000145297</v>
      </c>
    </row>
    <row r="32" spans="2:8" x14ac:dyDescent="0.2">
      <c r="B32" s="32" t="s">
        <v>161</v>
      </c>
      <c r="C32" s="32" t="s">
        <v>162</v>
      </c>
      <c r="D32" s="32">
        <v>0</v>
      </c>
      <c r="E32" s="32">
        <v>-14.599999999998545</v>
      </c>
      <c r="F32" s="32">
        <v>14.5</v>
      </c>
      <c r="G32" s="32">
        <v>14.599999999998545</v>
      </c>
      <c r="H32" s="32">
        <v>1E+30</v>
      </c>
    </row>
    <row r="33" spans="1:8" x14ac:dyDescent="0.2">
      <c r="B33" s="32" t="s">
        <v>163</v>
      </c>
      <c r="C33" s="32" t="s">
        <v>164</v>
      </c>
      <c r="D33" s="32">
        <v>0</v>
      </c>
      <c r="E33" s="32">
        <v>-2.0000000000036389</v>
      </c>
      <c r="F33" s="32">
        <v>11.5</v>
      </c>
      <c r="G33" s="32">
        <v>2.0000000000036389</v>
      </c>
      <c r="H33" s="32">
        <v>1E+30</v>
      </c>
    </row>
    <row r="34" spans="1:8" x14ac:dyDescent="0.2">
      <c r="B34" s="32" t="s">
        <v>165</v>
      </c>
      <c r="C34" s="32" t="s">
        <v>166</v>
      </c>
      <c r="D34" s="32">
        <v>969.99999999999989</v>
      </c>
      <c r="E34" s="32">
        <v>0</v>
      </c>
      <c r="F34" s="32">
        <v>22.799999999999272</v>
      </c>
      <c r="G34" s="32">
        <v>6.2999999999992662</v>
      </c>
      <c r="H34" s="32">
        <v>2.000000000003638</v>
      </c>
    </row>
    <row r="35" spans="1:8" x14ac:dyDescent="0.2">
      <c r="B35" s="32" t="s">
        <v>167</v>
      </c>
      <c r="C35" s="32" t="s">
        <v>168</v>
      </c>
      <c r="D35" s="32">
        <v>107</v>
      </c>
      <c r="E35" s="32">
        <v>0</v>
      </c>
      <c r="F35" s="32">
        <v>9.7000000000007276</v>
      </c>
      <c r="G35" s="32">
        <v>10.100000000002179</v>
      </c>
      <c r="H35" s="32">
        <v>10.999999999996362</v>
      </c>
    </row>
    <row r="36" spans="1:8" x14ac:dyDescent="0.2">
      <c r="B36" s="32" t="s">
        <v>169</v>
      </c>
      <c r="C36" s="32" t="s">
        <v>170</v>
      </c>
      <c r="D36" s="32">
        <v>0</v>
      </c>
      <c r="E36" s="32">
        <v>-10.999999999996362</v>
      </c>
      <c r="F36" s="32">
        <v>8</v>
      </c>
      <c r="G36" s="32">
        <v>10.999999999996362</v>
      </c>
      <c r="H36" s="32">
        <v>1E+30</v>
      </c>
    </row>
    <row r="37" spans="1:8" x14ac:dyDescent="0.2">
      <c r="B37" s="32" t="s">
        <v>171</v>
      </c>
      <c r="C37" s="32" t="s">
        <v>172</v>
      </c>
      <c r="D37" s="32">
        <v>80</v>
      </c>
      <c r="E37" s="32">
        <v>0</v>
      </c>
      <c r="F37" s="32">
        <v>14.69999999999709</v>
      </c>
      <c r="G37" s="32">
        <v>5.1000000000058563</v>
      </c>
      <c r="H37" s="32">
        <v>34.199999999989814</v>
      </c>
    </row>
    <row r="38" spans="1:8" x14ac:dyDescent="0.2">
      <c r="B38" s="32" t="s">
        <v>173</v>
      </c>
      <c r="C38" s="32" t="s">
        <v>174</v>
      </c>
      <c r="D38" s="32">
        <v>0</v>
      </c>
      <c r="E38" s="32">
        <v>-34.199999999989814</v>
      </c>
      <c r="F38" s="32">
        <v>-10.19999999999709</v>
      </c>
      <c r="G38" s="32">
        <v>34.199999999989814</v>
      </c>
      <c r="H38" s="32">
        <v>1E+30</v>
      </c>
    </row>
    <row r="39" spans="1:8" x14ac:dyDescent="0.2">
      <c r="B39" s="32" t="s">
        <v>175</v>
      </c>
      <c r="C39" s="32" t="s">
        <v>176</v>
      </c>
      <c r="D39" s="32">
        <v>310</v>
      </c>
      <c r="E39" s="32">
        <v>0</v>
      </c>
      <c r="F39" s="32">
        <v>20.69999999999709</v>
      </c>
      <c r="G39" s="32">
        <v>1E+30</v>
      </c>
      <c r="H39" s="32">
        <v>0.89999999999418012</v>
      </c>
    </row>
    <row r="40" spans="1:8" x14ac:dyDescent="0.2">
      <c r="B40" s="32" t="s">
        <v>177</v>
      </c>
      <c r="C40" s="32" t="s">
        <v>178</v>
      </c>
      <c r="D40" s="32">
        <v>0</v>
      </c>
      <c r="E40" s="32">
        <v>-22.399999999990538</v>
      </c>
      <c r="F40" s="32">
        <v>7.6000000000021828</v>
      </c>
      <c r="G40" s="32">
        <v>22.399999999990538</v>
      </c>
      <c r="H40" s="32">
        <v>1E+30</v>
      </c>
    </row>
    <row r="41" spans="1:8" x14ac:dyDescent="0.2">
      <c r="B41" s="32" t="s">
        <v>179</v>
      </c>
      <c r="C41" s="32" t="s">
        <v>180</v>
      </c>
      <c r="D41" s="32">
        <v>0</v>
      </c>
      <c r="E41" s="32">
        <v>-0.30000000000291038</v>
      </c>
      <c r="F41" s="32">
        <v>11.700000000000728</v>
      </c>
      <c r="G41" s="32">
        <v>0.30000000000291038</v>
      </c>
      <c r="H41" s="32">
        <v>1E+30</v>
      </c>
    </row>
    <row r="42" spans="1:8" ht="13.5" thickBot="1" x14ac:dyDescent="0.25">
      <c r="B42" s="31" t="s">
        <v>181</v>
      </c>
      <c r="C42" s="31" t="s">
        <v>182</v>
      </c>
      <c r="D42" s="31">
        <v>0</v>
      </c>
      <c r="E42" s="31">
        <v>0</v>
      </c>
      <c r="F42" s="31">
        <v>21.299999999999272</v>
      </c>
      <c r="G42" s="31">
        <v>7.7999999999992671</v>
      </c>
      <c r="H42" s="31">
        <v>0.30000000000291038</v>
      </c>
    </row>
    <row r="44" spans="1:8" ht="13.5" thickBot="1" x14ac:dyDescent="0.25">
      <c r="A44" t="s">
        <v>127</v>
      </c>
    </row>
    <row r="45" spans="1:8" x14ac:dyDescent="0.2">
      <c r="B45" s="68"/>
      <c r="C45" s="68"/>
      <c r="D45" s="68" t="s">
        <v>214</v>
      </c>
      <c r="E45" s="68" t="s">
        <v>222</v>
      </c>
      <c r="F45" s="68" t="s">
        <v>223</v>
      </c>
      <c r="G45" s="68" t="s">
        <v>219</v>
      </c>
      <c r="H45" s="68" t="s">
        <v>219</v>
      </c>
    </row>
    <row r="46" spans="1:8" ht="13.5" thickBot="1" x14ac:dyDescent="0.25">
      <c r="B46" s="69" t="s">
        <v>93</v>
      </c>
      <c r="C46" s="69" t="s">
        <v>94</v>
      </c>
      <c r="D46" s="69" t="s">
        <v>215</v>
      </c>
      <c r="E46" s="69" t="s">
        <v>6</v>
      </c>
      <c r="F46" s="69" t="s">
        <v>224</v>
      </c>
      <c r="G46" s="69" t="s">
        <v>220</v>
      </c>
      <c r="H46" s="69" t="s">
        <v>221</v>
      </c>
    </row>
    <row r="47" spans="1:8" x14ac:dyDescent="0.2">
      <c r="B47" s="32" t="s">
        <v>255</v>
      </c>
      <c r="C47" s="32" t="s">
        <v>256</v>
      </c>
      <c r="D47" s="32">
        <v>1761.1940298507461</v>
      </c>
      <c r="E47" s="32">
        <v>-19.800000000002907</v>
      </c>
      <c r="F47" s="32">
        <v>0</v>
      </c>
      <c r="G47" s="32">
        <v>76.098878771144172</v>
      </c>
      <c r="H47" s="32">
        <v>123.9011212288558</v>
      </c>
    </row>
    <row r="48" spans="1:8" x14ac:dyDescent="0.2">
      <c r="B48" s="32" t="s">
        <v>258</v>
      </c>
      <c r="C48" s="32" t="s">
        <v>259</v>
      </c>
      <c r="D48" s="32">
        <v>2326.9048489203979</v>
      </c>
      <c r="E48" s="32">
        <v>-29.099999999998538</v>
      </c>
      <c r="F48" s="32">
        <v>0</v>
      </c>
      <c r="G48" s="32">
        <v>76.098878771144172</v>
      </c>
      <c r="H48" s="32">
        <v>123.9011212288558</v>
      </c>
    </row>
    <row r="49" spans="2:8" x14ac:dyDescent="0.2">
      <c r="B49" s="32" t="s">
        <v>183</v>
      </c>
      <c r="C49" s="32" t="s">
        <v>184</v>
      </c>
      <c r="D49" s="32">
        <v>4975.1243781094527</v>
      </c>
      <c r="E49" s="32">
        <v>0</v>
      </c>
      <c r="F49" s="32">
        <v>8030</v>
      </c>
      <c r="G49" s="32">
        <v>1E+30</v>
      </c>
      <c r="H49" s="32">
        <v>3054.8756218905464</v>
      </c>
    </row>
    <row r="50" spans="2:8" x14ac:dyDescent="0.2">
      <c r="B50" s="32" t="s">
        <v>187</v>
      </c>
      <c r="C50" s="32" t="s">
        <v>188</v>
      </c>
      <c r="D50" s="32">
        <v>7579.494621890547</v>
      </c>
      <c r="E50" s="32">
        <v>0</v>
      </c>
      <c r="F50" s="32">
        <v>8780</v>
      </c>
      <c r="G50" s="32">
        <v>1E+30</v>
      </c>
      <c r="H50" s="32">
        <v>1200.5053781094543</v>
      </c>
    </row>
    <row r="51" spans="2:8" x14ac:dyDescent="0.2">
      <c r="B51" s="32" t="s">
        <v>183</v>
      </c>
      <c r="C51" s="32" t="s">
        <v>184</v>
      </c>
      <c r="D51" s="32">
        <v>4975.1243781094527</v>
      </c>
      <c r="E51" s="32">
        <v>0</v>
      </c>
      <c r="F51" s="32">
        <v>4015</v>
      </c>
      <c r="G51" s="32">
        <v>960.12437810945244</v>
      </c>
      <c r="H51" s="32">
        <v>1E+30</v>
      </c>
    </row>
    <row r="52" spans="2:8" x14ac:dyDescent="0.2">
      <c r="B52" s="32" t="s">
        <v>187</v>
      </c>
      <c r="C52" s="32" t="s">
        <v>188</v>
      </c>
      <c r="D52" s="32">
        <v>7579.494621890547</v>
      </c>
      <c r="E52" s="32">
        <v>0</v>
      </c>
      <c r="F52" s="32">
        <v>4390</v>
      </c>
      <c r="G52" s="32">
        <v>3189.4946218905452</v>
      </c>
      <c r="H52" s="32">
        <v>1E+30</v>
      </c>
    </row>
    <row r="53" spans="2:8" x14ac:dyDescent="0.2">
      <c r="B53" s="32" t="s">
        <v>100</v>
      </c>
      <c r="C53" s="32" t="s">
        <v>101</v>
      </c>
      <c r="D53" s="32">
        <v>2000</v>
      </c>
      <c r="E53" s="32">
        <v>59.785186349866876</v>
      </c>
      <c r="F53" s="32">
        <v>2000</v>
      </c>
      <c r="G53" s="32">
        <v>328.4921379999999</v>
      </c>
      <c r="H53" s="32">
        <v>174.28094701628686</v>
      </c>
    </row>
    <row r="54" spans="2:8" x14ac:dyDescent="0.2">
      <c r="B54" s="32" t="s">
        <v>190</v>
      </c>
      <c r="C54" s="32" t="s">
        <v>191</v>
      </c>
      <c r="D54" s="32">
        <v>3456.2495475820897</v>
      </c>
      <c r="E54" s="32">
        <v>0</v>
      </c>
      <c r="F54" s="32">
        <v>4000</v>
      </c>
      <c r="G54" s="32">
        <v>1E+30</v>
      </c>
      <c r="H54" s="32">
        <v>543.75045241791111</v>
      </c>
    </row>
    <row r="55" spans="2:8" x14ac:dyDescent="0.2">
      <c r="B55" s="32" t="s">
        <v>103</v>
      </c>
      <c r="C55" s="32" t="s">
        <v>104</v>
      </c>
      <c r="D55" s="32">
        <v>480</v>
      </c>
      <c r="E55" s="32">
        <v>0</v>
      </c>
      <c r="F55" s="32">
        <v>900</v>
      </c>
      <c r="G55" s="32">
        <v>1E+30</v>
      </c>
      <c r="H55" s="32">
        <v>420</v>
      </c>
    </row>
    <row r="56" spans="2:8" x14ac:dyDescent="0.2">
      <c r="B56" s="32" t="s">
        <v>106</v>
      </c>
      <c r="C56" s="32" t="s">
        <v>107</v>
      </c>
      <c r="D56" s="32">
        <v>850</v>
      </c>
      <c r="E56" s="32">
        <v>0</v>
      </c>
      <c r="F56" s="32">
        <v>1150</v>
      </c>
      <c r="G56" s="32">
        <v>1E+30</v>
      </c>
      <c r="H56" s="32">
        <v>300</v>
      </c>
    </row>
    <row r="57" spans="2:8" x14ac:dyDescent="0.2">
      <c r="B57" s="32" t="s">
        <v>109</v>
      </c>
      <c r="C57" s="32" t="s">
        <v>110</v>
      </c>
      <c r="D57" s="32">
        <v>640</v>
      </c>
      <c r="E57" s="32">
        <v>0</v>
      </c>
      <c r="F57" s="32">
        <v>800</v>
      </c>
      <c r="G57" s="32">
        <v>1E+30</v>
      </c>
      <c r="H57" s="32">
        <v>160</v>
      </c>
    </row>
    <row r="58" spans="2:8" x14ac:dyDescent="0.2">
      <c r="B58" s="32" t="s">
        <v>112</v>
      </c>
      <c r="C58" s="32" t="s">
        <v>113</v>
      </c>
      <c r="D58" s="32">
        <v>651.0988787711442</v>
      </c>
      <c r="E58" s="32">
        <v>0</v>
      </c>
      <c r="F58" s="32">
        <v>775</v>
      </c>
      <c r="G58" s="32">
        <v>1E+30</v>
      </c>
      <c r="H58" s="32">
        <v>123.9011212288558</v>
      </c>
    </row>
    <row r="59" spans="2:8" x14ac:dyDescent="0.2">
      <c r="B59" s="32" t="s">
        <v>115</v>
      </c>
      <c r="C59" s="32" t="s">
        <v>116</v>
      </c>
      <c r="D59" s="32">
        <v>969.99999999999989</v>
      </c>
      <c r="E59" s="32">
        <v>0</v>
      </c>
      <c r="F59" s="32">
        <v>970</v>
      </c>
      <c r="G59" s="32">
        <v>1E+30</v>
      </c>
      <c r="H59" s="32">
        <v>0</v>
      </c>
    </row>
    <row r="60" spans="2:8" x14ac:dyDescent="0.2">
      <c r="B60" s="32" t="s">
        <v>198</v>
      </c>
      <c r="C60" s="32" t="s">
        <v>199</v>
      </c>
      <c r="D60" s="32">
        <v>107</v>
      </c>
      <c r="E60" s="32">
        <v>0</v>
      </c>
      <c r="F60" s="32">
        <v>200</v>
      </c>
      <c r="G60" s="32">
        <v>1E+30</v>
      </c>
      <c r="H60" s="32">
        <v>93</v>
      </c>
    </row>
    <row r="61" spans="2:8" x14ac:dyDescent="0.2">
      <c r="B61" s="32" t="s">
        <v>201</v>
      </c>
      <c r="C61" s="32" t="s">
        <v>202</v>
      </c>
      <c r="D61" s="32">
        <v>80</v>
      </c>
      <c r="E61" s="32">
        <v>0</v>
      </c>
      <c r="F61" s="32">
        <v>400</v>
      </c>
      <c r="G61" s="32">
        <v>1E+30</v>
      </c>
      <c r="H61" s="32">
        <v>320</v>
      </c>
    </row>
    <row r="62" spans="2:8" x14ac:dyDescent="0.2">
      <c r="B62" s="32" t="s">
        <v>204</v>
      </c>
      <c r="C62" s="32" t="s">
        <v>205</v>
      </c>
      <c r="D62" s="32">
        <v>310</v>
      </c>
      <c r="E62" s="32">
        <v>0.89999999999418012</v>
      </c>
      <c r="F62" s="32">
        <v>310</v>
      </c>
      <c r="G62" s="32">
        <v>76.098878771144172</v>
      </c>
      <c r="H62" s="32">
        <v>123.9011212288558</v>
      </c>
    </row>
    <row r="63" spans="2:8" x14ac:dyDescent="0.2">
      <c r="B63" s="32" t="s">
        <v>207</v>
      </c>
      <c r="C63" s="32" t="s">
        <v>208</v>
      </c>
      <c r="D63" s="32">
        <v>0</v>
      </c>
      <c r="E63" s="32">
        <v>0</v>
      </c>
      <c r="F63" s="32">
        <v>470</v>
      </c>
      <c r="G63" s="32">
        <v>1E+30</v>
      </c>
      <c r="H63" s="32">
        <v>470</v>
      </c>
    </row>
    <row r="64" spans="2:8" x14ac:dyDescent="0.2">
      <c r="B64" s="32" t="s">
        <v>103</v>
      </c>
      <c r="C64" s="32" t="s">
        <v>104</v>
      </c>
      <c r="D64" s="32">
        <v>480</v>
      </c>
      <c r="E64" s="32">
        <v>-9.8000000000029086</v>
      </c>
      <c r="F64" s="32">
        <v>480</v>
      </c>
      <c r="G64" s="32">
        <v>76.098878771144172</v>
      </c>
      <c r="H64" s="32">
        <v>123.9011212288558</v>
      </c>
    </row>
    <row r="65" spans="2:8" x14ac:dyDescent="0.2">
      <c r="B65" s="32" t="s">
        <v>106</v>
      </c>
      <c r="C65" s="32" t="s">
        <v>107</v>
      </c>
      <c r="D65" s="32">
        <v>850</v>
      </c>
      <c r="E65" s="32">
        <v>-24.799999999999269</v>
      </c>
      <c r="F65" s="32">
        <v>850</v>
      </c>
      <c r="G65" s="32">
        <v>76.098878771144172</v>
      </c>
      <c r="H65" s="32">
        <v>123.9011212288558</v>
      </c>
    </row>
    <row r="66" spans="2:8" x14ac:dyDescent="0.2">
      <c r="B66" s="32" t="s">
        <v>109</v>
      </c>
      <c r="C66" s="32" t="s">
        <v>110</v>
      </c>
      <c r="D66" s="32">
        <v>640</v>
      </c>
      <c r="E66" s="32">
        <v>-0.40000000000145297</v>
      </c>
      <c r="F66" s="32">
        <v>640</v>
      </c>
      <c r="G66" s="32">
        <v>76.098878771144172</v>
      </c>
      <c r="H66" s="32">
        <v>123.9011212288558</v>
      </c>
    </row>
    <row r="67" spans="2:8" x14ac:dyDescent="0.2">
      <c r="B67" s="32" t="s">
        <v>112</v>
      </c>
      <c r="C67" s="32" t="s">
        <v>113</v>
      </c>
      <c r="D67" s="32">
        <v>651.0988787711442</v>
      </c>
      <c r="E67" s="32">
        <v>0</v>
      </c>
      <c r="F67" s="32">
        <v>575</v>
      </c>
      <c r="G67" s="32">
        <v>76.098878771144172</v>
      </c>
      <c r="H67" s="32">
        <v>1E+30</v>
      </c>
    </row>
    <row r="68" spans="2:8" x14ac:dyDescent="0.2">
      <c r="B68" s="32" t="s">
        <v>115</v>
      </c>
      <c r="C68" s="32" t="s">
        <v>116</v>
      </c>
      <c r="D68" s="32">
        <v>969.99999999999989</v>
      </c>
      <c r="E68" s="32">
        <v>-6.2999999999992689</v>
      </c>
      <c r="F68" s="32">
        <v>970</v>
      </c>
      <c r="G68" s="32">
        <v>0</v>
      </c>
      <c r="H68" s="32">
        <v>123.9011212288558</v>
      </c>
    </row>
    <row r="69" spans="2:8" x14ac:dyDescent="0.2">
      <c r="B69" s="32" t="s">
        <v>198</v>
      </c>
      <c r="C69" s="32" t="s">
        <v>199</v>
      </c>
      <c r="D69" s="32">
        <v>107</v>
      </c>
      <c r="E69" s="32">
        <v>-10.100000000002179</v>
      </c>
      <c r="F69" s="32">
        <v>107</v>
      </c>
      <c r="G69" s="32">
        <v>76.098878771144172</v>
      </c>
      <c r="H69" s="32">
        <v>107</v>
      </c>
    </row>
    <row r="70" spans="2:8" x14ac:dyDescent="0.2">
      <c r="B70" s="32" t="s">
        <v>201</v>
      </c>
      <c r="C70" s="32" t="s">
        <v>202</v>
      </c>
      <c r="D70" s="32">
        <v>80</v>
      </c>
      <c r="E70" s="32">
        <v>-5.1000000000058563</v>
      </c>
      <c r="F70" s="32">
        <v>80</v>
      </c>
      <c r="G70" s="32">
        <v>76.098878771144115</v>
      </c>
      <c r="H70" s="32">
        <v>80</v>
      </c>
    </row>
    <row r="71" spans="2:8" x14ac:dyDescent="0.2">
      <c r="B71" s="32" t="s">
        <v>204</v>
      </c>
      <c r="C71" s="32" t="s">
        <v>205</v>
      </c>
      <c r="D71" s="32">
        <v>310</v>
      </c>
      <c r="E71" s="32">
        <v>0</v>
      </c>
      <c r="F71" s="32">
        <v>0</v>
      </c>
      <c r="G71" s="32">
        <v>310.00000000000006</v>
      </c>
      <c r="H71" s="32">
        <v>1E+30</v>
      </c>
    </row>
    <row r="72" spans="2:8" x14ac:dyDescent="0.2">
      <c r="B72" s="32" t="s">
        <v>207</v>
      </c>
      <c r="C72" s="32" t="s">
        <v>208</v>
      </c>
      <c r="D72" s="32">
        <v>0</v>
      </c>
      <c r="E72" s="32">
        <v>-7.7999999999992671</v>
      </c>
      <c r="F72" s="32">
        <v>0</v>
      </c>
      <c r="G72" s="32">
        <v>76.098878771144172</v>
      </c>
      <c r="H72" s="32">
        <v>0</v>
      </c>
    </row>
    <row r="73" spans="2:8" x14ac:dyDescent="0.2">
      <c r="B73" s="32" t="s">
        <v>263</v>
      </c>
      <c r="C73" s="32" t="s">
        <v>264</v>
      </c>
      <c r="D73" s="32">
        <v>1000</v>
      </c>
      <c r="E73" s="32">
        <v>7.2367150999937326</v>
      </c>
      <c r="F73" s="32">
        <v>1000</v>
      </c>
      <c r="G73" s="32">
        <v>414.78593432734607</v>
      </c>
      <c r="H73" s="32">
        <v>254.75753745641831</v>
      </c>
    </row>
    <row r="74" spans="2:8" x14ac:dyDescent="0.2">
      <c r="B74" s="32" t="s">
        <v>266</v>
      </c>
      <c r="C74" s="32" t="s">
        <v>267</v>
      </c>
      <c r="D74" s="32">
        <v>1583</v>
      </c>
      <c r="E74" s="32">
        <v>7.9367150999981151</v>
      </c>
      <c r="F74" s="32">
        <v>1583</v>
      </c>
      <c r="G74" s="32">
        <v>414.78593432734584</v>
      </c>
      <c r="H74" s="32">
        <v>254.75753745641836</v>
      </c>
    </row>
    <row r="75" spans="2:8" x14ac:dyDescent="0.2">
      <c r="B75" s="32" t="s">
        <v>269</v>
      </c>
      <c r="C75" s="32" t="s">
        <v>270</v>
      </c>
      <c r="D75" s="32">
        <v>2140</v>
      </c>
      <c r="E75" s="32">
        <v>7.0367151000002908</v>
      </c>
      <c r="F75" s="32">
        <v>2140</v>
      </c>
      <c r="G75" s="32">
        <v>414.78593432734596</v>
      </c>
      <c r="H75" s="32">
        <v>254.75753745641836</v>
      </c>
    </row>
    <row r="76" spans="2:8" x14ac:dyDescent="0.2">
      <c r="B76" s="32" t="s">
        <v>272</v>
      </c>
      <c r="C76" s="32" t="s">
        <v>273</v>
      </c>
      <c r="D76" s="32">
        <v>1370</v>
      </c>
      <c r="E76" s="32">
        <v>10.136715099995193</v>
      </c>
      <c r="F76" s="32">
        <v>1370</v>
      </c>
      <c r="G76" s="32">
        <v>414.7859343273459</v>
      </c>
      <c r="H76" s="32">
        <v>254.75753745641836</v>
      </c>
    </row>
    <row r="77" spans="2:8" x14ac:dyDescent="0.2">
      <c r="B77" s="32" t="s">
        <v>275</v>
      </c>
      <c r="C77" s="32" t="s">
        <v>276</v>
      </c>
      <c r="D77" s="32">
        <v>2000</v>
      </c>
      <c r="E77" s="32">
        <v>9.0367150999930121</v>
      </c>
      <c r="F77" s="32">
        <v>2000</v>
      </c>
      <c r="G77" s="32">
        <v>414.78593432734567</v>
      </c>
      <c r="H77" s="32">
        <v>254.75753745641816</v>
      </c>
    </row>
    <row r="78" spans="2:8" x14ac:dyDescent="0.2">
      <c r="B78" s="32" t="s">
        <v>278</v>
      </c>
      <c r="C78" s="32" t="s">
        <v>279</v>
      </c>
      <c r="D78" s="32">
        <v>1849.9999999999998</v>
      </c>
      <c r="E78" s="32">
        <v>9.7367150999973724</v>
      </c>
      <c r="F78" s="32">
        <v>1850</v>
      </c>
      <c r="G78" s="32">
        <v>414.78593432734584</v>
      </c>
      <c r="H78" s="32">
        <v>254.75753745641831</v>
      </c>
    </row>
    <row r="79" spans="2:8" x14ac:dyDescent="0.2">
      <c r="B79" s="32" t="s">
        <v>281</v>
      </c>
      <c r="C79" s="32" t="s">
        <v>282</v>
      </c>
      <c r="D79" s="32">
        <v>1260</v>
      </c>
      <c r="E79" s="32">
        <v>15.936715100001752</v>
      </c>
      <c r="F79" s="32">
        <v>1260</v>
      </c>
      <c r="G79" s="32">
        <v>414.7859343273459</v>
      </c>
      <c r="H79" s="32">
        <v>254.75753745641842</v>
      </c>
    </row>
    <row r="80" spans="2:8" ht="13.5" thickBot="1" x14ac:dyDescent="0.25">
      <c r="B80" s="31" t="s">
        <v>284</v>
      </c>
      <c r="C80" s="31" t="s">
        <v>285</v>
      </c>
      <c r="D80" s="31">
        <v>1700</v>
      </c>
      <c r="E80" s="31">
        <v>9.5367151000002863</v>
      </c>
      <c r="F80" s="31">
        <v>1700</v>
      </c>
      <c r="G80" s="31">
        <v>414.7859343273459</v>
      </c>
      <c r="H80" s="31">
        <v>254.75753745641836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8379-DB49-44A8-9A63-914668DCC9A0}">
  <dimension ref="A1:G94"/>
  <sheetViews>
    <sheetView showGridLines="0" topLeftCell="A73" workbookViewId="0">
      <selection activeCell="F21" sqref="F21"/>
    </sheetView>
  </sheetViews>
  <sheetFormatPr defaultColWidth="8.85546875" defaultRowHeight="12.75" x14ac:dyDescent="0.2"/>
  <cols>
    <col min="1" max="1" width="2.28515625" customWidth="1"/>
    <col min="2" max="2" width="6.28515625" bestFit="1" customWidth="1"/>
    <col min="3" max="3" width="36.42578125" bestFit="1" customWidth="1"/>
    <col min="4" max="5" width="14.28515625" bestFit="1" customWidth="1"/>
    <col min="6" max="6" width="10.42578125" bestFit="1" customWidth="1"/>
    <col min="7" max="7" width="12" bestFit="1" customWidth="1"/>
  </cols>
  <sheetData>
    <row r="1" spans="1:5" x14ac:dyDescent="0.2">
      <c r="A1" s="1" t="s">
        <v>289</v>
      </c>
    </row>
    <row r="2" spans="1:5" x14ac:dyDescent="0.2">
      <c r="A2" s="1" t="s">
        <v>290</v>
      </c>
    </row>
    <row r="3" spans="1:5" x14ac:dyDescent="0.2">
      <c r="A3" s="1" t="s">
        <v>297</v>
      </c>
    </row>
    <row r="4" spans="1:5" x14ac:dyDescent="0.2">
      <c r="A4" s="1" t="s">
        <v>291</v>
      </c>
    </row>
    <row r="5" spans="1:5" x14ac:dyDescent="0.2">
      <c r="A5" s="1" t="s">
        <v>118</v>
      </c>
    </row>
    <row r="6" spans="1:5" x14ac:dyDescent="0.2">
      <c r="A6" s="1"/>
      <c r="B6" t="s">
        <v>119</v>
      </c>
    </row>
    <row r="7" spans="1:5" x14ac:dyDescent="0.2">
      <c r="A7" s="1"/>
      <c r="B7" t="s">
        <v>298</v>
      </c>
    </row>
    <row r="8" spans="1:5" x14ac:dyDescent="0.2">
      <c r="A8" s="1"/>
      <c r="B8" t="s">
        <v>299</v>
      </c>
    </row>
    <row r="9" spans="1:5" x14ac:dyDescent="0.2">
      <c r="A9" s="1" t="s">
        <v>120</v>
      </c>
    </row>
    <row r="10" spans="1:5" x14ac:dyDescent="0.2">
      <c r="B10" t="s">
        <v>292</v>
      </c>
    </row>
    <row r="11" spans="1:5" x14ac:dyDescent="0.2">
      <c r="B11" t="s">
        <v>121</v>
      </c>
    </row>
    <row r="14" spans="1:5" ht="13.5" thickBot="1" x14ac:dyDescent="0.25">
      <c r="A14" t="s">
        <v>122</v>
      </c>
    </row>
    <row r="15" spans="1:5" ht="13.5" thickBot="1" x14ac:dyDescent="0.25">
      <c r="B15" s="72" t="s">
        <v>93</v>
      </c>
      <c r="C15" s="72" t="s">
        <v>94</v>
      </c>
      <c r="D15" s="72" t="s">
        <v>123</v>
      </c>
      <c r="E15" s="72" t="s">
        <v>124</v>
      </c>
    </row>
    <row r="16" spans="1:5" ht="13.5" thickBot="1" x14ac:dyDescent="0.25">
      <c r="B16" s="31" t="s">
        <v>128</v>
      </c>
      <c r="C16" s="31" t="s">
        <v>129</v>
      </c>
      <c r="D16" s="65">
        <v>183135.10740000001</v>
      </c>
      <c r="E16" s="65">
        <v>453423.66680000001</v>
      </c>
    </row>
    <row r="19" spans="1:6" ht="13.5" thickBot="1" x14ac:dyDescent="0.25">
      <c r="A19" t="s">
        <v>125</v>
      </c>
    </row>
    <row r="20" spans="1:6" ht="13.5" thickBot="1" x14ac:dyDescent="0.25">
      <c r="B20" s="72" t="s">
        <v>93</v>
      </c>
      <c r="C20" s="72" t="s">
        <v>94</v>
      </c>
      <c r="D20" s="72" t="s">
        <v>123</v>
      </c>
      <c r="E20" s="72" t="s">
        <v>124</v>
      </c>
      <c r="F20" s="72" t="s">
        <v>126</v>
      </c>
    </row>
    <row r="21" spans="1:6" x14ac:dyDescent="0.2">
      <c r="B21" s="32" t="s">
        <v>130</v>
      </c>
      <c r="C21" s="32" t="s">
        <v>131</v>
      </c>
      <c r="D21" s="66">
        <v>1000</v>
      </c>
      <c r="E21" s="66">
        <v>0</v>
      </c>
      <c r="F21" s="32" t="s">
        <v>132</v>
      </c>
    </row>
    <row r="22" spans="1:6" x14ac:dyDescent="0.2">
      <c r="B22" s="32" t="s">
        <v>239</v>
      </c>
      <c r="C22" s="32" t="s">
        <v>240</v>
      </c>
      <c r="D22" s="66">
        <v>0</v>
      </c>
      <c r="E22" s="66">
        <v>0</v>
      </c>
      <c r="F22" s="32" t="s">
        <v>132</v>
      </c>
    </row>
    <row r="23" spans="1:6" x14ac:dyDescent="0.2">
      <c r="B23" s="32" t="s">
        <v>133</v>
      </c>
      <c r="C23" s="32" t="s">
        <v>134</v>
      </c>
      <c r="D23" s="66">
        <v>1583</v>
      </c>
      <c r="E23" s="66">
        <v>0</v>
      </c>
      <c r="F23" s="32" t="s">
        <v>132</v>
      </c>
    </row>
    <row r="24" spans="1:6" x14ac:dyDescent="0.2">
      <c r="B24" s="32" t="s">
        <v>241</v>
      </c>
      <c r="C24" s="32" t="s">
        <v>242</v>
      </c>
      <c r="D24" s="66">
        <v>0</v>
      </c>
      <c r="E24" s="66">
        <v>0</v>
      </c>
      <c r="F24" s="32" t="s">
        <v>132</v>
      </c>
    </row>
    <row r="25" spans="1:6" x14ac:dyDescent="0.2">
      <c r="B25" s="32" t="s">
        <v>135</v>
      </c>
      <c r="C25" s="32" t="s">
        <v>136</v>
      </c>
      <c r="D25" s="66">
        <v>0</v>
      </c>
      <c r="E25" s="66">
        <v>0</v>
      </c>
      <c r="F25" s="32" t="s">
        <v>132</v>
      </c>
    </row>
    <row r="26" spans="1:6" x14ac:dyDescent="0.2">
      <c r="B26" s="32" t="s">
        <v>243</v>
      </c>
      <c r="C26" s="32" t="s">
        <v>244</v>
      </c>
      <c r="D26" s="66">
        <v>2140</v>
      </c>
      <c r="E26" s="66">
        <v>0</v>
      </c>
      <c r="F26" s="32" t="s">
        <v>132</v>
      </c>
    </row>
    <row r="27" spans="1:6" x14ac:dyDescent="0.2">
      <c r="B27" s="32" t="s">
        <v>137</v>
      </c>
      <c r="C27" s="32" t="s">
        <v>138</v>
      </c>
      <c r="D27" s="66">
        <v>530.18023681640625</v>
      </c>
      <c r="E27" s="66">
        <v>0</v>
      </c>
      <c r="F27" s="32" t="s">
        <v>132</v>
      </c>
    </row>
    <row r="28" spans="1:6" x14ac:dyDescent="0.2">
      <c r="B28" s="32" t="s">
        <v>245</v>
      </c>
      <c r="C28" s="32" t="s">
        <v>246</v>
      </c>
      <c r="D28" s="66">
        <v>839.81976318359375</v>
      </c>
      <c r="E28" s="66">
        <v>0</v>
      </c>
      <c r="F28" s="32" t="s">
        <v>132</v>
      </c>
    </row>
    <row r="29" spans="1:6" x14ac:dyDescent="0.2">
      <c r="B29" s="32" t="s">
        <v>139</v>
      </c>
      <c r="C29" s="32" t="s">
        <v>140</v>
      </c>
      <c r="D29" s="66">
        <v>2000</v>
      </c>
      <c r="E29" s="66">
        <v>0</v>
      </c>
      <c r="F29" s="32" t="s">
        <v>132</v>
      </c>
    </row>
    <row r="30" spans="1:6" x14ac:dyDescent="0.2">
      <c r="B30" s="32" t="s">
        <v>247</v>
      </c>
      <c r="C30" s="32" t="s">
        <v>248</v>
      </c>
      <c r="D30" s="66">
        <v>0</v>
      </c>
      <c r="E30" s="66">
        <v>0</v>
      </c>
      <c r="F30" s="32" t="s">
        <v>132</v>
      </c>
    </row>
    <row r="31" spans="1:6" x14ac:dyDescent="0.2">
      <c r="B31" s="32" t="s">
        <v>141</v>
      </c>
      <c r="C31" s="32" t="s">
        <v>142</v>
      </c>
      <c r="D31" s="66">
        <v>0</v>
      </c>
      <c r="E31" s="66">
        <v>0</v>
      </c>
      <c r="F31" s="32" t="s">
        <v>132</v>
      </c>
    </row>
    <row r="32" spans="1:6" x14ac:dyDescent="0.2">
      <c r="B32" s="32" t="s">
        <v>249</v>
      </c>
      <c r="C32" s="32" t="s">
        <v>250</v>
      </c>
      <c r="D32" s="66">
        <v>1850</v>
      </c>
      <c r="E32" s="66">
        <v>0</v>
      </c>
      <c r="F32" s="32" t="s">
        <v>132</v>
      </c>
    </row>
    <row r="33" spans="2:6" x14ac:dyDescent="0.2">
      <c r="B33" s="32" t="s">
        <v>143</v>
      </c>
      <c r="C33" s="32" t="s">
        <v>144</v>
      </c>
      <c r="D33" s="66">
        <v>0</v>
      </c>
      <c r="E33" s="66">
        <v>0</v>
      </c>
      <c r="F33" s="32" t="s">
        <v>132</v>
      </c>
    </row>
    <row r="34" spans="2:6" x14ac:dyDescent="0.2">
      <c r="B34" s="32" t="s">
        <v>251</v>
      </c>
      <c r="C34" s="32" t="s">
        <v>252</v>
      </c>
      <c r="D34" s="66">
        <v>1260</v>
      </c>
      <c r="E34" s="66">
        <v>0</v>
      </c>
      <c r="F34" s="32" t="s">
        <v>132</v>
      </c>
    </row>
    <row r="35" spans="2:6" x14ac:dyDescent="0.2">
      <c r="B35" s="32" t="s">
        <v>145</v>
      </c>
      <c r="C35" s="32" t="s">
        <v>146</v>
      </c>
      <c r="D35" s="66">
        <v>0</v>
      </c>
      <c r="E35" s="66">
        <v>0</v>
      </c>
      <c r="F35" s="32" t="s">
        <v>132</v>
      </c>
    </row>
    <row r="36" spans="2:6" x14ac:dyDescent="0.2">
      <c r="B36" s="32" t="s">
        <v>253</v>
      </c>
      <c r="C36" s="32" t="s">
        <v>254</v>
      </c>
      <c r="D36" s="66">
        <v>1700</v>
      </c>
      <c r="E36" s="66">
        <v>0</v>
      </c>
      <c r="F36" s="32" t="s">
        <v>132</v>
      </c>
    </row>
    <row r="37" spans="2:6" x14ac:dyDescent="0.2">
      <c r="B37" s="32" t="s">
        <v>300</v>
      </c>
      <c r="C37" s="32" t="s">
        <v>301</v>
      </c>
      <c r="D37" s="82">
        <v>0</v>
      </c>
      <c r="E37" s="82">
        <v>5113.1802447168084</v>
      </c>
      <c r="F37" s="32" t="s">
        <v>132</v>
      </c>
    </row>
    <row r="38" spans="2:6" x14ac:dyDescent="0.2">
      <c r="B38" s="32" t="s">
        <v>302</v>
      </c>
      <c r="C38" s="32" t="s">
        <v>303</v>
      </c>
      <c r="D38" s="82">
        <v>0</v>
      </c>
      <c r="E38" s="82">
        <v>9015.3441156849003</v>
      </c>
      <c r="F38" s="32" t="s">
        <v>132</v>
      </c>
    </row>
    <row r="39" spans="2:6" x14ac:dyDescent="0.2">
      <c r="B39" s="32" t="s">
        <v>147</v>
      </c>
      <c r="C39" s="32" t="s">
        <v>148</v>
      </c>
      <c r="D39" s="66">
        <v>480</v>
      </c>
      <c r="E39" s="66">
        <v>480</v>
      </c>
      <c r="F39" s="32" t="s">
        <v>132</v>
      </c>
    </row>
    <row r="40" spans="2:6" x14ac:dyDescent="0.2">
      <c r="B40" s="32" t="s">
        <v>149</v>
      </c>
      <c r="C40" s="32" t="s">
        <v>150</v>
      </c>
      <c r="D40" s="66">
        <v>0</v>
      </c>
      <c r="E40" s="66">
        <v>0</v>
      </c>
      <c r="F40" s="32" t="s">
        <v>132</v>
      </c>
    </row>
    <row r="41" spans="2:6" x14ac:dyDescent="0.2">
      <c r="B41" s="32" t="s">
        <v>151</v>
      </c>
      <c r="C41" s="32" t="s">
        <v>152</v>
      </c>
      <c r="D41" s="66">
        <v>0</v>
      </c>
      <c r="E41" s="66">
        <v>0</v>
      </c>
      <c r="F41" s="32" t="s">
        <v>132</v>
      </c>
    </row>
    <row r="42" spans="2:6" x14ac:dyDescent="0.2">
      <c r="B42" s="32" t="s">
        <v>153</v>
      </c>
      <c r="C42" s="32" t="s">
        <v>154</v>
      </c>
      <c r="D42" s="66">
        <v>850</v>
      </c>
      <c r="E42" s="66">
        <v>849.99999999999989</v>
      </c>
      <c r="F42" s="32" t="s">
        <v>132</v>
      </c>
    </row>
    <row r="43" spans="2:6" x14ac:dyDescent="0.2">
      <c r="B43" s="32" t="s">
        <v>155</v>
      </c>
      <c r="C43" s="32" t="s">
        <v>156</v>
      </c>
      <c r="D43" s="66">
        <v>133.09515380859375</v>
      </c>
      <c r="E43" s="66">
        <v>0</v>
      </c>
      <c r="F43" s="32" t="s">
        <v>132</v>
      </c>
    </row>
    <row r="44" spans="2:6" x14ac:dyDescent="0.2">
      <c r="B44" s="32" t="s">
        <v>157</v>
      </c>
      <c r="C44" s="32" t="s">
        <v>158</v>
      </c>
      <c r="D44" s="66">
        <v>506.90484619140625</v>
      </c>
      <c r="E44" s="66">
        <v>799.99999999999943</v>
      </c>
      <c r="F44" s="32" t="s">
        <v>132</v>
      </c>
    </row>
    <row r="45" spans="2:6" x14ac:dyDescent="0.2">
      <c r="B45" s="32" t="s">
        <v>159</v>
      </c>
      <c r="C45" s="32" t="s">
        <v>160</v>
      </c>
      <c r="D45" s="66">
        <v>651.098876953125</v>
      </c>
      <c r="E45" s="66">
        <v>774.99999999999943</v>
      </c>
      <c r="F45" s="32" t="s">
        <v>132</v>
      </c>
    </row>
    <row r="46" spans="2:6" x14ac:dyDescent="0.2">
      <c r="B46" s="32" t="s">
        <v>161</v>
      </c>
      <c r="C46" s="32" t="s">
        <v>162</v>
      </c>
      <c r="D46" s="66">
        <v>0</v>
      </c>
      <c r="E46" s="66">
        <v>0</v>
      </c>
      <c r="F46" s="32" t="s">
        <v>132</v>
      </c>
    </row>
    <row r="47" spans="2:6" x14ac:dyDescent="0.2">
      <c r="B47" s="32" t="s">
        <v>163</v>
      </c>
      <c r="C47" s="32" t="s">
        <v>164</v>
      </c>
      <c r="D47" s="66">
        <v>0</v>
      </c>
      <c r="E47" s="66">
        <v>0</v>
      </c>
      <c r="F47" s="32" t="s">
        <v>132</v>
      </c>
    </row>
    <row r="48" spans="2:6" x14ac:dyDescent="0.2">
      <c r="B48" s="32" t="s">
        <v>165</v>
      </c>
      <c r="C48" s="32" t="s">
        <v>166</v>
      </c>
      <c r="D48" s="66">
        <v>970</v>
      </c>
      <c r="E48" s="66">
        <v>969.99999999999989</v>
      </c>
      <c r="F48" s="32" t="s">
        <v>132</v>
      </c>
    </row>
    <row r="49" spans="1:7" x14ac:dyDescent="0.2">
      <c r="B49" s="32" t="s">
        <v>167</v>
      </c>
      <c r="C49" s="32" t="s">
        <v>168</v>
      </c>
      <c r="D49" s="66">
        <v>107</v>
      </c>
      <c r="E49" s="66">
        <v>107</v>
      </c>
      <c r="F49" s="32" t="s">
        <v>132</v>
      </c>
    </row>
    <row r="50" spans="1:7" x14ac:dyDescent="0.2">
      <c r="B50" s="32" t="s">
        <v>169</v>
      </c>
      <c r="C50" s="32" t="s">
        <v>170</v>
      </c>
      <c r="D50" s="66">
        <v>0</v>
      </c>
      <c r="E50" s="66">
        <v>0</v>
      </c>
      <c r="F50" s="32" t="s">
        <v>132</v>
      </c>
    </row>
    <row r="51" spans="1:7" x14ac:dyDescent="0.2">
      <c r="B51" s="32" t="s">
        <v>171</v>
      </c>
      <c r="C51" s="32" t="s">
        <v>172</v>
      </c>
      <c r="D51" s="66">
        <v>80</v>
      </c>
      <c r="E51" s="66">
        <v>89.19402985074521</v>
      </c>
      <c r="F51" s="32" t="s">
        <v>132</v>
      </c>
    </row>
    <row r="52" spans="1:7" x14ac:dyDescent="0.2">
      <c r="B52" s="32" t="s">
        <v>173</v>
      </c>
      <c r="C52" s="32" t="s">
        <v>174</v>
      </c>
      <c r="D52" s="66">
        <v>0</v>
      </c>
      <c r="E52" s="66">
        <v>0</v>
      </c>
      <c r="F52" s="32" t="s">
        <v>132</v>
      </c>
    </row>
    <row r="53" spans="1:7" x14ac:dyDescent="0.2">
      <c r="B53" s="32" t="s">
        <v>175</v>
      </c>
      <c r="C53" s="32" t="s">
        <v>176</v>
      </c>
      <c r="D53" s="66">
        <v>310</v>
      </c>
      <c r="E53" s="66">
        <v>310</v>
      </c>
      <c r="F53" s="32" t="s">
        <v>132</v>
      </c>
    </row>
    <row r="54" spans="1:7" x14ac:dyDescent="0.2">
      <c r="B54" s="32" t="s">
        <v>177</v>
      </c>
      <c r="C54" s="32" t="s">
        <v>178</v>
      </c>
      <c r="D54" s="66">
        <v>0</v>
      </c>
      <c r="E54" s="66">
        <v>0</v>
      </c>
      <c r="F54" s="32" t="s">
        <v>132</v>
      </c>
    </row>
    <row r="55" spans="1:7" x14ac:dyDescent="0.2">
      <c r="B55" s="32" t="s">
        <v>179</v>
      </c>
      <c r="C55" s="32" t="s">
        <v>180</v>
      </c>
      <c r="D55" s="66">
        <v>0</v>
      </c>
      <c r="E55" s="66">
        <v>0</v>
      </c>
      <c r="F55" s="32" t="s">
        <v>132</v>
      </c>
    </row>
    <row r="56" spans="1:7" ht="13.5" thickBot="1" x14ac:dyDescent="0.25">
      <c r="B56" s="31" t="s">
        <v>181</v>
      </c>
      <c r="C56" s="31" t="s">
        <v>182</v>
      </c>
      <c r="D56" s="67">
        <v>0</v>
      </c>
      <c r="E56" s="67">
        <v>72.982456140351843</v>
      </c>
      <c r="F56" s="31" t="s">
        <v>132</v>
      </c>
    </row>
    <row r="59" spans="1:7" ht="13.5" thickBot="1" x14ac:dyDescent="0.25">
      <c r="A59" t="s">
        <v>127</v>
      </c>
    </row>
    <row r="60" spans="1:7" ht="13.5" thickBot="1" x14ac:dyDescent="0.25">
      <c r="B60" s="72" t="s">
        <v>93</v>
      </c>
      <c r="C60" s="72" t="s">
        <v>94</v>
      </c>
      <c r="D60" s="72" t="s">
        <v>95</v>
      </c>
      <c r="E60" s="72" t="s">
        <v>96</v>
      </c>
      <c r="F60" s="72" t="s">
        <v>97</v>
      </c>
      <c r="G60" s="72" t="s">
        <v>98</v>
      </c>
    </row>
    <row r="61" spans="1:7" x14ac:dyDescent="0.2">
      <c r="B61" s="32" t="s">
        <v>255</v>
      </c>
      <c r="C61" s="32" t="s">
        <v>256</v>
      </c>
      <c r="D61" s="66">
        <v>1761.1940298507468</v>
      </c>
      <c r="E61" s="32" t="s">
        <v>257</v>
      </c>
      <c r="F61" s="32" t="s">
        <v>99</v>
      </c>
      <c r="G61" s="66">
        <v>0</v>
      </c>
    </row>
    <row r="62" spans="1:7" x14ac:dyDescent="0.2">
      <c r="B62" s="32" t="s">
        <v>258</v>
      </c>
      <c r="C62" s="32" t="s">
        <v>259</v>
      </c>
      <c r="D62" s="66">
        <v>2692.982456140352</v>
      </c>
      <c r="E62" s="32" t="s">
        <v>260</v>
      </c>
      <c r="F62" s="32" t="s">
        <v>99</v>
      </c>
      <c r="G62" s="66">
        <v>0</v>
      </c>
    </row>
    <row r="63" spans="1:7" x14ac:dyDescent="0.2">
      <c r="B63" s="32" t="s">
        <v>183</v>
      </c>
      <c r="C63" s="32" t="s">
        <v>184</v>
      </c>
      <c r="D63" s="66">
        <v>4975.1243781094545</v>
      </c>
      <c r="E63" s="32" t="s">
        <v>261</v>
      </c>
      <c r="F63" s="32" t="s">
        <v>185</v>
      </c>
      <c r="G63" s="32">
        <v>3054.8756218905455</v>
      </c>
    </row>
    <row r="64" spans="1:7" x14ac:dyDescent="0.2">
      <c r="B64" s="32" t="s">
        <v>187</v>
      </c>
      <c r="C64" s="32" t="s">
        <v>188</v>
      </c>
      <c r="D64" s="66">
        <v>8771.9298245614082</v>
      </c>
      <c r="E64" s="32" t="s">
        <v>189</v>
      </c>
      <c r="F64" s="32" t="s">
        <v>185</v>
      </c>
      <c r="G64" s="32">
        <v>8.0701754385918321</v>
      </c>
    </row>
    <row r="65" spans="2:7" x14ac:dyDescent="0.2">
      <c r="B65" s="32" t="s">
        <v>183</v>
      </c>
      <c r="C65" s="32" t="s">
        <v>184</v>
      </c>
      <c r="D65" s="66">
        <v>4975.1243781094545</v>
      </c>
      <c r="E65" s="32" t="s">
        <v>186</v>
      </c>
      <c r="F65" s="32" t="s">
        <v>185</v>
      </c>
      <c r="G65" s="66">
        <v>960.12437810945448</v>
      </c>
    </row>
    <row r="66" spans="2:7" x14ac:dyDescent="0.2">
      <c r="B66" s="32" t="s">
        <v>187</v>
      </c>
      <c r="C66" s="32" t="s">
        <v>188</v>
      </c>
      <c r="D66" s="66">
        <v>8771.9298245614082</v>
      </c>
      <c r="E66" s="32" t="s">
        <v>262</v>
      </c>
      <c r="F66" s="32" t="s">
        <v>185</v>
      </c>
      <c r="G66" s="66">
        <v>4381.9298245614082</v>
      </c>
    </row>
    <row r="67" spans="2:7" x14ac:dyDescent="0.2">
      <c r="B67" s="32" t="s">
        <v>100</v>
      </c>
      <c r="C67" s="32" t="s">
        <v>101</v>
      </c>
      <c r="D67" s="66">
        <v>2000.0000000000009</v>
      </c>
      <c r="E67" s="32" t="s">
        <v>102</v>
      </c>
      <c r="F67" s="32" t="s">
        <v>99</v>
      </c>
      <c r="G67" s="32">
        <v>0</v>
      </c>
    </row>
    <row r="68" spans="2:7" x14ac:dyDescent="0.2">
      <c r="B68" s="32" t="s">
        <v>190</v>
      </c>
      <c r="C68" s="32" t="s">
        <v>191</v>
      </c>
      <c r="D68" s="66">
        <v>4000.0000000000023</v>
      </c>
      <c r="E68" s="32" t="s">
        <v>192</v>
      </c>
      <c r="F68" s="32" t="s">
        <v>99</v>
      </c>
      <c r="G68" s="32">
        <v>0</v>
      </c>
    </row>
    <row r="69" spans="2:7" x14ac:dyDescent="0.2">
      <c r="B69" s="32" t="s">
        <v>103</v>
      </c>
      <c r="C69" s="32" t="s">
        <v>104</v>
      </c>
      <c r="D69" s="66">
        <v>480</v>
      </c>
      <c r="E69" s="32" t="s">
        <v>193</v>
      </c>
      <c r="F69" s="32" t="s">
        <v>185</v>
      </c>
      <c r="G69" s="32">
        <v>420</v>
      </c>
    </row>
    <row r="70" spans="2:7" x14ac:dyDescent="0.2">
      <c r="B70" s="32" t="s">
        <v>106</v>
      </c>
      <c r="C70" s="32" t="s">
        <v>107</v>
      </c>
      <c r="D70" s="66">
        <v>849.99999999999989</v>
      </c>
      <c r="E70" s="32" t="s">
        <v>194</v>
      </c>
      <c r="F70" s="32" t="s">
        <v>185</v>
      </c>
      <c r="G70" s="32">
        <v>300.00000000000011</v>
      </c>
    </row>
    <row r="71" spans="2:7" x14ac:dyDescent="0.2">
      <c r="B71" s="32" t="s">
        <v>109</v>
      </c>
      <c r="C71" s="32" t="s">
        <v>110</v>
      </c>
      <c r="D71" s="66">
        <v>799.99999999999943</v>
      </c>
      <c r="E71" s="32" t="s">
        <v>195</v>
      </c>
      <c r="F71" s="32" t="s">
        <v>99</v>
      </c>
      <c r="G71" s="32">
        <v>0</v>
      </c>
    </row>
    <row r="72" spans="2:7" x14ac:dyDescent="0.2">
      <c r="B72" s="32" t="s">
        <v>112</v>
      </c>
      <c r="C72" s="32" t="s">
        <v>113</v>
      </c>
      <c r="D72" s="66">
        <v>774.99999999999943</v>
      </c>
      <c r="E72" s="32" t="s">
        <v>196</v>
      </c>
      <c r="F72" s="32" t="s">
        <v>99</v>
      </c>
      <c r="G72" s="32">
        <v>0</v>
      </c>
    </row>
    <row r="73" spans="2:7" x14ac:dyDescent="0.2">
      <c r="B73" s="32" t="s">
        <v>115</v>
      </c>
      <c r="C73" s="32" t="s">
        <v>116</v>
      </c>
      <c r="D73" s="66">
        <v>969.99999999999989</v>
      </c>
      <c r="E73" s="32" t="s">
        <v>197</v>
      </c>
      <c r="F73" s="32" t="s">
        <v>99</v>
      </c>
      <c r="G73" s="32">
        <v>0</v>
      </c>
    </row>
    <row r="74" spans="2:7" x14ac:dyDescent="0.2">
      <c r="B74" s="32" t="s">
        <v>198</v>
      </c>
      <c r="C74" s="32" t="s">
        <v>199</v>
      </c>
      <c r="D74" s="66">
        <v>107</v>
      </c>
      <c r="E74" s="32" t="s">
        <v>200</v>
      </c>
      <c r="F74" s="32" t="s">
        <v>185</v>
      </c>
      <c r="G74" s="32">
        <v>93</v>
      </c>
    </row>
    <row r="75" spans="2:7" x14ac:dyDescent="0.2">
      <c r="B75" s="32" t="s">
        <v>201</v>
      </c>
      <c r="C75" s="32" t="s">
        <v>202</v>
      </c>
      <c r="D75" s="66">
        <v>89.19402985074521</v>
      </c>
      <c r="E75" s="32" t="s">
        <v>203</v>
      </c>
      <c r="F75" s="32" t="s">
        <v>185</v>
      </c>
      <c r="G75" s="32">
        <v>310.80597014925479</v>
      </c>
    </row>
    <row r="76" spans="2:7" x14ac:dyDescent="0.2">
      <c r="B76" s="32" t="s">
        <v>204</v>
      </c>
      <c r="C76" s="32" t="s">
        <v>205</v>
      </c>
      <c r="D76" s="66">
        <v>310</v>
      </c>
      <c r="E76" s="32" t="s">
        <v>206</v>
      </c>
      <c r="F76" s="32" t="s">
        <v>99</v>
      </c>
      <c r="G76" s="32">
        <v>0</v>
      </c>
    </row>
    <row r="77" spans="2:7" x14ac:dyDescent="0.2">
      <c r="B77" s="32" t="s">
        <v>207</v>
      </c>
      <c r="C77" s="32" t="s">
        <v>208</v>
      </c>
      <c r="D77" s="66">
        <v>72.982456140351843</v>
      </c>
      <c r="E77" s="32" t="s">
        <v>209</v>
      </c>
      <c r="F77" s="32" t="s">
        <v>185</v>
      </c>
      <c r="G77" s="32">
        <v>397.01754385964819</v>
      </c>
    </row>
    <row r="78" spans="2:7" x14ac:dyDescent="0.2">
      <c r="B78" s="32" t="s">
        <v>103</v>
      </c>
      <c r="C78" s="32" t="s">
        <v>104</v>
      </c>
      <c r="D78" s="66">
        <v>480</v>
      </c>
      <c r="E78" s="32" t="s">
        <v>105</v>
      </c>
      <c r="F78" s="32" t="s">
        <v>99</v>
      </c>
      <c r="G78" s="66">
        <v>0</v>
      </c>
    </row>
    <row r="79" spans="2:7" x14ac:dyDescent="0.2">
      <c r="B79" s="32" t="s">
        <v>106</v>
      </c>
      <c r="C79" s="32" t="s">
        <v>107</v>
      </c>
      <c r="D79" s="66">
        <v>849.99999999999989</v>
      </c>
      <c r="E79" s="32" t="s">
        <v>108</v>
      </c>
      <c r="F79" s="32" t="s">
        <v>99</v>
      </c>
      <c r="G79" s="66">
        <v>0</v>
      </c>
    </row>
    <row r="80" spans="2:7" x14ac:dyDescent="0.2">
      <c r="B80" s="32" t="s">
        <v>109</v>
      </c>
      <c r="C80" s="32" t="s">
        <v>110</v>
      </c>
      <c r="D80" s="66">
        <v>799.99999999999943</v>
      </c>
      <c r="E80" s="32" t="s">
        <v>111</v>
      </c>
      <c r="F80" s="32" t="s">
        <v>185</v>
      </c>
      <c r="G80" s="66">
        <v>159.99999999999943</v>
      </c>
    </row>
    <row r="81" spans="2:7" x14ac:dyDescent="0.2">
      <c r="B81" s="32" t="s">
        <v>112</v>
      </c>
      <c r="C81" s="32" t="s">
        <v>113</v>
      </c>
      <c r="D81" s="66">
        <v>774.99999999999943</v>
      </c>
      <c r="E81" s="32" t="s">
        <v>114</v>
      </c>
      <c r="F81" s="32" t="s">
        <v>185</v>
      </c>
      <c r="G81" s="66">
        <v>199.99999999999943</v>
      </c>
    </row>
    <row r="82" spans="2:7" x14ac:dyDescent="0.2">
      <c r="B82" s="32" t="s">
        <v>115</v>
      </c>
      <c r="C82" s="32" t="s">
        <v>116</v>
      </c>
      <c r="D82" s="66">
        <v>969.99999999999989</v>
      </c>
      <c r="E82" s="32" t="s">
        <v>117</v>
      </c>
      <c r="F82" s="32" t="s">
        <v>99</v>
      </c>
      <c r="G82" s="66">
        <v>0</v>
      </c>
    </row>
    <row r="83" spans="2:7" x14ac:dyDescent="0.2">
      <c r="B83" s="32" t="s">
        <v>198</v>
      </c>
      <c r="C83" s="32" t="s">
        <v>199</v>
      </c>
      <c r="D83" s="66">
        <v>107</v>
      </c>
      <c r="E83" s="32" t="s">
        <v>210</v>
      </c>
      <c r="F83" s="32" t="s">
        <v>99</v>
      </c>
      <c r="G83" s="66">
        <v>0</v>
      </c>
    </row>
    <row r="84" spans="2:7" x14ac:dyDescent="0.2">
      <c r="B84" s="32" t="s">
        <v>201</v>
      </c>
      <c r="C84" s="32" t="s">
        <v>202</v>
      </c>
      <c r="D84" s="66">
        <v>89.19402985074521</v>
      </c>
      <c r="E84" s="32" t="s">
        <v>211</v>
      </c>
      <c r="F84" s="32" t="s">
        <v>185</v>
      </c>
      <c r="G84" s="66">
        <v>9.1940298507452098</v>
      </c>
    </row>
    <row r="85" spans="2:7" x14ac:dyDescent="0.2">
      <c r="B85" s="32" t="s">
        <v>204</v>
      </c>
      <c r="C85" s="32" t="s">
        <v>205</v>
      </c>
      <c r="D85" s="66">
        <v>310</v>
      </c>
      <c r="E85" s="32" t="s">
        <v>212</v>
      </c>
      <c r="F85" s="32" t="s">
        <v>185</v>
      </c>
      <c r="G85" s="66">
        <v>310</v>
      </c>
    </row>
    <row r="86" spans="2:7" x14ac:dyDescent="0.2">
      <c r="B86" s="32" t="s">
        <v>207</v>
      </c>
      <c r="C86" s="32" t="s">
        <v>208</v>
      </c>
      <c r="D86" s="66">
        <v>72.982456140351843</v>
      </c>
      <c r="E86" s="32" t="s">
        <v>213</v>
      </c>
      <c r="F86" s="32" t="s">
        <v>185</v>
      </c>
      <c r="G86" s="66">
        <v>72.982456140351843</v>
      </c>
    </row>
    <row r="87" spans="2:7" x14ac:dyDescent="0.2">
      <c r="B87" s="32" t="s">
        <v>263</v>
      </c>
      <c r="C87" s="32" t="s">
        <v>264</v>
      </c>
      <c r="D87" s="66">
        <v>0</v>
      </c>
      <c r="E87" s="32" t="s">
        <v>265</v>
      </c>
      <c r="F87" s="32" t="s">
        <v>185</v>
      </c>
      <c r="G87" s="32">
        <v>1000</v>
      </c>
    </row>
    <row r="88" spans="2:7" x14ac:dyDescent="0.2">
      <c r="B88" s="32" t="s">
        <v>266</v>
      </c>
      <c r="C88" s="32" t="s">
        <v>267</v>
      </c>
      <c r="D88" s="66">
        <v>0</v>
      </c>
      <c r="E88" s="32" t="s">
        <v>268</v>
      </c>
      <c r="F88" s="32" t="s">
        <v>185</v>
      </c>
      <c r="G88" s="32">
        <v>1583</v>
      </c>
    </row>
    <row r="89" spans="2:7" x14ac:dyDescent="0.2">
      <c r="B89" s="32" t="s">
        <v>269</v>
      </c>
      <c r="C89" s="32" t="s">
        <v>270</v>
      </c>
      <c r="D89" s="66">
        <v>0</v>
      </c>
      <c r="E89" s="32" t="s">
        <v>271</v>
      </c>
      <c r="F89" s="32" t="s">
        <v>185</v>
      </c>
      <c r="G89" s="32">
        <v>2140</v>
      </c>
    </row>
    <row r="90" spans="2:7" x14ac:dyDescent="0.2">
      <c r="B90" s="32" t="s">
        <v>272</v>
      </c>
      <c r="C90" s="32" t="s">
        <v>273</v>
      </c>
      <c r="D90" s="66">
        <v>0</v>
      </c>
      <c r="E90" s="32" t="s">
        <v>274</v>
      </c>
      <c r="F90" s="32" t="s">
        <v>185</v>
      </c>
      <c r="G90" s="32">
        <v>1370</v>
      </c>
    </row>
    <row r="91" spans="2:7" x14ac:dyDescent="0.2">
      <c r="B91" s="32" t="s">
        <v>275</v>
      </c>
      <c r="C91" s="32" t="s">
        <v>276</v>
      </c>
      <c r="D91" s="66">
        <v>0</v>
      </c>
      <c r="E91" s="32" t="s">
        <v>277</v>
      </c>
      <c r="F91" s="32" t="s">
        <v>185</v>
      </c>
      <c r="G91" s="32">
        <v>2000</v>
      </c>
    </row>
    <row r="92" spans="2:7" x14ac:dyDescent="0.2">
      <c r="B92" s="32" t="s">
        <v>278</v>
      </c>
      <c r="C92" s="32" t="s">
        <v>279</v>
      </c>
      <c r="D92" s="66">
        <v>0</v>
      </c>
      <c r="E92" s="32" t="s">
        <v>280</v>
      </c>
      <c r="F92" s="32" t="s">
        <v>185</v>
      </c>
      <c r="G92" s="32">
        <v>1850</v>
      </c>
    </row>
    <row r="93" spans="2:7" x14ac:dyDescent="0.2">
      <c r="B93" s="32" t="s">
        <v>281</v>
      </c>
      <c r="C93" s="32" t="s">
        <v>282</v>
      </c>
      <c r="D93" s="66">
        <v>0</v>
      </c>
      <c r="E93" s="32" t="s">
        <v>283</v>
      </c>
      <c r="F93" s="32" t="s">
        <v>185</v>
      </c>
      <c r="G93" s="32">
        <v>1260</v>
      </c>
    </row>
    <row r="94" spans="2:7" ht="13.5" thickBot="1" x14ac:dyDescent="0.25">
      <c r="B94" s="31" t="s">
        <v>284</v>
      </c>
      <c r="C94" s="31" t="s">
        <v>285</v>
      </c>
      <c r="D94" s="67">
        <v>0</v>
      </c>
      <c r="E94" s="31" t="s">
        <v>286</v>
      </c>
      <c r="F94" s="31" t="s">
        <v>185</v>
      </c>
      <c r="G94" s="31">
        <v>1700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FF0A-83CF-4B0A-A33C-B187A63D97CF}">
  <dimension ref="A1:G92"/>
  <sheetViews>
    <sheetView showGridLines="0" workbookViewId="0">
      <selection activeCell="C5" sqref="C5"/>
    </sheetView>
  </sheetViews>
  <sheetFormatPr defaultColWidth="8.85546875" defaultRowHeight="12.75" x14ac:dyDescent="0.2"/>
  <cols>
    <col min="1" max="1" width="2.28515625" customWidth="1"/>
    <col min="2" max="2" width="6.28515625" bestFit="1" customWidth="1"/>
    <col min="3" max="3" width="36.42578125" bestFit="1" customWidth="1"/>
    <col min="4" max="5" width="14.28515625" bestFit="1" customWidth="1"/>
    <col min="6" max="6" width="10.42578125" bestFit="1" customWidth="1"/>
    <col min="7" max="7" width="12" bestFit="1" customWidth="1"/>
  </cols>
  <sheetData>
    <row r="1" spans="1:5" x14ac:dyDescent="0.2">
      <c r="A1" s="1" t="s">
        <v>289</v>
      </c>
    </row>
    <row r="2" spans="1:5" x14ac:dyDescent="0.2">
      <c r="A2" s="1" t="s">
        <v>290</v>
      </c>
    </row>
    <row r="3" spans="1:5" x14ac:dyDescent="0.2">
      <c r="A3" s="1" t="s">
        <v>306</v>
      </c>
    </row>
    <row r="4" spans="1:5" x14ac:dyDescent="0.2">
      <c r="A4" s="1" t="s">
        <v>291</v>
      </c>
    </row>
    <row r="5" spans="1:5" x14ac:dyDescent="0.2">
      <c r="A5" s="1" t="s">
        <v>118</v>
      </c>
    </row>
    <row r="6" spans="1:5" x14ac:dyDescent="0.2">
      <c r="A6" s="1"/>
      <c r="B6" t="s">
        <v>119</v>
      </c>
    </row>
    <row r="7" spans="1:5" x14ac:dyDescent="0.2">
      <c r="A7" s="1"/>
      <c r="B7" t="s">
        <v>307</v>
      </c>
    </row>
    <row r="8" spans="1:5" x14ac:dyDescent="0.2">
      <c r="A8" s="1"/>
      <c r="B8" t="s">
        <v>237</v>
      </c>
    </row>
    <row r="9" spans="1:5" x14ac:dyDescent="0.2">
      <c r="A9" s="1" t="s">
        <v>120</v>
      </c>
    </row>
    <row r="10" spans="1:5" x14ac:dyDescent="0.2">
      <c r="B10" t="s">
        <v>292</v>
      </c>
    </row>
    <row r="11" spans="1:5" x14ac:dyDescent="0.2">
      <c r="B11" t="s">
        <v>121</v>
      </c>
    </row>
    <row r="14" spans="1:5" ht="13.5" thickBot="1" x14ac:dyDescent="0.25">
      <c r="A14" t="s">
        <v>122</v>
      </c>
    </row>
    <row r="15" spans="1:5" ht="13.5" thickBot="1" x14ac:dyDescent="0.25">
      <c r="B15" s="72" t="s">
        <v>93</v>
      </c>
      <c r="C15" s="72" t="s">
        <v>94</v>
      </c>
      <c r="D15" s="72" t="s">
        <v>123</v>
      </c>
      <c r="E15" s="72" t="s">
        <v>124</v>
      </c>
    </row>
    <row r="16" spans="1:5" ht="13.5" thickBot="1" x14ac:dyDescent="0.25">
      <c r="B16" s="31" t="s">
        <v>128</v>
      </c>
      <c r="C16" s="31" t="s">
        <v>129</v>
      </c>
      <c r="D16" s="65">
        <v>183135.10740000001</v>
      </c>
      <c r="E16" s="65">
        <v>183135.10759999999</v>
      </c>
    </row>
    <row r="19" spans="1:6" ht="13.5" thickBot="1" x14ac:dyDescent="0.25">
      <c r="A19" t="s">
        <v>125</v>
      </c>
    </row>
    <row r="20" spans="1:6" ht="13.5" thickBot="1" x14ac:dyDescent="0.25">
      <c r="B20" s="72" t="s">
        <v>93</v>
      </c>
      <c r="C20" s="72" t="s">
        <v>94</v>
      </c>
      <c r="D20" s="72" t="s">
        <v>123</v>
      </c>
      <c r="E20" s="72" t="s">
        <v>124</v>
      </c>
      <c r="F20" s="72" t="s">
        <v>126</v>
      </c>
    </row>
    <row r="21" spans="1:6" x14ac:dyDescent="0.2">
      <c r="B21" s="32" t="s">
        <v>130</v>
      </c>
      <c r="C21" s="32" t="s">
        <v>131</v>
      </c>
      <c r="D21" s="66">
        <v>1000</v>
      </c>
      <c r="E21" s="66">
        <v>1000</v>
      </c>
      <c r="F21" s="32" t="s">
        <v>132</v>
      </c>
    </row>
    <row r="22" spans="1:6" x14ac:dyDescent="0.2">
      <c r="B22" s="32" t="s">
        <v>239</v>
      </c>
      <c r="C22" s="32" t="s">
        <v>240</v>
      </c>
      <c r="D22" s="66">
        <v>0</v>
      </c>
      <c r="E22" s="66">
        <v>0</v>
      </c>
      <c r="F22" s="32" t="s">
        <v>132</v>
      </c>
    </row>
    <row r="23" spans="1:6" x14ac:dyDescent="0.2">
      <c r="B23" s="32" t="s">
        <v>133</v>
      </c>
      <c r="C23" s="32" t="s">
        <v>134</v>
      </c>
      <c r="D23" s="66">
        <v>1583</v>
      </c>
      <c r="E23" s="66">
        <v>1583</v>
      </c>
      <c r="F23" s="32" t="s">
        <v>132</v>
      </c>
    </row>
    <row r="24" spans="1:6" x14ac:dyDescent="0.2">
      <c r="B24" s="32" t="s">
        <v>241</v>
      </c>
      <c r="C24" s="32" t="s">
        <v>242</v>
      </c>
      <c r="D24" s="66">
        <v>0</v>
      </c>
      <c r="E24" s="66">
        <v>0</v>
      </c>
      <c r="F24" s="32" t="s">
        <v>132</v>
      </c>
    </row>
    <row r="25" spans="1:6" x14ac:dyDescent="0.2">
      <c r="B25" s="32" t="s">
        <v>135</v>
      </c>
      <c r="C25" s="32" t="s">
        <v>136</v>
      </c>
      <c r="D25" s="66">
        <v>0</v>
      </c>
      <c r="E25" s="66">
        <v>0</v>
      </c>
      <c r="F25" s="32" t="s">
        <v>132</v>
      </c>
    </row>
    <row r="26" spans="1:6" x14ac:dyDescent="0.2">
      <c r="B26" s="32" t="s">
        <v>243</v>
      </c>
      <c r="C26" s="32" t="s">
        <v>244</v>
      </c>
      <c r="D26" s="66">
        <v>2140</v>
      </c>
      <c r="E26" s="66">
        <v>2140</v>
      </c>
      <c r="F26" s="32" t="s">
        <v>132</v>
      </c>
    </row>
    <row r="27" spans="1:6" x14ac:dyDescent="0.2">
      <c r="B27" s="32" t="s">
        <v>137</v>
      </c>
      <c r="C27" s="32" t="s">
        <v>138</v>
      </c>
      <c r="D27" s="66">
        <v>530.18023681640625</v>
      </c>
      <c r="E27" s="66">
        <v>530.18024471680599</v>
      </c>
      <c r="F27" s="32" t="s">
        <v>132</v>
      </c>
    </row>
    <row r="28" spans="1:6" x14ac:dyDescent="0.2">
      <c r="B28" s="32" t="s">
        <v>245</v>
      </c>
      <c r="C28" s="32" t="s">
        <v>246</v>
      </c>
      <c r="D28" s="66">
        <v>839.81976318359375</v>
      </c>
      <c r="E28" s="66">
        <v>839.8197552831939</v>
      </c>
      <c r="F28" s="32" t="s">
        <v>132</v>
      </c>
    </row>
    <row r="29" spans="1:6" x14ac:dyDescent="0.2">
      <c r="B29" s="32" t="s">
        <v>139</v>
      </c>
      <c r="C29" s="32" t="s">
        <v>140</v>
      </c>
      <c r="D29" s="66">
        <v>2000</v>
      </c>
      <c r="E29" s="66">
        <v>2000</v>
      </c>
      <c r="F29" s="32" t="s">
        <v>132</v>
      </c>
    </row>
    <row r="30" spans="1:6" x14ac:dyDescent="0.2">
      <c r="B30" s="32" t="s">
        <v>247</v>
      </c>
      <c r="C30" s="32" t="s">
        <v>248</v>
      </c>
      <c r="D30" s="66">
        <v>0</v>
      </c>
      <c r="E30" s="66">
        <v>0</v>
      </c>
      <c r="F30" s="32" t="s">
        <v>132</v>
      </c>
    </row>
    <row r="31" spans="1:6" x14ac:dyDescent="0.2">
      <c r="B31" s="32" t="s">
        <v>141</v>
      </c>
      <c r="C31" s="32" t="s">
        <v>142</v>
      </c>
      <c r="D31" s="66">
        <v>0</v>
      </c>
      <c r="E31" s="66">
        <v>0</v>
      </c>
      <c r="F31" s="32" t="s">
        <v>132</v>
      </c>
    </row>
    <row r="32" spans="1:6" x14ac:dyDescent="0.2">
      <c r="B32" s="32" t="s">
        <v>249</v>
      </c>
      <c r="C32" s="32" t="s">
        <v>250</v>
      </c>
      <c r="D32" s="66">
        <v>1850</v>
      </c>
      <c r="E32" s="66">
        <v>1849.9999999999998</v>
      </c>
      <c r="F32" s="32" t="s">
        <v>132</v>
      </c>
    </row>
    <row r="33" spans="2:6" x14ac:dyDescent="0.2">
      <c r="B33" s="32" t="s">
        <v>143</v>
      </c>
      <c r="C33" s="32" t="s">
        <v>144</v>
      </c>
      <c r="D33" s="66">
        <v>0</v>
      </c>
      <c r="E33" s="66">
        <v>0</v>
      </c>
      <c r="F33" s="32" t="s">
        <v>132</v>
      </c>
    </row>
    <row r="34" spans="2:6" x14ac:dyDescent="0.2">
      <c r="B34" s="32" t="s">
        <v>251</v>
      </c>
      <c r="C34" s="32" t="s">
        <v>252</v>
      </c>
      <c r="D34" s="66">
        <v>1260</v>
      </c>
      <c r="E34" s="66">
        <v>1260</v>
      </c>
      <c r="F34" s="32" t="s">
        <v>132</v>
      </c>
    </row>
    <row r="35" spans="2:6" x14ac:dyDescent="0.2">
      <c r="B35" s="32" t="s">
        <v>145</v>
      </c>
      <c r="C35" s="32" t="s">
        <v>146</v>
      </c>
      <c r="D35" s="66">
        <v>0</v>
      </c>
      <c r="E35" s="66">
        <v>0</v>
      </c>
      <c r="F35" s="32" t="s">
        <v>132</v>
      </c>
    </row>
    <row r="36" spans="2:6" x14ac:dyDescent="0.2">
      <c r="B36" s="32" t="s">
        <v>253</v>
      </c>
      <c r="C36" s="32" t="s">
        <v>254</v>
      </c>
      <c r="D36" s="66">
        <v>1700</v>
      </c>
      <c r="E36" s="66">
        <v>1700</v>
      </c>
      <c r="F36" s="32" t="s">
        <v>132</v>
      </c>
    </row>
    <row r="37" spans="2:6" x14ac:dyDescent="0.2">
      <c r="B37" s="32" t="s">
        <v>147</v>
      </c>
      <c r="C37" s="32" t="s">
        <v>148</v>
      </c>
      <c r="D37" s="66">
        <v>480</v>
      </c>
      <c r="E37" s="66">
        <v>480</v>
      </c>
      <c r="F37" s="32" t="s">
        <v>132</v>
      </c>
    </row>
    <row r="38" spans="2:6" x14ac:dyDescent="0.2">
      <c r="B38" s="32" t="s">
        <v>149</v>
      </c>
      <c r="C38" s="32" t="s">
        <v>150</v>
      </c>
      <c r="D38" s="66">
        <v>0</v>
      </c>
      <c r="E38" s="66">
        <v>0</v>
      </c>
      <c r="F38" s="32" t="s">
        <v>132</v>
      </c>
    </row>
    <row r="39" spans="2:6" x14ac:dyDescent="0.2">
      <c r="B39" s="32" t="s">
        <v>151</v>
      </c>
      <c r="C39" s="32" t="s">
        <v>152</v>
      </c>
      <c r="D39" s="66">
        <v>0</v>
      </c>
      <c r="E39" s="66">
        <v>0</v>
      </c>
      <c r="F39" s="32" t="s">
        <v>132</v>
      </c>
    </row>
    <row r="40" spans="2:6" x14ac:dyDescent="0.2">
      <c r="B40" s="32" t="s">
        <v>153</v>
      </c>
      <c r="C40" s="32" t="s">
        <v>154</v>
      </c>
      <c r="D40" s="66">
        <v>850</v>
      </c>
      <c r="E40" s="66">
        <v>850</v>
      </c>
      <c r="F40" s="32" t="s">
        <v>132</v>
      </c>
    </row>
    <row r="41" spans="2:6" x14ac:dyDescent="0.2">
      <c r="B41" s="32" t="s">
        <v>155</v>
      </c>
      <c r="C41" s="32" t="s">
        <v>156</v>
      </c>
      <c r="D41" s="66">
        <v>133.09515380859375</v>
      </c>
      <c r="E41" s="66">
        <v>133.09515107960229</v>
      </c>
      <c r="F41" s="32" t="s">
        <v>132</v>
      </c>
    </row>
    <row r="42" spans="2:6" x14ac:dyDescent="0.2">
      <c r="B42" s="32" t="s">
        <v>157</v>
      </c>
      <c r="C42" s="32" t="s">
        <v>158</v>
      </c>
      <c r="D42" s="66">
        <v>506.90484619140625</v>
      </c>
      <c r="E42" s="66">
        <v>506.90484892039774</v>
      </c>
      <c r="F42" s="32" t="s">
        <v>132</v>
      </c>
    </row>
    <row r="43" spans="2:6" x14ac:dyDescent="0.2">
      <c r="B43" s="32" t="s">
        <v>159</v>
      </c>
      <c r="C43" s="32" t="s">
        <v>160</v>
      </c>
      <c r="D43" s="66">
        <v>651.098876953125</v>
      </c>
      <c r="E43" s="66">
        <v>651.0988787711442</v>
      </c>
      <c r="F43" s="32" t="s">
        <v>132</v>
      </c>
    </row>
    <row r="44" spans="2:6" x14ac:dyDescent="0.2">
      <c r="B44" s="32" t="s">
        <v>161</v>
      </c>
      <c r="C44" s="32" t="s">
        <v>162</v>
      </c>
      <c r="D44" s="66">
        <v>0</v>
      </c>
      <c r="E44" s="66">
        <v>0</v>
      </c>
      <c r="F44" s="32" t="s">
        <v>132</v>
      </c>
    </row>
    <row r="45" spans="2:6" x14ac:dyDescent="0.2">
      <c r="B45" s="32" t="s">
        <v>163</v>
      </c>
      <c r="C45" s="32" t="s">
        <v>164</v>
      </c>
      <c r="D45" s="66">
        <v>0</v>
      </c>
      <c r="E45" s="66">
        <v>0</v>
      </c>
      <c r="F45" s="32" t="s">
        <v>132</v>
      </c>
    </row>
    <row r="46" spans="2:6" x14ac:dyDescent="0.2">
      <c r="B46" s="32" t="s">
        <v>165</v>
      </c>
      <c r="C46" s="32" t="s">
        <v>166</v>
      </c>
      <c r="D46" s="66">
        <v>970</v>
      </c>
      <c r="E46" s="66">
        <v>969.99999999999989</v>
      </c>
      <c r="F46" s="32" t="s">
        <v>132</v>
      </c>
    </row>
    <row r="47" spans="2:6" x14ac:dyDescent="0.2">
      <c r="B47" s="32" t="s">
        <v>167</v>
      </c>
      <c r="C47" s="32" t="s">
        <v>168</v>
      </c>
      <c r="D47" s="66">
        <v>107</v>
      </c>
      <c r="E47" s="66">
        <v>107</v>
      </c>
      <c r="F47" s="32" t="s">
        <v>132</v>
      </c>
    </row>
    <row r="48" spans="2:6" x14ac:dyDescent="0.2">
      <c r="B48" s="32" t="s">
        <v>169</v>
      </c>
      <c r="C48" s="32" t="s">
        <v>170</v>
      </c>
      <c r="D48" s="66">
        <v>0</v>
      </c>
      <c r="E48" s="66">
        <v>0</v>
      </c>
      <c r="F48" s="32" t="s">
        <v>132</v>
      </c>
    </row>
    <row r="49" spans="1:7" x14ac:dyDescent="0.2">
      <c r="B49" s="32" t="s">
        <v>171</v>
      </c>
      <c r="C49" s="32" t="s">
        <v>172</v>
      </c>
      <c r="D49" s="66">
        <v>80</v>
      </c>
      <c r="E49" s="66">
        <v>80</v>
      </c>
      <c r="F49" s="32" t="s">
        <v>132</v>
      </c>
    </row>
    <row r="50" spans="1:7" x14ac:dyDescent="0.2">
      <c r="B50" s="32" t="s">
        <v>173</v>
      </c>
      <c r="C50" s="32" t="s">
        <v>174</v>
      </c>
      <c r="D50" s="66">
        <v>0</v>
      </c>
      <c r="E50" s="66">
        <v>0</v>
      </c>
      <c r="F50" s="32" t="s">
        <v>132</v>
      </c>
    </row>
    <row r="51" spans="1:7" x14ac:dyDescent="0.2">
      <c r="B51" s="32" t="s">
        <v>175</v>
      </c>
      <c r="C51" s="32" t="s">
        <v>176</v>
      </c>
      <c r="D51" s="66">
        <v>310</v>
      </c>
      <c r="E51" s="66">
        <v>310</v>
      </c>
      <c r="F51" s="32" t="s">
        <v>132</v>
      </c>
    </row>
    <row r="52" spans="1:7" x14ac:dyDescent="0.2">
      <c r="B52" s="32" t="s">
        <v>177</v>
      </c>
      <c r="C52" s="32" t="s">
        <v>178</v>
      </c>
      <c r="D52" s="66">
        <v>0</v>
      </c>
      <c r="E52" s="66">
        <v>0</v>
      </c>
      <c r="F52" s="32" t="s">
        <v>132</v>
      </c>
    </row>
    <row r="53" spans="1:7" x14ac:dyDescent="0.2">
      <c r="B53" s="32" t="s">
        <v>179</v>
      </c>
      <c r="C53" s="32" t="s">
        <v>180</v>
      </c>
      <c r="D53" s="66">
        <v>0</v>
      </c>
      <c r="E53" s="66">
        <v>0</v>
      </c>
      <c r="F53" s="32" t="s">
        <v>132</v>
      </c>
    </row>
    <row r="54" spans="1:7" ht="13.5" thickBot="1" x14ac:dyDescent="0.25">
      <c r="B54" s="31" t="s">
        <v>181</v>
      </c>
      <c r="C54" s="31" t="s">
        <v>182</v>
      </c>
      <c r="D54" s="67">
        <v>0</v>
      </c>
      <c r="E54" s="67">
        <v>0</v>
      </c>
      <c r="F54" s="31" t="s">
        <v>132</v>
      </c>
    </row>
    <row r="57" spans="1:7" ht="13.5" thickBot="1" x14ac:dyDescent="0.25">
      <c r="A57" t="s">
        <v>127</v>
      </c>
    </row>
    <row r="58" spans="1:7" ht="13.5" thickBot="1" x14ac:dyDescent="0.25">
      <c r="B58" s="72" t="s">
        <v>93</v>
      </c>
      <c r="C58" s="72" t="s">
        <v>94</v>
      </c>
      <c r="D58" s="72" t="s">
        <v>95</v>
      </c>
      <c r="E58" s="72" t="s">
        <v>96</v>
      </c>
      <c r="F58" s="72" t="s">
        <v>97</v>
      </c>
      <c r="G58" s="72" t="s">
        <v>98</v>
      </c>
    </row>
    <row r="59" spans="1:7" x14ac:dyDescent="0.2">
      <c r="B59" s="32" t="s">
        <v>255</v>
      </c>
      <c r="C59" s="32" t="s">
        <v>256</v>
      </c>
      <c r="D59" s="66">
        <v>1761.1940298507461</v>
      </c>
      <c r="E59" s="32" t="s">
        <v>257</v>
      </c>
      <c r="F59" s="32" t="s">
        <v>99</v>
      </c>
      <c r="G59" s="66">
        <v>0</v>
      </c>
    </row>
    <row r="60" spans="1:7" x14ac:dyDescent="0.2">
      <c r="B60" s="32" t="s">
        <v>258</v>
      </c>
      <c r="C60" s="32" t="s">
        <v>259</v>
      </c>
      <c r="D60" s="66">
        <v>2326.9048489203979</v>
      </c>
      <c r="E60" s="32" t="s">
        <v>260</v>
      </c>
      <c r="F60" s="32" t="s">
        <v>99</v>
      </c>
      <c r="G60" s="66">
        <v>0</v>
      </c>
    </row>
    <row r="61" spans="1:7" x14ac:dyDescent="0.2">
      <c r="B61" s="32" t="s">
        <v>183</v>
      </c>
      <c r="C61" s="32" t="s">
        <v>184</v>
      </c>
      <c r="D61" s="66">
        <v>4975.1243781094527</v>
      </c>
      <c r="E61" s="32" t="s">
        <v>261</v>
      </c>
      <c r="F61" s="32" t="s">
        <v>185</v>
      </c>
      <c r="G61" s="32">
        <v>3054.8756218905473</v>
      </c>
    </row>
    <row r="62" spans="1:7" x14ac:dyDescent="0.2">
      <c r="B62" s="32" t="s">
        <v>187</v>
      </c>
      <c r="C62" s="32" t="s">
        <v>188</v>
      </c>
      <c r="D62" s="66">
        <v>7579.494621890547</v>
      </c>
      <c r="E62" s="32" t="s">
        <v>189</v>
      </c>
      <c r="F62" s="32" t="s">
        <v>185</v>
      </c>
      <c r="G62" s="32">
        <v>1200.505378109453</v>
      </c>
    </row>
    <row r="63" spans="1:7" x14ac:dyDescent="0.2">
      <c r="B63" s="32" t="s">
        <v>183</v>
      </c>
      <c r="C63" s="32" t="s">
        <v>184</v>
      </c>
      <c r="D63" s="66">
        <v>4975.1243781094527</v>
      </c>
      <c r="E63" s="32" t="s">
        <v>186</v>
      </c>
      <c r="F63" s="32" t="s">
        <v>185</v>
      </c>
      <c r="G63" s="66">
        <v>960.12437810945266</v>
      </c>
    </row>
    <row r="64" spans="1:7" x14ac:dyDescent="0.2">
      <c r="B64" s="32" t="s">
        <v>187</v>
      </c>
      <c r="C64" s="32" t="s">
        <v>188</v>
      </c>
      <c r="D64" s="66">
        <v>7579.494621890547</v>
      </c>
      <c r="E64" s="32" t="s">
        <v>262</v>
      </c>
      <c r="F64" s="32" t="s">
        <v>185</v>
      </c>
      <c r="G64" s="66">
        <v>3189.494621890547</v>
      </c>
    </row>
    <row r="65" spans="2:7" x14ac:dyDescent="0.2">
      <c r="B65" s="32" t="s">
        <v>100</v>
      </c>
      <c r="C65" s="32" t="s">
        <v>101</v>
      </c>
      <c r="D65" s="66">
        <v>2000</v>
      </c>
      <c r="E65" s="32" t="s">
        <v>102</v>
      </c>
      <c r="F65" s="32" t="s">
        <v>99</v>
      </c>
      <c r="G65" s="32">
        <v>0</v>
      </c>
    </row>
    <row r="66" spans="2:7" x14ac:dyDescent="0.2">
      <c r="B66" s="32" t="s">
        <v>190</v>
      </c>
      <c r="C66" s="32" t="s">
        <v>191</v>
      </c>
      <c r="D66" s="66">
        <v>3456.2495475820897</v>
      </c>
      <c r="E66" s="32" t="s">
        <v>192</v>
      </c>
      <c r="F66" s="32" t="s">
        <v>185</v>
      </c>
      <c r="G66" s="32">
        <v>543.75045241791031</v>
      </c>
    </row>
    <row r="67" spans="2:7" x14ac:dyDescent="0.2">
      <c r="B67" s="32" t="s">
        <v>103</v>
      </c>
      <c r="C67" s="32" t="s">
        <v>104</v>
      </c>
      <c r="D67" s="66">
        <v>480</v>
      </c>
      <c r="E67" s="32" t="s">
        <v>193</v>
      </c>
      <c r="F67" s="32" t="s">
        <v>185</v>
      </c>
      <c r="G67" s="32">
        <v>420</v>
      </c>
    </row>
    <row r="68" spans="2:7" x14ac:dyDescent="0.2">
      <c r="B68" s="32" t="s">
        <v>106</v>
      </c>
      <c r="C68" s="32" t="s">
        <v>107</v>
      </c>
      <c r="D68" s="66">
        <v>850</v>
      </c>
      <c r="E68" s="32" t="s">
        <v>194</v>
      </c>
      <c r="F68" s="32" t="s">
        <v>185</v>
      </c>
      <c r="G68" s="32">
        <v>300</v>
      </c>
    </row>
    <row r="69" spans="2:7" x14ac:dyDescent="0.2">
      <c r="B69" s="32" t="s">
        <v>109</v>
      </c>
      <c r="C69" s="32" t="s">
        <v>110</v>
      </c>
      <c r="D69" s="66">
        <v>640</v>
      </c>
      <c r="E69" s="32" t="s">
        <v>195</v>
      </c>
      <c r="F69" s="32" t="s">
        <v>185</v>
      </c>
      <c r="G69" s="32">
        <v>160</v>
      </c>
    </row>
    <row r="70" spans="2:7" x14ac:dyDescent="0.2">
      <c r="B70" s="32" t="s">
        <v>112</v>
      </c>
      <c r="C70" s="32" t="s">
        <v>113</v>
      </c>
      <c r="D70" s="66">
        <v>651.0988787711442</v>
      </c>
      <c r="E70" s="32" t="s">
        <v>196</v>
      </c>
      <c r="F70" s="32" t="s">
        <v>185</v>
      </c>
      <c r="G70" s="32">
        <v>123.9011212288558</v>
      </c>
    </row>
    <row r="71" spans="2:7" x14ac:dyDescent="0.2">
      <c r="B71" s="32" t="s">
        <v>115</v>
      </c>
      <c r="C71" s="32" t="s">
        <v>116</v>
      </c>
      <c r="D71" s="66">
        <v>969.99999999999989</v>
      </c>
      <c r="E71" s="32" t="s">
        <v>197</v>
      </c>
      <c r="F71" s="32" t="s">
        <v>99</v>
      </c>
      <c r="G71" s="32">
        <v>0</v>
      </c>
    </row>
    <row r="72" spans="2:7" x14ac:dyDescent="0.2">
      <c r="B72" s="32" t="s">
        <v>198</v>
      </c>
      <c r="C72" s="32" t="s">
        <v>199</v>
      </c>
      <c r="D72" s="66">
        <v>107</v>
      </c>
      <c r="E72" s="32" t="s">
        <v>200</v>
      </c>
      <c r="F72" s="32" t="s">
        <v>185</v>
      </c>
      <c r="G72" s="32">
        <v>93</v>
      </c>
    </row>
    <row r="73" spans="2:7" x14ac:dyDescent="0.2">
      <c r="B73" s="32" t="s">
        <v>201</v>
      </c>
      <c r="C73" s="32" t="s">
        <v>202</v>
      </c>
      <c r="D73" s="66">
        <v>80</v>
      </c>
      <c r="E73" s="32" t="s">
        <v>203</v>
      </c>
      <c r="F73" s="32" t="s">
        <v>185</v>
      </c>
      <c r="G73" s="32">
        <v>320</v>
      </c>
    </row>
    <row r="74" spans="2:7" x14ac:dyDescent="0.2">
      <c r="B74" s="32" t="s">
        <v>204</v>
      </c>
      <c r="C74" s="32" t="s">
        <v>205</v>
      </c>
      <c r="D74" s="66">
        <v>310</v>
      </c>
      <c r="E74" s="32" t="s">
        <v>206</v>
      </c>
      <c r="F74" s="32" t="s">
        <v>99</v>
      </c>
      <c r="G74" s="32">
        <v>0</v>
      </c>
    </row>
    <row r="75" spans="2:7" x14ac:dyDescent="0.2">
      <c r="B75" s="32" t="s">
        <v>207</v>
      </c>
      <c r="C75" s="32" t="s">
        <v>208</v>
      </c>
      <c r="D75" s="66">
        <v>0</v>
      </c>
      <c r="E75" s="32" t="s">
        <v>209</v>
      </c>
      <c r="F75" s="32" t="s">
        <v>185</v>
      </c>
      <c r="G75" s="32">
        <v>470</v>
      </c>
    </row>
    <row r="76" spans="2:7" x14ac:dyDescent="0.2">
      <c r="B76" s="32" t="s">
        <v>103</v>
      </c>
      <c r="C76" s="32" t="s">
        <v>104</v>
      </c>
      <c r="D76" s="66">
        <v>480</v>
      </c>
      <c r="E76" s="32" t="s">
        <v>105</v>
      </c>
      <c r="F76" s="32" t="s">
        <v>99</v>
      </c>
      <c r="G76" s="66">
        <v>0</v>
      </c>
    </row>
    <row r="77" spans="2:7" x14ac:dyDescent="0.2">
      <c r="B77" s="32" t="s">
        <v>106</v>
      </c>
      <c r="C77" s="32" t="s">
        <v>107</v>
      </c>
      <c r="D77" s="66">
        <v>850</v>
      </c>
      <c r="E77" s="32" t="s">
        <v>108</v>
      </c>
      <c r="F77" s="32" t="s">
        <v>99</v>
      </c>
      <c r="G77" s="66">
        <v>0</v>
      </c>
    </row>
    <row r="78" spans="2:7" x14ac:dyDescent="0.2">
      <c r="B78" s="32" t="s">
        <v>109</v>
      </c>
      <c r="C78" s="32" t="s">
        <v>110</v>
      </c>
      <c r="D78" s="66">
        <v>640</v>
      </c>
      <c r="E78" s="32" t="s">
        <v>111</v>
      </c>
      <c r="F78" s="32" t="s">
        <v>99</v>
      </c>
      <c r="G78" s="66">
        <v>0</v>
      </c>
    </row>
    <row r="79" spans="2:7" x14ac:dyDescent="0.2">
      <c r="B79" s="32" t="s">
        <v>112</v>
      </c>
      <c r="C79" s="32" t="s">
        <v>113</v>
      </c>
      <c r="D79" s="66">
        <v>651.0988787711442</v>
      </c>
      <c r="E79" s="32" t="s">
        <v>114</v>
      </c>
      <c r="F79" s="32" t="s">
        <v>185</v>
      </c>
      <c r="G79" s="66">
        <v>76.0988787711442</v>
      </c>
    </row>
    <row r="80" spans="2:7" x14ac:dyDescent="0.2">
      <c r="B80" s="32" t="s">
        <v>115</v>
      </c>
      <c r="C80" s="32" t="s">
        <v>116</v>
      </c>
      <c r="D80" s="66">
        <v>969.99999999999989</v>
      </c>
      <c r="E80" s="32" t="s">
        <v>117</v>
      </c>
      <c r="F80" s="32" t="s">
        <v>99</v>
      </c>
      <c r="G80" s="66">
        <v>0</v>
      </c>
    </row>
    <row r="81" spans="2:7" x14ac:dyDescent="0.2">
      <c r="B81" s="32" t="s">
        <v>198</v>
      </c>
      <c r="C81" s="32" t="s">
        <v>199</v>
      </c>
      <c r="D81" s="66">
        <v>107</v>
      </c>
      <c r="E81" s="32" t="s">
        <v>210</v>
      </c>
      <c r="F81" s="32" t="s">
        <v>99</v>
      </c>
      <c r="G81" s="66">
        <v>0</v>
      </c>
    </row>
    <row r="82" spans="2:7" x14ac:dyDescent="0.2">
      <c r="B82" s="32" t="s">
        <v>201</v>
      </c>
      <c r="C82" s="32" t="s">
        <v>202</v>
      </c>
      <c r="D82" s="66">
        <v>80</v>
      </c>
      <c r="E82" s="32" t="s">
        <v>211</v>
      </c>
      <c r="F82" s="32" t="s">
        <v>99</v>
      </c>
      <c r="G82" s="66">
        <v>0</v>
      </c>
    </row>
    <row r="83" spans="2:7" x14ac:dyDescent="0.2">
      <c r="B83" s="32" t="s">
        <v>204</v>
      </c>
      <c r="C83" s="32" t="s">
        <v>205</v>
      </c>
      <c r="D83" s="66">
        <v>310</v>
      </c>
      <c r="E83" s="32" t="s">
        <v>212</v>
      </c>
      <c r="F83" s="32" t="s">
        <v>185</v>
      </c>
      <c r="G83" s="66">
        <v>310</v>
      </c>
    </row>
    <row r="84" spans="2:7" x14ac:dyDescent="0.2">
      <c r="B84" s="32" t="s">
        <v>207</v>
      </c>
      <c r="C84" s="32" t="s">
        <v>208</v>
      </c>
      <c r="D84" s="66">
        <v>0</v>
      </c>
      <c r="E84" s="32" t="s">
        <v>213</v>
      </c>
      <c r="F84" s="32" t="s">
        <v>99</v>
      </c>
      <c r="G84" s="66">
        <v>0</v>
      </c>
    </row>
    <row r="85" spans="2:7" x14ac:dyDescent="0.2">
      <c r="B85" s="32" t="s">
        <v>263</v>
      </c>
      <c r="C85" s="32" t="s">
        <v>264</v>
      </c>
      <c r="D85" s="66">
        <v>1000</v>
      </c>
      <c r="E85" s="32" t="s">
        <v>265</v>
      </c>
      <c r="F85" s="32" t="s">
        <v>99</v>
      </c>
      <c r="G85" s="32">
        <v>0</v>
      </c>
    </row>
    <row r="86" spans="2:7" x14ac:dyDescent="0.2">
      <c r="B86" s="32" t="s">
        <v>266</v>
      </c>
      <c r="C86" s="32" t="s">
        <v>267</v>
      </c>
      <c r="D86" s="66">
        <v>1583</v>
      </c>
      <c r="E86" s="32" t="s">
        <v>268</v>
      </c>
      <c r="F86" s="32" t="s">
        <v>99</v>
      </c>
      <c r="G86" s="32">
        <v>0</v>
      </c>
    </row>
    <row r="87" spans="2:7" x14ac:dyDescent="0.2">
      <c r="B87" s="32" t="s">
        <v>269</v>
      </c>
      <c r="C87" s="32" t="s">
        <v>270</v>
      </c>
      <c r="D87" s="66">
        <v>2140</v>
      </c>
      <c r="E87" s="32" t="s">
        <v>271</v>
      </c>
      <c r="F87" s="32" t="s">
        <v>99</v>
      </c>
      <c r="G87" s="32">
        <v>0</v>
      </c>
    </row>
    <row r="88" spans="2:7" x14ac:dyDescent="0.2">
      <c r="B88" s="32" t="s">
        <v>272</v>
      </c>
      <c r="C88" s="32" t="s">
        <v>273</v>
      </c>
      <c r="D88" s="66">
        <v>1370</v>
      </c>
      <c r="E88" s="32" t="s">
        <v>274</v>
      </c>
      <c r="F88" s="32" t="s">
        <v>99</v>
      </c>
      <c r="G88" s="32">
        <v>0</v>
      </c>
    </row>
    <row r="89" spans="2:7" x14ac:dyDescent="0.2">
      <c r="B89" s="32" t="s">
        <v>275</v>
      </c>
      <c r="C89" s="32" t="s">
        <v>276</v>
      </c>
      <c r="D89" s="66">
        <v>2000</v>
      </c>
      <c r="E89" s="32" t="s">
        <v>277</v>
      </c>
      <c r="F89" s="32" t="s">
        <v>99</v>
      </c>
      <c r="G89" s="32">
        <v>0</v>
      </c>
    </row>
    <row r="90" spans="2:7" x14ac:dyDescent="0.2">
      <c r="B90" s="32" t="s">
        <v>278</v>
      </c>
      <c r="C90" s="32" t="s">
        <v>279</v>
      </c>
      <c r="D90" s="66">
        <v>1849.9999999999998</v>
      </c>
      <c r="E90" s="32" t="s">
        <v>280</v>
      </c>
      <c r="F90" s="32" t="s">
        <v>99</v>
      </c>
      <c r="G90" s="32">
        <v>0</v>
      </c>
    </row>
    <row r="91" spans="2:7" x14ac:dyDescent="0.2">
      <c r="B91" s="32" t="s">
        <v>281</v>
      </c>
      <c r="C91" s="32" t="s">
        <v>282</v>
      </c>
      <c r="D91" s="66">
        <v>1260</v>
      </c>
      <c r="E91" s="32" t="s">
        <v>283</v>
      </c>
      <c r="F91" s="32" t="s">
        <v>99</v>
      </c>
      <c r="G91" s="32">
        <v>0</v>
      </c>
    </row>
    <row r="92" spans="2:7" ht="13.5" thickBot="1" x14ac:dyDescent="0.25">
      <c r="B92" s="31" t="s">
        <v>284</v>
      </c>
      <c r="C92" s="31" t="s">
        <v>285</v>
      </c>
      <c r="D92" s="67">
        <v>1700</v>
      </c>
      <c r="E92" s="31" t="s">
        <v>286</v>
      </c>
      <c r="F92" s="31" t="s">
        <v>99</v>
      </c>
      <c r="G92" s="31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B648-BE35-47D0-9FCE-729CFE54E472}">
  <dimension ref="A1:H80"/>
  <sheetViews>
    <sheetView showGridLines="0" topLeftCell="A13" workbookViewId="0"/>
  </sheetViews>
  <sheetFormatPr defaultColWidth="8.85546875" defaultRowHeight="12.75" x14ac:dyDescent="0.2"/>
  <cols>
    <col min="1" max="1" width="2.28515625" customWidth="1"/>
    <col min="2" max="2" width="6.28515625" bestFit="1" customWidth="1"/>
    <col min="3" max="3" width="36.42578125" bestFit="1" customWidth="1"/>
    <col min="4" max="5" width="12" bestFit="1" customWidth="1"/>
    <col min="6" max="6" width="10.7109375" bestFit="1" customWidth="1"/>
    <col min="7" max="8" width="12" bestFit="1" customWidth="1"/>
  </cols>
  <sheetData>
    <row r="1" spans="1:8" x14ac:dyDescent="0.2">
      <c r="A1" s="1" t="s">
        <v>293</v>
      </c>
    </row>
    <row r="2" spans="1:8" x14ac:dyDescent="0.2">
      <c r="A2" s="1" t="s">
        <v>290</v>
      </c>
    </row>
    <row r="3" spans="1:8" x14ac:dyDescent="0.2">
      <c r="A3" s="1" t="s">
        <v>308</v>
      </c>
    </row>
    <row r="6" spans="1:8" ht="13.5" thickBot="1" x14ac:dyDescent="0.25">
      <c r="A6" t="s">
        <v>125</v>
      </c>
    </row>
    <row r="7" spans="1:8" x14ac:dyDescent="0.2">
      <c r="B7" s="73"/>
      <c r="C7" s="73"/>
      <c r="D7" s="73" t="s">
        <v>214</v>
      </c>
      <c r="E7" s="73" t="s">
        <v>216</v>
      </c>
      <c r="F7" s="73" t="s">
        <v>217</v>
      </c>
      <c r="G7" s="73" t="s">
        <v>219</v>
      </c>
      <c r="H7" s="73" t="s">
        <v>219</v>
      </c>
    </row>
    <row r="8" spans="1:8" ht="13.5" thickBot="1" x14ac:dyDescent="0.25">
      <c r="B8" s="74" t="s">
        <v>93</v>
      </c>
      <c r="C8" s="74" t="s">
        <v>94</v>
      </c>
      <c r="D8" s="74" t="s">
        <v>215</v>
      </c>
      <c r="E8" s="74" t="s">
        <v>81</v>
      </c>
      <c r="F8" s="74" t="s">
        <v>218</v>
      </c>
      <c r="G8" s="74" t="s">
        <v>220</v>
      </c>
      <c r="H8" s="74" t="s">
        <v>221</v>
      </c>
    </row>
    <row r="9" spans="1:8" x14ac:dyDescent="0.2">
      <c r="B9" s="32" t="s">
        <v>130</v>
      </c>
      <c r="C9" s="32" t="s">
        <v>131</v>
      </c>
      <c r="D9" s="32">
        <v>1000</v>
      </c>
      <c r="E9" s="32">
        <v>0</v>
      </c>
      <c r="F9" s="32">
        <v>23.801499999997759</v>
      </c>
      <c r="G9" s="32">
        <v>1E+30</v>
      </c>
      <c r="H9" s="32">
        <v>0</v>
      </c>
    </row>
    <row r="10" spans="1:8" x14ac:dyDescent="0.2">
      <c r="B10" s="32" t="s">
        <v>239</v>
      </c>
      <c r="C10" s="32" t="s">
        <v>240</v>
      </c>
      <c r="D10" s="32">
        <v>0</v>
      </c>
      <c r="E10" s="32">
        <v>0</v>
      </c>
      <c r="F10" s="32">
        <v>-1.455774999998539</v>
      </c>
      <c r="G10" s="32">
        <v>0</v>
      </c>
      <c r="H10" s="32">
        <v>1E+30</v>
      </c>
    </row>
    <row r="11" spans="1:8" x14ac:dyDescent="0.2">
      <c r="B11" s="32" t="s">
        <v>133</v>
      </c>
      <c r="C11" s="32" t="s">
        <v>134</v>
      </c>
      <c r="D11" s="32">
        <v>1583</v>
      </c>
      <c r="E11" s="32">
        <v>0</v>
      </c>
      <c r="F11" s="32">
        <v>24.501500000002125</v>
      </c>
      <c r="G11" s="32">
        <v>1E+30</v>
      </c>
      <c r="H11" s="32">
        <v>2.0999999999985519</v>
      </c>
    </row>
    <row r="12" spans="1:8" x14ac:dyDescent="0.2">
      <c r="B12" s="32" t="s">
        <v>241</v>
      </c>
      <c r="C12" s="32" t="s">
        <v>242</v>
      </c>
      <c r="D12" s="32">
        <v>0</v>
      </c>
      <c r="E12" s="32">
        <v>-2.0999999999985519</v>
      </c>
      <c r="F12" s="32">
        <v>-2.8557749999999942</v>
      </c>
      <c r="G12" s="32">
        <v>2.0999999999985519</v>
      </c>
      <c r="H12" s="32">
        <v>1E+30</v>
      </c>
    </row>
    <row r="13" spans="1:8" x14ac:dyDescent="0.2">
      <c r="B13" s="32" t="s">
        <v>135</v>
      </c>
      <c r="C13" s="32" t="s">
        <v>136</v>
      </c>
      <c r="D13" s="32">
        <v>0</v>
      </c>
      <c r="E13" s="32">
        <v>-14.700000000004373</v>
      </c>
      <c r="F13" s="32">
        <v>8.9014999999999418</v>
      </c>
      <c r="G13" s="32">
        <v>14.700000000004373</v>
      </c>
      <c r="H13" s="32">
        <v>1E+30</v>
      </c>
    </row>
    <row r="14" spans="1:8" x14ac:dyDescent="0.2">
      <c r="B14" s="32" t="s">
        <v>243</v>
      </c>
      <c r="C14" s="32" t="s">
        <v>244</v>
      </c>
      <c r="D14" s="32">
        <v>2140</v>
      </c>
      <c r="E14" s="32">
        <v>0</v>
      </c>
      <c r="F14" s="32">
        <v>-1.6557749999992666</v>
      </c>
      <c r="G14" s="32">
        <v>1E+30</v>
      </c>
      <c r="H14" s="32">
        <v>7.036715100000289</v>
      </c>
    </row>
    <row r="15" spans="1:8" x14ac:dyDescent="0.2">
      <c r="B15" s="32" t="s">
        <v>137</v>
      </c>
      <c r="C15" s="32" t="s">
        <v>138</v>
      </c>
      <c r="D15" s="32">
        <v>530.18024471680599</v>
      </c>
      <c r="E15" s="32">
        <v>0</v>
      </c>
      <c r="F15" s="32">
        <v>26.701499999999214</v>
      </c>
      <c r="G15" s="32">
        <v>0</v>
      </c>
      <c r="H15" s="32">
        <v>3.25</v>
      </c>
    </row>
    <row r="16" spans="1:8" x14ac:dyDescent="0.2">
      <c r="B16" s="32" t="s">
        <v>245</v>
      </c>
      <c r="C16" s="32" t="s">
        <v>246</v>
      </c>
      <c r="D16" s="32">
        <v>839.8197552831939</v>
      </c>
      <c r="E16" s="32">
        <v>0</v>
      </c>
      <c r="F16" s="32">
        <v>1.4442249999956402</v>
      </c>
      <c r="G16" s="32">
        <v>3.2499999999999991</v>
      </c>
      <c r="H16" s="32">
        <v>0</v>
      </c>
    </row>
    <row r="17" spans="2:8" x14ac:dyDescent="0.2">
      <c r="B17" s="32" t="s">
        <v>139</v>
      </c>
      <c r="C17" s="32" t="s">
        <v>140</v>
      </c>
      <c r="D17" s="32">
        <v>2000</v>
      </c>
      <c r="E17" s="32">
        <v>0</v>
      </c>
      <c r="F17" s="32">
        <v>25.601499999997031</v>
      </c>
      <c r="G17" s="32">
        <v>1E+30</v>
      </c>
      <c r="H17" s="32">
        <v>1.2999999999883549</v>
      </c>
    </row>
    <row r="18" spans="2:8" x14ac:dyDescent="0.2">
      <c r="B18" s="32" t="s">
        <v>247</v>
      </c>
      <c r="C18" s="32" t="s">
        <v>248</v>
      </c>
      <c r="D18" s="32">
        <v>0</v>
      </c>
      <c r="E18" s="32">
        <v>-1.2999999999883549</v>
      </c>
      <c r="F18" s="32">
        <v>-0.95577499999490101</v>
      </c>
      <c r="G18" s="32">
        <v>1.2999999999883549</v>
      </c>
      <c r="H18" s="32">
        <v>1E+30</v>
      </c>
    </row>
    <row r="19" spans="2:8" x14ac:dyDescent="0.2">
      <c r="B19" s="32" t="s">
        <v>141</v>
      </c>
      <c r="C19" s="32" t="s">
        <v>142</v>
      </c>
      <c r="D19" s="32">
        <v>0</v>
      </c>
      <c r="E19" s="32">
        <v>-3.25</v>
      </c>
      <c r="F19" s="32">
        <v>23.051500000001397</v>
      </c>
      <c r="G19" s="32">
        <v>3.25</v>
      </c>
      <c r="H19" s="32">
        <v>1E+30</v>
      </c>
    </row>
    <row r="20" spans="2:8" x14ac:dyDescent="0.2">
      <c r="B20" s="32" t="s">
        <v>249</v>
      </c>
      <c r="C20" s="32" t="s">
        <v>250</v>
      </c>
      <c r="D20" s="32">
        <v>1849.9999999999998</v>
      </c>
      <c r="E20" s="32">
        <v>0</v>
      </c>
      <c r="F20" s="32">
        <v>1.044224999997823</v>
      </c>
      <c r="G20" s="32">
        <v>1E+30</v>
      </c>
      <c r="H20" s="32">
        <v>3.2499999999999991</v>
      </c>
    </row>
    <row r="21" spans="2:8" x14ac:dyDescent="0.2">
      <c r="B21" s="32" t="s">
        <v>143</v>
      </c>
      <c r="C21" s="32" t="s">
        <v>144</v>
      </c>
      <c r="D21" s="32">
        <v>0</v>
      </c>
      <c r="E21" s="32">
        <v>-16.500000000003638</v>
      </c>
      <c r="F21" s="32">
        <v>16.001500000002125</v>
      </c>
      <c r="G21" s="32">
        <v>16.500000000003638</v>
      </c>
      <c r="H21" s="32">
        <v>1E+30</v>
      </c>
    </row>
    <row r="22" spans="2:8" x14ac:dyDescent="0.2">
      <c r="B22" s="32" t="s">
        <v>251</v>
      </c>
      <c r="C22" s="32" t="s">
        <v>252</v>
      </c>
      <c r="D22" s="32">
        <v>1260</v>
      </c>
      <c r="E22" s="32">
        <v>0</v>
      </c>
      <c r="F22" s="32">
        <v>7.2442250000021886</v>
      </c>
      <c r="G22" s="32">
        <v>1E+30</v>
      </c>
      <c r="H22" s="32">
        <v>15.936715100001752</v>
      </c>
    </row>
    <row r="23" spans="2:8" x14ac:dyDescent="0.2">
      <c r="B23" s="32" t="s">
        <v>145</v>
      </c>
      <c r="C23" s="32" t="s">
        <v>146</v>
      </c>
      <c r="D23" s="32">
        <v>0</v>
      </c>
      <c r="E23" s="32">
        <v>-12.600000000005824</v>
      </c>
      <c r="F23" s="32">
        <v>13.501499999998487</v>
      </c>
      <c r="G23" s="32">
        <v>12.600000000005824</v>
      </c>
      <c r="H23" s="32">
        <v>1E+30</v>
      </c>
    </row>
    <row r="24" spans="2:8" x14ac:dyDescent="0.2">
      <c r="B24" s="32" t="s">
        <v>253</v>
      </c>
      <c r="C24" s="32" t="s">
        <v>254</v>
      </c>
      <c r="D24" s="32">
        <v>1700</v>
      </c>
      <c r="E24" s="32">
        <v>0</v>
      </c>
      <c r="F24" s="32">
        <v>0.84422500000073342</v>
      </c>
      <c r="G24" s="32">
        <v>1E+30</v>
      </c>
      <c r="H24" s="32">
        <v>9.5367151000002863</v>
      </c>
    </row>
    <row r="25" spans="2:8" x14ac:dyDescent="0.2">
      <c r="B25" s="32" t="s">
        <v>147</v>
      </c>
      <c r="C25" s="32" t="s">
        <v>148</v>
      </c>
      <c r="D25" s="32">
        <v>480</v>
      </c>
      <c r="E25" s="32">
        <v>0</v>
      </c>
      <c r="F25" s="32">
        <v>10</v>
      </c>
      <c r="G25" s="32">
        <v>9.8000000000029086</v>
      </c>
      <c r="H25" s="32">
        <v>13.399999999994179</v>
      </c>
    </row>
    <row r="26" spans="2:8" x14ac:dyDescent="0.2">
      <c r="B26" s="32" t="s">
        <v>149</v>
      </c>
      <c r="C26" s="32" t="s">
        <v>150</v>
      </c>
      <c r="D26" s="32">
        <v>0</v>
      </c>
      <c r="E26" s="32">
        <v>-13.399999999994179</v>
      </c>
      <c r="F26" s="32">
        <v>5.9000000000014552</v>
      </c>
      <c r="G26" s="32">
        <v>13.399999999994179</v>
      </c>
      <c r="H26" s="32">
        <v>1E+30</v>
      </c>
    </row>
    <row r="27" spans="2:8" x14ac:dyDescent="0.2">
      <c r="B27" s="32" t="s">
        <v>151</v>
      </c>
      <c r="C27" s="32" t="s">
        <v>152</v>
      </c>
      <c r="D27" s="32">
        <v>0</v>
      </c>
      <c r="E27" s="32">
        <v>-10.700000000004366</v>
      </c>
      <c r="F27" s="32">
        <v>-15.700000000000728</v>
      </c>
      <c r="G27" s="32">
        <v>10.700000000004366</v>
      </c>
      <c r="H27" s="32">
        <v>1E+30</v>
      </c>
    </row>
    <row r="28" spans="2:8" x14ac:dyDescent="0.2">
      <c r="B28" s="32" t="s">
        <v>153</v>
      </c>
      <c r="C28" s="32" t="s">
        <v>154</v>
      </c>
      <c r="D28" s="32">
        <v>850</v>
      </c>
      <c r="E28" s="32">
        <v>0</v>
      </c>
      <c r="F28" s="32">
        <v>4.2999999999992724</v>
      </c>
      <c r="G28" s="32">
        <v>24.799999999999269</v>
      </c>
      <c r="H28" s="32">
        <v>10.700000000004366</v>
      </c>
    </row>
    <row r="29" spans="2:8" x14ac:dyDescent="0.2">
      <c r="B29" s="32" t="s">
        <v>155</v>
      </c>
      <c r="C29" s="32" t="s">
        <v>156</v>
      </c>
      <c r="D29" s="32">
        <v>133.09515107960229</v>
      </c>
      <c r="E29" s="32">
        <v>0</v>
      </c>
      <c r="F29" s="32">
        <v>19.400000000001455</v>
      </c>
      <c r="G29" s="32">
        <v>0.40000000000145253</v>
      </c>
      <c r="H29" s="32">
        <v>0.30000000000291038</v>
      </c>
    </row>
    <row r="30" spans="2:8" x14ac:dyDescent="0.2">
      <c r="B30" s="32" t="s">
        <v>157</v>
      </c>
      <c r="C30" s="32" t="s">
        <v>158</v>
      </c>
      <c r="D30" s="32">
        <v>506.90484892039774</v>
      </c>
      <c r="E30" s="32">
        <v>0</v>
      </c>
      <c r="F30" s="32">
        <v>28.69999999999709</v>
      </c>
      <c r="G30" s="32">
        <v>0.30000000000291038</v>
      </c>
      <c r="H30" s="32">
        <v>6.2999999999992644</v>
      </c>
    </row>
    <row r="31" spans="2:8" x14ac:dyDescent="0.2">
      <c r="B31" s="32" t="s">
        <v>159</v>
      </c>
      <c r="C31" s="32" t="s">
        <v>160</v>
      </c>
      <c r="D31" s="32">
        <v>651.0988787711442</v>
      </c>
      <c r="E31" s="32">
        <v>0</v>
      </c>
      <c r="F31" s="32">
        <v>19.80000000000291</v>
      </c>
      <c r="G31" s="32">
        <v>0.89999999999418012</v>
      </c>
      <c r="H31" s="32">
        <v>0.40000000000145297</v>
      </c>
    </row>
    <row r="32" spans="2:8" x14ac:dyDescent="0.2">
      <c r="B32" s="32" t="s">
        <v>161</v>
      </c>
      <c r="C32" s="32" t="s">
        <v>162</v>
      </c>
      <c r="D32" s="32">
        <v>0</v>
      </c>
      <c r="E32" s="32">
        <v>-14.599999999998545</v>
      </c>
      <c r="F32" s="32">
        <v>14.5</v>
      </c>
      <c r="G32" s="32">
        <v>14.599999999998545</v>
      </c>
      <c r="H32" s="32">
        <v>1E+30</v>
      </c>
    </row>
    <row r="33" spans="1:8" x14ac:dyDescent="0.2">
      <c r="B33" s="32" t="s">
        <v>163</v>
      </c>
      <c r="C33" s="32" t="s">
        <v>164</v>
      </c>
      <c r="D33" s="32">
        <v>0</v>
      </c>
      <c r="E33" s="32">
        <v>-2.0000000000036389</v>
      </c>
      <c r="F33" s="32">
        <v>11.5</v>
      </c>
      <c r="G33" s="32">
        <v>2.0000000000036389</v>
      </c>
      <c r="H33" s="32">
        <v>1E+30</v>
      </c>
    </row>
    <row r="34" spans="1:8" x14ac:dyDescent="0.2">
      <c r="B34" s="32" t="s">
        <v>165</v>
      </c>
      <c r="C34" s="32" t="s">
        <v>166</v>
      </c>
      <c r="D34" s="32">
        <v>969.99999999999989</v>
      </c>
      <c r="E34" s="32">
        <v>0</v>
      </c>
      <c r="F34" s="32">
        <v>22.799999999999272</v>
      </c>
      <c r="G34" s="32">
        <v>6.2999999999992662</v>
      </c>
      <c r="H34" s="32">
        <v>2.000000000003638</v>
      </c>
    </row>
    <row r="35" spans="1:8" x14ac:dyDescent="0.2">
      <c r="B35" s="32" t="s">
        <v>167</v>
      </c>
      <c r="C35" s="32" t="s">
        <v>168</v>
      </c>
      <c r="D35" s="32">
        <v>107</v>
      </c>
      <c r="E35" s="32">
        <v>0</v>
      </c>
      <c r="F35" s="32">
        <v>9.7000000000007276</v>
      </c>
      <c r="G35" s="32">
        <v>10.100000000002179</v>
      </c>
      <c r="H35" s="32">
        <v>10.999999999996362</v>
      </c>
    </row>
    <row r="36" spans="1:8" x14ac:dyDescent="0.2">
      <c r="B36" s="32" t="s">
        <v>169</v>
      </c>
      <c r="C36" s="32" t="s">
        <v>170</v>
      </c>
      <c r="D36" s="32">
        <v>0</v>
      </c>
      <c r="E36" s="32">
        <v>-10.999999999996362</v>
      </c>
      <c r="F36" s="32">
        <v>8</v>
      </c>
      <c r="G36" s="32">
        <v>10.999999999996362</v>
      </c>
      <c r="H36" s="32">
        <v>1E+30</v>
      </c>
    </row>
    <row r="37" spans="1:8" x14ac:dyDescent="0.2">
      <c r="B37" s="32" t="s">
        <v>171</v>
      </c>
      <c r="C37" s="32" t="s">
        <v>172</v>
      </c>
      <c r="D37" s="32">
        <v>80</v>
      </c>
      <c r="E37" s="32">
        <v>0</v>
      </c>
      <c r="F37" s="32">
        <v>14.69999999999709</v>
      </c>
      <c r="G37" s="32">
        <v>5.1000000000058563</v>
      </c>
      <c r="H37" s="32">
        <v>34.199999999989814</v>
      </c>
    </row>
    <row r="38" spans="1:8" x14ac:dyDescent="0.2">
      <c r="B38" s="32" t="s">
        <v>173</v>
      </c>
      <c r="C38" s="32" t="s">
        <v>174</v>
      </c>
      <c r="D38" s="32">
        <v>0</v>
      </c>
      <c r="E38" s="32">
        <v>-34.199999999989814</v>
      </c>
      <c r="F38" s="32">
        <v>-10.19999999999709</v>
      </c>
      <c r="G38" s="32">
        <v>34.199999999989814</v>
      </c>
      <c r="H38" s="32">
        <v>1E+30</v>
      </c>
    </row>
    <row r="39" spans="1:8" x14ac:dyDescent="0.2">
      <c r="B39" s="32" t="s">
        <v>175</v>
      </c>
      <c r="C39" s="32" t="s">
        <v>176</v>
      </c>
      <c r="D39" s="32">
        <v>310</v>
      </c>
      <c r="E39" s="32">
        <v>0</v>
      </c>
      <c r="F39" s="32">
        <v>20.69999999999709</v>
      </c>
      <c r="G39" s="32">
        <v>1E+30</v>
      </c>
      <c r="H39" s="32">
        <v>0.89999999999418012</v>
      </c>
    </row>
    <row r="40" spans="1:8" x14ac:dyDescent="0.2">
      <c r="B40" s="32" t="s">
        <v>177</v>
      </c>
      <c r="C40" s="32" t="s">
        <v>178</v>
      </c>
      <c r="D40" s="32">
        <v>0</v>
      </c>
      <c r="E40" s="32">
        <v>-22.399999999990538</v>
      </c>
      <c r="F40" s="32">
        <v>7.6000000000021828</v>
      </c>
      <c r="G40" s="32">
        <v>22.399999999990538</v>
      </c>
      <c r="H40" s="32">
        <v>1E+30</v>
      </c>
    </row>
    <row r="41" spans="1:8" x14ac:dyDescent="0.2">
      <c r="B41" s="32" t="s">
        <v>179</v>
      </c>
      <c r="C41" s="32" t="s">
        <v>180</v>
      </c>
      <c r="D41" s="32">
        <v>0</v>
      </c>
      <c r="E41" s="32">
        <v>-0.30000000000291038</v>
      </c>
      <c r="F41" s="32">
        <v>11.700000000000728</v>
      </c>
      <c r="G41" s="32">
        <v>0.30000000000291038</v>
      </c>
      <c r="H41" s="32">
        <v>1E+30</v>
      </c>
    </row>
    <row r="42" spans="1:8" ht="13.5" thickBot="1" x14ac:dyDescent="0.25">
      <c r="B42" s="31" t="s">
        <v>181</v>
      </c>
      <c r="C42" s="31" t="s">
        <v>182</v>
      </c>
      <c r="D42" s="31">
        <v>0</v>
      </c>
      <c r="E42" s="31">
        <v>0</v>
      </c>
      <c r="F42" s="31">
        <v>21.299999999999272</v>
      </c>
      <c r="G42" s="31">
        <v>7.7999999999992671</v>
      </c>
      <c r="H42" s="31">
        <v>0.30000000000291038</v>
      </c>
    </row>
    <row r="44" spans="1:8" ht="13.5" thickBot="1" x14ac:dyDescent="0.25">
      <c r="A44" t="s">
        <v>127</v>
      </c>
    </row>
    <row r="45" spans="1:8" x14ac:dyDescent="0.2">
      <c r="B45" s="73"/>
      <c r="C45" s="73"/>
      <c r="D45" s="73" t="s">
        <v>214</v>
      </c>
      <c r="E45" s="73" t="s">
        <v>222</v>
      </c>
      <c r="F45" s="73" t="s">
        <v>223</v>
      </c>
      <c r="G45" s="73" t="s">
        <v>219</v>
      </c>
      <c r="H45" s="73" t="s">
        <v>219</v>
      </c>
    </row>
    <row r="46" spans="1:8" ht="13.5" thickBot="1" x14ac:dyDescent="0.25">
      <c r="B46" s="74" t="s">
        <v>93</v>
      </c>
      <c r="C46" s="74" t="s">
        <v>94</v>
      </c>
      <c r="D46" s="74" t="s">
        <v>215</v>
      </c>
      <c r="E46" s="74" t="s">
        <v>6</v>
      </c>
      <c r="F46" s="74" t="s">
        <v>224</v>
      </c>
      <c r="G46" s="74" t="s">
        <v>220</v>
      </c>
      <c r="H46" s="74" t="s">
        <v>221</v>
      </c>
    </row>
    <row r="47" spans="1:8" x14ac:dyDescent="0.2">
      <c r="B47" s="32" t="s">
        <v>255</v>
      </c>
      <c r="C47" s="32" t="s">
        <v>256</v>
      </c>
      <c r="D47" s="32">
        <v>1761.1940298507461</v>
      </c>
      <c r="E47" s="32">
        <v>-19.800000000002907</v>
      </c>
      <c r="F47" s="32">
        <v>0</v>
      </c>
      <c r="G47" s="32">
        <v>76.098878771144172</v>
      </c>
      <c r="H47" s="32">
        <v>123.9011212288558</v>
      </c>
    </row>
    <row r="48" spans="1:8" x14ac:dyDescent="0.2">
      <c r="B48" s="32" t="s">
        <v>258</v>
      </c>
      <c r="C48" s="32" t="s">
        <v>259</v>
      </c>
      <c r="D48" s="32">
        <v>2326.9048489203979</v>
      </c>
      <c r="E48" s="32">
        <v>-29.099999999998538</v>
      </c>
      <c r="F48" s="32">
        <v>0</v>
      </c>
      <c r="G48" s="32">
        <v>76.098878771144172</v>
      </c>
      <c r="H48" s="32">
        <v>123.9011212288558</v>
      </c>
    </row>
    <row r="49" spans="2:8" x14ac:dyDescent="0.2">
      <c r="B49" s="32" t="s">
        <v>183</v>
      </c>
      <c r="C49" s="32" t="s">
        <v>184</v>
      </c>
      <c r="D49" s="32">
        <v>4975.1243781094527</v>
      </c>
      <c r="E49" s="32">
        <v>0</v>
      </c>
      <c r="F49" s="32">
        <v>8030</v>
      </c>
      <c r="G49" s="32">
        <v>1E+30</v>
      </c>
      <c r="H49" s="32">
        <v>3054.8756218905464</v>
      </c>
    </row>
    <row r="50" spans="2:8" x14ac:dyDescent="0.2">
      <c r="B50" s="32" t="s">
        <v>187</v>
      </c>
      <c r="C50" s="32" t="s">
        <v>188</v>
      </c>
      <c r="D50" s="32">
        <v>7579.494621890547</v>
      </c>
      <c r="E50" s="32">
        <v>0</v>
      </c>
      <c r="F50" s="32">
        <v>8780</v>
      </c>
      <c r="G50" s="32">
        <v>1E+30</v>
      </c>
      <c r="H50" s="32">
        <v>1200.5053781094543</v>
      </c>
    </row>
    <row r="51" spans="2:8" x14ac:dyDescent="0.2">
      <c r="B51" s="32" t="s">
        <v>183</v>
      </c>
      <c r="C51" s="32" t="s">
        <v>184</v>
      </c>
      <c r="D51" s="32">
        <v>4975.1243781094527</v>
      </c>
      <c r="E51" s="32">
        <v>0</v>
      </c>
      <c r="F51" s="32">
        <v>4015</v>
      </c>
      <c r="G51" s="32">
        <v>960.12437810945244</v>
      </c>
      <c r="H51" s="32">
        <v>1E+30</v>
      </c>
    </row>
    <row r="52" spans="2:8" x14ac:dyDescent="0.2">
      <c r="B52" s="32" t="s">
        <v>187</v>
      </c>
      <c r="C52" s="32" t="s">
        <v>188</v>
      </c>
      <c r="D52" s="32">
        <v>7579.494621890547</v>
      </c>
      <c r="E52" s="32">
        <v>0</v>
      </c>
      <c r="F52" s="32">
        <v>4390</v>
      </c>
      <c r="G52" s="32">
        <v>3189.4946218905452</v>
      </c>
      <c r="H52" s="32">
        <v>1E+30</v>
      </c>
    </row>
    <row r="53" spans="2:8" x14ac:dyDescent="0.2">
      <c r="B53" s="32" t="s">
        <v>100</v>
      </c>
      <c r="C53" s="32" t="s">
        <v>101</v>
      </c>
      <c r="D53" s="32">
        <v>2000</v>
      </c>
      <c r="E53" s="32">
        <v>59.785186349866876</v>
      </c>
      <c r="F53" s="32">
        <v>2000</v>
      </c>
      <c r="G53" s="32">
        <v>328.4921379999999</v>
      </c>
      <c r="H53" s="32">
        <v>174.28094701628686</v>
      </c>
    </row>
    <row r="54" spans="2:8" x14ac:dyDescent="0.2">
      <c r="B54" s="32" t="s">
        <v>190</v>
      </c>
      <c r="C54" s="32" t="s">
        <v>191</v>
      </c>
      <c r="D54" s="32">
        <v>3456.2495475820897</v>
      </c>
      <c r="E54" s="32">
        <v>0</v>
      </c>
      <c r="F54" s="32">
        <v>4000</v>
      </c>
      <c r="G54" s="32">
        <v>1E+30</v>
      </c>
      <c r="H54" s="32">
        <v>543.75045241791111</v>
      </c>
    </row>
    <row r="55" spans="2:8" x14ac:dyDescent="0.2">
      <c r="B55" s="32" t="s">
        <v>103</v>
      </c>
      <c r="C55" s="32" t="s">
        <v>104</v>
      </c>
      <c r="D55" s="32">
        <v>480</v>
      </c>
      <c r="E55" s="32">
        <v>0</v>
      </c>
      <c r="F55" s="32">
        <v>900</v>
      </c>
      <c r="G55" s="32">
        <v>1E+30</v>
      </c>
      <c r="H55" s="32">
        <v>420</v>
      </c>
    </row>
    <row r="56" spans="2:8" x14ac:dyDescent="0.2">
      <c r="B56" s="32" t="s">
        <v>106</v>
      </c>
      <c r="C56" s="32" t="s">
        <v>107</v>
      </c>
      <c r="D56" s="32">
        <v>850</v>
      </c>
      <c r="E56" s="32">
        <v>0</v>
      </c>
      <c r="F56" s="32">
        <v>1150</v>
      </c>
      <c r="G56" s="32">
        <v>1E+30</v>
      </c>
      <c r="H56" s="32">
        <v>300</v>
      </c>
    </row>
    <row r="57" spans="2:8" x14ac:dyDescent="0.2">
      <c r="B57" s="32" t="s">
        <v>109</v>
      </c>
      <c r="C57" s="32" t="s">
        <v>110</v>
      </c>
      <c r="D57" s="32">
        <v>640</v>
      </c>
      <c r="E57" s="32">
        <v>0</v>
      </c>
      <c r="F57" s="32">
        <v>800</v>
      </c>
      <c r="G57" s="32">
        <v>1E+30</v>
      </c>
      <c r="H57" s="32">
        <v>160</v>
      </c>
    </row>
    <row r="58" spans="2:8" x14ac:dyDescent="0.2">
      <c r="B58" s="32" t="s">
        <v>112</v>
      </c>
      <c r="C58" s="32" t="s">
        <v>113</v>
      </c>
      <c r="D58" s="32">
        <v>651.0988787711442</v>
      </c>
      <c r="E58" s="32">
        <v>0</v>
      </c>
      <c r="F58" s="32">
        <v>775</v>
      </c>
      <c r="G58" s="32">
        <v>1E+30</v>
      </c>
      <c r="H58" s="32">
        <v>123.9011212288558</v>
      </c>
    </row>
    <row r="59" spans="2:8" x14ac:dyDescent="0.2">
      <c r="B59" s="32" t="s">
        <v>115</v>
      </c>
      <c r="C59" s="32" t="s">
        <v>116</v>
      </c>
      <c r="D59" s="32">
        <v>969.99999999999989</v>
      </c>
      <c r="E59" s="32">
        <v>0</v>
      </c>
      <c r="F59" s="32">
        <v>970</v>
      </c>
      <c r="G59" s="32">
        <v>1E+30</v>
      </c>
      <c r="H59" s="32">
        <v>0</v>
      </c>
    </row>
    <row r="60" spans="2:8" x14ac:dyDescent="0.2">
      <c r="B60" s="32" t="s">
        <v>198</v>
      </c>
      <c r="C60" s="32" t="s">
        <v>199</v>
      </c>
      <c r="D60" s="32">
        <v>107</v>
      </c>
      <c r="E60" s="32">
        <v>0</v>
      </c>
      <c r="F60" s="32">
        <v>200</v>
      </c>
      <c r="G60" s="32">
        <v>1E+30</v>
      </c>
      <c r="H60" s="32">
        <v>93</v>
      </c>
    </row>
    <row r="61" spans="2:8" x14ac:dyDescent="0.2">
      <c r="B61" s="32" t="s">
        <v>201</v>
      </c>
      <c r="C61" s="32" t="s">
        <v>202</v>
      </c>
      <c r="D61" s="32">
        <v>80</v>
      </c>
      <c r="E61" s="32">
        <v>0</v>
      </c>
      <c r="F61" s="32">
        <v>400</v>
      </c>
      <c r="G61" s="32">
        <v>1E+30</v>
      </c>
      <c r="H61" s="32">
        <v>320</v>
      </c>
    </row>
    <row r="62" spans="2:8" x14ac:dyDescent="0.2">
      <c r="B62" s="32" t="s">
        <v>204</v>
      </c>
      <c r="C62" s="32" t="s">
        <v>205</v>
      </c>
      <c r="D62" s="32">
        <v>310</v>
      </c>
      <c r="E62" s="32">
        <v>0.89999999999418012</v>
      </c>
      <c r="F62" s="32">
        <v>310</v>
      </c>
      <c r="G62" s="32">
        <v>76.098878771144172</v>
      </c>
      <c r="H62" s="32">
        <v>123.9011212288558</v>
      </c>
    </row>
    <row r="63" spans="2:8" x14ac:dyDescent="0.2">
      <c r="B63" s="32" t="s">
        <v>207</v>
      </c>
      <c r="C63" s="32" t="s">
        <v>208</v>
      </c>
      <c r="D63" s="32">
        <v>0</v>
      </c>
      <c r="E63" s="32">
        <v>0</v>
      </c>
      <c r="F63" s="32">
        <v>470</v>
      </c>
      <c r="G63" s="32">
        <v>1E+30</v>
      </c>
      <c r="H63" s="32">
        <v>470</v>
      </c>
    </row>
    <row r="64" spans="2:8" x14ac:dyDescent="0.2">
      <c r="B64" s="32" t="s">
        <v>103</v>
      </c>
      <c r="C64" s="32" t="s">
        <v>104</v>
      </c>
      <c r="D64" s="32">
        <v>480</v>
      </c>
      <c r="E64" s="32">
        <v>-9.8000000000029086</v>
      </c>
      <c r="F64" s="32">
        <v>480</v>
      </c>
      <c r="G64" s="32">
        <v>76.098878771144172</v>
      </c>
      <c r="H64" s="32">
        <v>123.9011212288558</v>
      </c>
    </row>
    <row r="65" spans="2:8" x14ac:dyDescent="0.2">
      <c r="B65" s="32" t="s">
        <v>106</v>
      </c>
      <c r="C65" s="32" t="s">
        <v>107</v>
      </c>
      <c r="D65" s="32">
        <v>850</v>
      </c>
      <c r="E65" s="32">
        <v>-24.799999999999269</v>
      </c>
      <c r="F65" s="32">
        <v>850</v>
      </c>
      <c r="G65" s="32">
        <v>76.098878771144172</v>
      </c>
      <c r="H65" s="32">
        <v>123.9011212288558</v>
      </c>
    </row>
    <row r="66" spans="2:8" x14ac:dyDescent="0.2">
      <c r="B66" s="32" t="s">
        <v>109</v>
      </c>
      <c r="C66" s="32" t="s">
        <v>110</v>
      </c>
      <c r="D66" s="32">
        <v>640</v>
      </c>
      <c r="E66" s="32">
        <v>-0.40000000000145297</v>
      </c>
      <c r="F66" s="32">
        <v>640</v>
      </c>
      <c r="G66" s="32">
        <v>76.098878771144172</v>
      </c>
      <c r="H66" s="32">
        <v>123.9011212288558</v>
      </c>
    </row>
    <row r="67" spans="2:8" x14ac:dyDescent="0.2">
      <c r="B67" s="32" t="s">
        <v>112</v>
      </c>
      <c r="C67" s="32" t="s">
        <v>113</v>
      </c>
      <c r="D67" s="32">
        <v>651.0988787711442</v>
      </c>
      <c r="E67" s="32">
        <v>0</v>
      </c>
      <c r="F67" s="32">
        <v>575</v>
      </c>
      <c r="G67" s="32">
        <v>76.098878771144172</v>
      </c>
      <c r="H67" s="32">
        <v>1E+30</v>
      </c>
    </row>
    <row r="68" spans="2:8" x14ac:dyDescent="0.2">
      <c r="B68" s="32" t="s">
        <v>115</v>
      </c>
      <c r="C68" s="32" t="s">
        <v>116</v>
      </c>
      <c r="D68" s="32">
        <v>969.99999999999989</v>
      </c>
      <c r="E68" s="32">
        <v>-6.2999999999992689</v>
      </c>
      <c r="F68" s="32">
        <v>970</v>
      </c>
      <c r="G68" s="32">
        <v>0</v>
      </c>
      <c r="H68" s="32">
        <v>123.9011212288558</v>
      </c>
    </row>
    <row r="69" spans="2:8" x14ac:dyDescent="0.2">
      <c r="B69" s="32" t="s">
        <v>198</v>
      </c>
      <c r="C69" s="32" t="s">
        <v>199</v>
      </c>
      <c r="D69" s="32">
        <v>107</v>
      </c>
      <c r="E69" s="32">
        <v>-10.100000000002179</v>
      </c>
      <c r="F69" s="32">
        <v>107</v>
      </c>
      <c r="G69" s="32">
        <v>76.098878771144172</v>
      </c>
      <c r="H69" s="32">
        <v>107</v>
      </c>
    </row>
    <row r="70" spans="2:8" x14ac:dyDescent="0.2">
      <c r="B70" s="32" t="s">
        <v>201</v>
      </c>
      <c r="C70" s="32" t="s">
        <v>202</v>
      </c>
      <c r="D70" s="32">
        <v>80</v>
      </c>
      <c r="E70" s="32">
        <v>-5.1000000000058563</v>
      </c>
      <c r="F70" s="32">
        <v>80</v>
      </c>
      <c r="G70" s="32">
        <v>76.098878771144115</v>
      </c>
      <c r="H70" s="32">
        <v>80</v>
      </c>
    </row>
    <row r="71" spans="2:8" x14ac:dyDescent="0.2">
      <c r="B71" s="32" t="s">
        <v>204</v>
      </c>
      <c r="C71" s="32" t="s">
        <v>205</v>
      </c>
      <c r="D71" s="32">
        <v>310</v>
      </c>
      <c r="E71" s="32">
        <v>0</v>
      </c>
      <c r="F71" s="32">
        <v>0</v>
      </c>
      <c r="G71" s="32">
        <v>310.00000000000006</v>
      </c>
      <c r="H71" s="32">
        <v>1E+30</v>
      </c>
    </row>
    <row r="72" spans="2:8" x14ac:dyDescent="0.2">
      <c r="B72" s="32" t="s">
        <v>207</v>
      </c>
      <c r="C72" s="32" t="s">
        <v>208</v>
      </c>
      <c r="D72" s="32">
        <v>0</v>
      </c>
      <c r="E72" s="32">
        <v>-7.7999999999992671</v>
      </c>
      <c r="F72" s="32">
        <v>0</v>
      </c>
      <c r="G72" s="32">
        <v>76.098878771144172</v>
      </c>
      <c r="H72" s="32">
        <v>0</v>
      </c>
    </row>
    <row r="73" spans="2:8" x14ac:dyDescent="0.2">
      <c r="B73" s="32" t="s">
        <v>263</v>
      </c>
      <c r="C73" s="32" t="s">
        <v>264</v>
      </c>
      <c r="D73" s="32">
        <v>1000</v>
      </c>
      <c r="E73" s="32">
        <v>7.2367150999937326</v>
      </c>
      <c r="F73" s="32">
        <v>1000</v>
      </c>
      <c r="G73" s="32">
        <v>414.78593432734607</v>
      </c>
      <c r="H73" s="32">
        <v>254.75753745641831</v>
      </c>
    </row>
    <row r="74" spans="2:8" x14ac:dyDescent="0.2">
      <c r="B74" s="32" t="s">
        <v>266</v>
      </c>
      <c r="C74" s="32" t="s">
        <v>267</v>
      </c>
      <c r="D74" s="32">
        <v>1583</v>
      </c>
      <c r="E74" s="32">
        <v>7.9367150999981151</v>
      </c>
      <c r="F74" s="32">
        <v>1583</v>
      </c>
      <c r="G74" s="32">
        <v>414.78593432734584</v>
      </c>
      <c r="H74" s="32">
        <v>254.75753745641836</v>
      </c>
    </row>
    <row r="75" spans="2:8" x14ac:dyDescent="0.2">
      <c r="B75" s="32" t="s">
        <v>269</v>
      </c>
      <c r="C75" s="32" t="s">
        <v>270</v>
      </c>
      <c r="D75" s="32">
        <v>2140</v>
      </c>
      <c r="E75" s="32">
        <v>7.0367151000002908</v>
      </c>
      <c r="F75" s="32">
        <v>2140</v>
      </c>
      <c r="G75" s="32">
        <v>414.78593432734596</v>
      </c>
      <c r="H75" s="32">
        <v>254.75753745641836</v>
      </c>
    </row>
    <row r="76" spans="2:8" x14ac:dyDescent="0.2">
      <c r="B76" s="32" t="s">
        <v>272</v>
      </c>
      <c r="C76" s="32" t="s">
        <v>273</v>
      </c>
      <c r="D76" s="32">
        <v>1370</v>
      </c>
      <c r="E76" s="32">
        <v>10.136715099995193</v>
      </c>
      <c r="F76" s="32">
        <v>1370</v>
      </c>
      <c r="G76" s="32">
        <v>414.7859343273459</v>
      </c>
      <c r="H76" s="32">
        <v>254.75753745641836</v>
      </c>
    </row>
    <row r="77" spans="2:8" x14ac:dyDescent="0.2">
      <c r="B77" s="32" t="s">
        <v>275</v>
      </c>
      <c r="C77" s="32" t="s">
        <v>276</v>
      </c>
      <c r="D77" s="32">
        <v>2000</v>
      </c>
      <c r="E77" s="32">
        <v>9.0367150999930121</v>
      </c>
      <c r="F77" s="32">
        <v>2000</v>
      </c>
      <c r="G77" s="32">
        <v>414.78593432734567</v>
      </c>
      <c r="H77" s="32">
        <v>254.75753745641816</v>
      </c>
    </row>
    <row r="78" spans="2:8" x14ac:dyDescent="0.2">
      <c r="B78" s="32" t="s">
        <v>278</v>
      </c>
      <c r="C78" s="32" t="s">
        <v>279</v>
      </c>
      <c r="D78" s="32">
        <v>1849.9999999999998</v>
      </c>
      <c r="E78" s="32">
        <v>9.7367150999973724</v>
      </c>
      <c r="F78" s="32">
        <v>1850</v>
      </c>
      <c r="G78" s="32">
        <v>414.78593432734584</v>
      </c>
      <c r="H78" s="32">
        <v>254.75753745641831</v>
      </c>
    </row>
    <row r="79" spans="2:8" x14ac:dyDescent="0.2">
      <c r="B79" s="32" t="s">
        <v>281</v>
      </c>
      <c r="C79" s="32" t="s">
        <v>282</v>
      </c>
      <c r="D79" s="32">
        <v>1260</v>
      </c>
      <c r="E79" s="32">
        <v>15.936715100001752</v>
      </c>
      <c r="F79" s="32">
        <v>1260</v>
      </c>
      <c r="G79" s="32">
        <v>414.7859343273459</v>
      </c>
      <c r="H79" s="32">
        <v>254.75753745641842</v>
      </c>
    </row>
    <row r="80" spans="2:8" ht="13.5" thickBot="1" x14ac:dyDescent="0.25">
      <c r="B80" s="31" t="s">
        <v>284</v>
      </c>
      <c r="C80" s="31" t="s">
        <v>285</v>
      </c>
      <c r="D80" s="31">
        <v>1700</v>
      </c>
      <c r="E80" s="31">
        <v>9.5367151000002863</v>
      </c>
      <c r="F80" s="31">
        <v>1700</v>
      </c>
      <c r="G80" s="31">
        <v>414.7859343273459</v>
      </c>
      <c r="H80" s="31">
        <v>254.75753745641836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showGridLines="0" zoomScaleNormal="100" workbookViewId="0">
      <selection activeCell="D61" sqref="D61"/>
    </sheetView>
  </sheetViews>
  <sheetFormatPr defaultColWidth="8.85546875" defaultRowHeight="12.75" x14ac:dyDescent="0.2"/>
  <cols>
    <col min="1" max="1" width="30.7109375" customWidth="1"/>
    <col min="2" max="5" width="11.7109375" customWidth="1"/>
    <col min="7" max="7" width="21.42578125" customWidth="1"/>
    <col min="8" max="8" width="21" customWidth="1"/>
    <col min="9" max="9" width="15.42578125" customWidth="1"/>
    <col min="10" max="10" width="13.7109375" customWidth="1"/>
    <col min="11" max="11" width="15.140625" customWidth="1"/>
    <col min="12" max="12" width="27.140625" customWidth="1"/>
    <col min="13" max="13" width="26.140625" customWidth="1"/>
    <col min="14" max="14" width="27.140625" customWidth="1"/>
    <col min="15" max="15" width="26" customWidth="1"/>
  </cols>
  <sheetData>
    <row r="1" spans="1:15" x14ac:dyDescent="0.2">
      <c r="A1" s="1" t="s">
        <v>0</v>
      </c>
    </row>
    <row r="2" spans="1:15" x14ac:dyDescent="0.2">
      <c r="H2" s="104" t="s">
        <v>55</v>
      </c>
      <c r="I2" s="104"/>
      <c r="J2" s="104"/>
      <c r="K2" s="104"/>
      <c r="L2" s="104"/>
    </row>
    <row r="3" spans="1:15" x14ac:dyDescent="0.2">
      <c r="H3" s="104"/>
      <c r="I3" s="104"/>
      <c r="J3" s="104"/>
      <c r="K3" s="104"/>
      <c r="L3" s="104"/>
    </row>
    <row r="4" spans="1:15" x14ac:dyDescent="0.2">
      <c r="A4" s="1" t="s">
        <v>1</v>
      </c>
      <c r="C4" t="s">
        <v>304</v>
      </c>
      <c r="D4" s="86">
        <v>0</v>
      </c>
      <c r="H4" s="104"/>
      <c r="I4" s="104"/>
      <c r="J4" s="104"/>
      <c r="K4" s="104"/>
      <c r="L4" s="104"/>
    </row>
    <row r="5" spans="1:15" x14ac:dyDescent="0.2">
      <c r="B5" s="28" t="s">
        <v>2</v>
      </c>
      <c r="C5" s="3"/>
      <c r="D5" s="105" t="s">
        <v>3</v>
      </c>
      <c r="E5" s="105"/>
    </row>
    <row r="6" spans="1:15" x14ac:dyDescent="0.2">
      <c r="A6" t="s">
        <v>4</v>
      </c>
      <c r="B6" s="29" t="s">
        <v>5</v>
      </c>
      <c r="C6" s="3" t="s">
        <v>6</v>
      </c>
      <c r="D6" s="3" t="s">
        <v>7</v>
      </c>
      <c r="E6" s="2" t="s">
        <v>8</v>
      </c>
      <c r="H6" s="24" t="s">
        <v>56</v>
      </c>
      <c r="I6" s="17"/>
    </row>
    <row r="7" spans="1:15" ht="15" customHeight="1" x14ac:dyDescent="0.2">
      <c r="B7" s="30" t="s">
        <v>9</v>
      </c>
      <c r="C7" s="4" t="s">
        <v>10</v>
      </c>
      <c r="D7" s="4" t="s">
        <v>10</v>
      </c>
      <c r="E7" s="4" t="s">
        <v>10</v>
      </c>
      <c r="H7" s="40" t="s">
        <v>57</v>
      </c>
      <c r="I7" s="41" t="s">
        <v>59</v>
      </c>
      <c r="J7" s="41" t="s">
        <v>60</v>
      </c>
      <c r="K7" s="43" t="s">
        <v>228</v>
      </c>
      <c r="L7" s="44" t="s">
        <v>61</v>
      </c>
      <c r="M7" s="63" t="s">
        <v>227</v>
      </c>
      <c r="N7" s="115" t="s">
        <v>225</v>
      </c>
      <c r="O7" s="116"/>
    </row>
    <row r="8" spans="1:15" x14ac:dyDescent="0.2">
      <c r="A8" s="6" t="s">
        <v>11</v>
      </c>
      <c r="B8" s="22">
        <v>1000</v>
      </c>
      <c r="C8" s="7">
        <v>25.2</v>
      </c>
      <c r="D8" s="7">
        <v>5</v>
      </c>
      <c r="E8" s="7">
        <v>11.6</v>
      </c>
      <c r="H8" s="6" t="s">
        <v>11</v>
      </c>
      <c r="I8" s="35">
        <v>1000</v>
      </c>
      <c r="J8" s="35">
        <v>0</v>
      </c>
      <c r="K8" s="37">
        <f>I8+J8</f>
        <v>1000</v>
      </c>
      <c r="L8" s="36">
        <f>K8*C8+(I8*D8+J8*E8)*(1+$D$4)*55%+(I8*D8+J8*E8)*45%</f>
        <v>30200</v>
      </c>
      <c r="M8" s="19">
        <v>1000</v>
      </c>
      <c r="N8" s="117"/>
      <c r="O8" s="118"/>
    </row>
    <row r="9" spans="1:15" x14ac:dyDescent="0.2">
      <c r="A9" s="6" t="s">
        <v>12</v>
      </c>
      <c r="B9" s="22">
        <v>1583</v>
      </c>
      <c r="C9" s="7">
        <v>24.5</v>
      </c>
      <c r="D9" s="7">
        <v>5</v>
      </c>
      <c r="E9" s="7">
        <v>13.7</v>
      </c>
      <c r="H9" s="6" t="s">
        <v>12</v>
      </c>
      <c r="I9" s="35">
        <v>1583</v>
      </c>
      <c r="J9" s="35">
        <v>0</v>
      </c>
      <c r="K9" s="37">
        <f t="shared" ref="K9:K15" si="0">I9+J9</f>
        <v>1583</v>
      </c>
      <c r="L9" s="36">
        <f>K9*C9+(I9*D9+J9*E9)*(1+$D$4)*55%+(I9*D9+J9*E9)*45%</f>
        <v>46698.5</v>
      </c>
      <c r="M9" s="19">
        <v>1583</v>
      </c>
      <c r="N9" s="117"/>
      <c r="O9" s="118"/>
    </row>
    <row r="10" spans="1:15" x14ac:dyDescent="0.2">
      <c r="A10" s="5" t="s">
        <v>13</v>
      </c>
      <c r="B10" s="22">
        <v>2140</v>
      </c>
      <c r="C10" s="7">
        <v>25.5</v>
      </c>
      <c r="D10" s="7">
        <v>19.600000000000001</v>
      </c>
      <c r="E10" s="7">
        <v>11.5</v>
      </c>
      <c r="H10" s="6" t="s">
        <v>13</v>
      </c>
      <c r="I10" s="35">
        <v>0</v>
      </c>
      <c r="J10" s="35">
        <v>2140</v>
      </c>
      <c r="K10" s="37">
        <f t="shared" si="0"/>
        <v>2140</v>
      </c>
      <c r="L10" s="36">
        <f t="shared" ref="L10:L15" si="1">K10*C10+(I10*D10+J10*E10)*(1+$D$4)*55%+(I10*D10+J10*E10)*45%</f>
        <v>79180</v>
      </c>
      <c r="M10" s="19">
        <v>2140</v>
      </c>
      <c r="N10" s="119"/>
      <c r="O10" s="120"/>
    </row>
    <row r="11" spans="1:15" x14ac:dyDescent="0.2">
      <c r="A11" s="5" t="s">
        <v>14</v>
      </c>
      <c r="B11" s="22">
        <v>1370</v>
      </c>
      <c r="C11" s="7">
        <v>23.3</v>
      </c>
      <c r="D11" s="7">
        <v>4</v>
      </c>
      <c r="E11" s="7">
        <v>10.6</v>
      </c>
      <c r="H11" s="6" t="s">
        <v>14</v>
      </c>
      <c r="I11" s="35">
        <v>1369.9999999999995</v>
      </c>
      <c r="J11" s="35">
        <v>0</v>
      </c>
      <c r="K11" s="37">
        <f t="shared" si="0"/>
        <v>1369.9999999999995</v>
      </c>
      <c r="L11" s="36">
        <f t="shared" si="1"/>
        <v>37400.999999999985</v>
      </c>
      <c r="M11" s="19">
        <v>1370</v>
      </c>
    </row>
    <row r="12" spans="1:15" x14ac:dyDescent="0.2">
      <c r="A12" s="5" t="s">
        <v>15</v>
      </c>
      <c r="B12" s="22">
        <v>2000</v>
      </c>
      <c r="C12" s="7">
        <v>24.2</v>
      </c>
      <c r="D12" s="7">
        <v>4.2</v>
      </c>
      <c r="E12" s="7">
        <v>12.1</v>
      </c>
      <c r="H12" s="6" t="s">
        <v>15</v>
      </c>
      <c r="I12" s="35">
        <v>2000</v>
      </c>
      <c r="J12" s="35">
        <v>0</v>
      </c>
      <c r="K12" s="37">
        <f t="shared" si="0"/>
        <v>2000</v>
      </c>
      <c r="L12" s="36">
        <f t="shared" si="1"/>
        <v>56800</v>
      </c>
      <c r="M12" s="19">
        <v>2000</v>
      </c>
    </row>
    <row r="13" spans="1:15" x14ac:dyDescent="0.2">
      <c r="A13" s="5" t="s">
        <v>16</v>
      </c>
      <c r="B13" s="22">
        <v>1850</v>
      </c>
      <c r="C13" s="7">
        <v>23.3</v>
      </c>
      <c r="D13" s="7">
        <v>7.65</v>
      </c>
      <c r="E13" s="7">
        <v>11</v>
      </c>
      <c r="H13" s="6" t="s">
        <v>16</v>
      </c>
      <c r="I13" s="35">
        <v>1850</v>
      </c>
      <c r="J13" s="35">
        <v>0</v>
      </c>
      <c r="K13" s="37">
        <f t="shared" si="0"/>
        <v>1850</v>
      </c>
      <c r="L13" s="36">
        <f t="shared" si="1"/>
        <v>57257.5</v>
      </c>
      <c r="M13" s="19">
        <v>1850</v>
      </c>
    </row>
    <row r="14" spans="1:15" x14ac:dyDescent="0.2">
      <c r="A14" s="5" t="s">
        <v>17</v>
      </c>
      <c r="B14" s="22">
        <v>1260</v>
      </c>
      <c r="C14" s="7">
        <v>23.3</v>
      </c>
      <c r="D14" s="7">
        <v>14.7</v>
      </c>
      <c r="E14" s="7">
        <v>4.8</v>
      </c>
      <c r="H14" s="6" t="s">
        <v>17</v>
      </c>
      <c r="I14" s="35">
        <v>0</v>
      </c>
      <c r="J14" s="35">
        <v>1260</v>
      </c>
      <c r="K14" s="37">
        <f t="shared" si="0"/>
        <v>1260</v>
      </c>
      <c r="L14" s="36">
        <f t="shared" si="1"/>
        <v>35406</v>
      </c>
      <c r="M14" s="19">
        <v>1260</v>
      </c>
    </row>
    <row r="15" spans="1:15" x14ac:dyDescent="0.2">
      <c r="A15" s="5" t="s">
        <v>18</v>
      </c>
      <c r="B15" s="22">
        <v>1700</v>
      </c>
      <c r="C15" s="7">
        <v>24.2</v>
      </c>
      <c r="D15" s="7">
        <v>16.3</v>
      </c>
      <c r="E15" s="7">
        <v>10.3</v>
      </c>
      <c r="H15" s="46" t="s">
        <v>18</v>
      </c>
      <c r="I15" s="47">
        <v>449.82631038026676</v>
      </c>
      <c r="J15" s="47">
        <v>1250.1736896197333</v>
      </c>
      <c r="K15" s="37">
        <f t="shared" si="0"/>
        <v>1700</v>
      </c>
      <c r="L15" s="36">
        <f t="shared" si="1"/>
        <v>61348.957862281597</v>
      </c>
      <c r="M15" s="19">
        <v>1700</v>
      </c>
    </row>
    <row r="16" spans="1:15" x14ac:dyDescent="0.2">
      <c r="H16" s="24" t="s">
        <v>77</v>
      </c>
      <c r="I16" s="34"/>
      <c r="J16" s="34"/>
      <c r="K16" s="34"/>
      <c r="L16" s="45">
        <f>SUM(L8:L15)</f>
        <v>404291.95786228159</v>
      </c>
    </row>
    <row r="17" spans="1:15" x14ac:dyDescent="0.2">
      <c r="C17">
        <v>0</v>
      </c>
      <c r="D17" s="7">
        <v>15.3</v>
      </c>
      <c r="E17" s="7">
        <v>13.1</v>
      </c>
      <c r="I17" s="70"/>
      <c r="J17" s="70"/>
      <c r="K17" s="37">
        <f>I17+J17</f>
        <v>0</v>
      </c>
      <c r="L17" s="71">
        <f>I17*D17+E17*J17+K17*C17</f>
        <v>0</v>
      </c>
    </row>
    <row r="18" spans="1:15" x14ac:dyDescent="0.2">
      <c r="A18" s="1" t="s">
        <v>19</v>
      </c>
      <c r="H18" s="51" t="s">
        <v>62</v>
      </c>
      <c r="I18" s="51"/>
      <c r="J18" s="59" t="s">
        <v>63</v>
      </c>
      <c r="K18" s="59" t="s">
        <v>64</v>
      </c>
      <c r="L18" s="43" t="s">
        <v>72</v>
      </c>
      <c r="M18" s="43" t="s">
        <v>229</v>
      </c>
      <c r="N18" s="43" t="s">
        <v>230</v>
      </c>
      <c r="O18" s="43" t="s">
        <v>231</v>
      </c>
    </row>
    <row r="19" spans="1:15" x14ac:dyDescent="0.2">
      <c r="B19" s="14" t="s">
        <v>7</v>
      </c>
      <c r="C19" s="15" t="s">
        <v>8</v>
      </c>
      <c r="H19" s="50" t="s">
        <v>65</v>
      </c>
      <c r="I19" s="19"/>
      <c r="J19" s="36">
        <f>SUM(I8:I15)*(1-B21)</f>
        <v>8030</v>
      </c>
      <c r="K19" s="36">
        <f>SUM(J8:J15)*(1-C21)</f>
        <v>4524.6190000000006</v>
      </c>
      <c r="L19" s="19">
        <f>B33*B37</f>
        <v>4015</v>
      </c>
      <c r="M19" s="20">
        <f>C33*C37</f>
        <v>4390</v>
      </c>
      <c r="N19" s="20">
        <f>B33*B38</f>
        <v>8030</v>
      </c>
      <c r="O19" s="20">
        <f>C33*C38</f>
        <v>8780</v>
      </c>
    </row>
    <row r="20" spans="1:15" x14ac:dyDescent="0.2">
      <c r="A20" s="5" t="s">
        <v>20</v>
      </c>
      <c r="H20" s="1" t="s">
        <v>66</v>
      </c>
      <c r="J20" s="36">
        <f>$J$19*B24</f>
        <v>2842.62</v>
      </c>
      <c r="K20" s="36">
        <f>$K$19*C24</f>
        <v>1389.0580330000003</v>
      </c>
    </row>
    <row r="21" spans="1:15" x14ac:dyDescent="0.2">
      <c r="A21" t="s">
        <v>21</v>
      </c>
      <c r="B21" s="8">
        <v>2.7E-2</v>
      </c>
      <c r="C21" s="8">
        <v>2.7E-2</v>
      </c>
      <c r="H21" s="50" t="s">
        <v>67</v>
      </c>
      <c r="J21" s="36">
        <f>$J$19*B25</f>
        <v>3228.0600000000004</v>
      </c>
      <c r="K21" s="36">
        <f>$K$19*C25</f>
        <v>2063.2262640000004</v>
      </c>
      <c r="M21" s="20">
        <f>B34</f>
        <v>4000</v>
      </c>
      <c r="O21" s="20">
        <f>C34</f>
        <v>4000</v>
      </c>
    </row>
    <row r="22" spans="1:15" x14ac:dyDescent="0.2">
      <c r="H22" s="51" t="s">
        <v>68</v>
      </c>
      <c r="I22" s="26"/>
      <c r="J22" s="38">
        <f>$J$19*B26</f>
        <v>1959.32</v>
      </c>
      <c r="K22" s="38">
        <f>$K$19*C26</f>
        <v>1072.3347030000004</v>
      </c>
    </row>
    <row r="23" spans="1:15" x14ac:dyDescent="0.2">
      <c r="A23" s="5" t="s">
        <v>22</v>
      </c>
      <c r="H23" s="54" t="s">
        <v>82</v>
      </c>
      <c r="J23" s="36"/>
      <c r="K23" s="36"/>
    </row>
    <row r="24" spans="1:15" x14ac:dyDescent="0.2">
      <c r="A24" t="s">
        <v>23</v>
      </c>
      <c r="B24" s="8">
        <v>0.35399999999999998</v>
      </c>
      <c r="C24" s="8">
        <v>0.307</v>
      </c>
      <c r="H24" s="1" t="s">
        <v>69</v>
      </c>
      <c r="J24" s="36">
        <f>$J$19*B29</f>
        <v>248930</v>
      </c>
      <c r="K24" s="36">
        <f>$K$19*C29</f>
        <v>171935.52200000003</v>
      </c>
    </row>
    <row r="25" spans="1:15" ht="13.5" thickBot="1" x14ac:dyDescent="0.25">
      <c r="A25" t="s">
        <v>24</v>
      </c>
      <c r="B25" s="8">
        <v>0.40200000000000002</v>
      </c>
      <c r="C25" s="8">
        <v>0.45600000000000002</v>
      </c>
      <c r="H25" s="52" t="s">
        <v>70</v>
      </c>
      <c r="I25" s="53"/>
      <c r="J25" s="49">
        <f>B30</f>
        <v>10000</v>
      </c>
      <c r="K25" s="49">
        <f>C30</f>
        <v>14200</v>
      </c>
    </row>
    <row r="26" spans="1:15" x14ac:dyDescent="0.2">
      <c r="A26" t="s">
        <v>54</v>
      </c>
      <c r="B26" s="8">
        <f>1-B24-B25</f>
        <v>0.24399999999999999</v>
      </c>
      <c r="C26" s="8">
        <f>1-C24-C25</f>
        <v>0.23700000000000004</v>
      </c>
      <c r="H26" s="27" t="s">
        <v>71</v>
      </c>
      <c r="I26" s="25"/>
      <c r="J26" s="55">
        <f>SUM(J24:J25)</f>
        <v>258930</v>
      </c>
      <c r="K26" s="55">
        <f>SUM(K24:K25)</f>
        <v>186135.52200000003</v>
      </c>
    </row>
    <row r="28" spans="1:15" x14ac:dyDescent="0.2">
      <c r="A28" t="s">
        <v>25</v>
      </c>
      <c r="H28" s="1" t="s">
        <v>73</v>
      </c>
    </row>
    <row r="29" spans="1:15" x14ac:dyDescent="0.2">
      <c r="A29" s="16" t="s">
        <v>53</v>
      </c>
      <c r="B29" s="9">
        <v>31</v>
      </c>
      <c r="C29" s="9">
        <v>38</v>
      </c>
      <c r="H29" s="51" t="s">
        <v>74</v>
      </c>
      <c r="I29" s="41" t="s">
        <v>78</v>
      </c>
      <c r="J29" s="41" t="s">
        <v>79</v>
      </c>
      <c r="K29" s="43" t="s">
        <v>77</v>
      </c>
      <c r="L29" s="43" t="s">
        <v>75</v>
      </c>
      <c r="M29" s="43" t="s">
        <v>76</v>
      </c>
      <c r="N29" s="42" t="s">
        <v>83</v>
      </c>
    </row>
    <row r="30" spans="1:15" x14ac:dyDescent="0.2">
      <c r="A30" s="5" t="s">
        <v>26</v>
      </c>
      <c r="B30" s="9">
        <v>10000</v>
      </c>
      <c r="C30" s="9">
        <v>14200</v>
      </c>
      <c r="H30" s="5" t="s">
        <v>39</v>
      </c>
      <c r="I30" s="35">
        <v>480</v>
      </c>
      <c r="J30" s="35">
        <v>0</v>
      </c>
      <c r="K30" s="37">
        <f>I30+J30</f>
        <v>480</v>
      </c>
      <c r="L30" s="37">
        <v>480</v>
      </c>
      <c r="M30" s="37">
        <v>900</v>
      </c>
      <c r="N30" s="36">
        <f>(I30*D46+J30*E46)*(1+$D$4)*45%+(I30*D46+J30*E46)*55%</f>
        <v>12480</v>
      </c>
    </row>
    <row r="31" spans="1:15" x14ac:dyDescent="0.2">
      <c r="H31" t="s">
        <v>40</v>
      </c>
      <c r="I31" s="35">
        <v>0</v>
      </c>
      <c r="J31" s="35">
        <v>850</v>
      </c>
      <c r="K31" s="37">
        <f t="shared" ref="K31:K38" si="2">I31+J31</f>
        <v>850</v>
      </c>
      <c r="L31" s="37">
        <v>850</v>
      </c>
      <c r="M31" s="37">
        <v>1150</v>
      </c>
      <c r="N31" s="36">
        <f t="shared" ref="N31:N38" si="3">(I31*D47+J31*E47)*(1+$D$4)*45%+(I31*D47+J31*E47)*55%</f>
        <v>26945</v>
      </c>
    </row>
    <row r="32" spans="1:15" x14ac:dyDescent="0.2">
      <c r="A32" s="21" t="s">
        <v>27</v>
      </c>
      <c r="B32" s="22"/>
      <c r="C32" s="22"/>
      <c r="H32" t="s">
        <v>41</v>
      </c>
      <c r="I32" s="35">
        <v>659.67803299999991</v>
      </c>
      <c r="J32" s="35">
        <v>0</v>
      </c>
      <c r="K32" s="37">
        <f t="shared" si="2"/>
        <v>659.67803299999991</v>
      </c>
      <c r="L32" s="37">
        <v>640</v>
      </c>
      <c r="M32" s="37">
        <v>800</v>
      </c>
      <c r="N32" s="36">
        <f t="shared" si="3"/>
        <v>10950.655347799999</v>
      </c>
    </row>
    <row r="33" spans="1:15" x14ac:dyDescent="0.2">
      <c r="A33" s="21" t="s">
        <v>28</v>
      </c>
      <c r="B33" s="23">
        <v>8030</v>
      </c>
      <c r="C33" s="23">
        <v>8780</v>
      </c>
      <c r="H33" t="s">
        <v>42</v>
      </c>
      <c r="I33" s="35">
        <v>774.99999999999989</v>
      </c>
      <c r="J33" s="35">
        <v>0</v>
      </c>
      <c r="K33" s="37">
        <f t="shared" si="2"/>
        <v>774.99999999999989</v>
      </c>
      <c r="L33" s="37">
        <v>575</v>
      </c>
      <c r="M33" s="37">
        <v>775</v>
      </c>
      <c r="N33" s="36">
        <f t="shared" si="3"/>
        <v>12555</v>
      </c>
    </row>
    <row r="34" spans="1:15" x14ac:dyDescent="0.2">
      <c r="A34" s="22" t="s">
        <v>29</v>
      </c>
      <c r="B34" s="23">
        <v>4000</v>
      </c>
      <c r="C34" s="23">
        <v>4000</v>
      </c>
      <c r="H34" t="s">
        <v>43</v>
      </c>
      <c r="I34" s="35">
        <v>430.94196699999964</v>
      </c>
      <c r="J34" s="35">
        <v>539.05803300000002</v>
      </c>
      <c r="K34" s="37">
        <f t="shared" si="2"/>
        <v>969.99999999999966</v>
      </c>
      <c r="L34" s="37">
        <v>970</v>
      </c>
      <c r="M34" s="37">
        <v>970</v>
      </c>
      <c r="N34" s="36">
        <f t="shared" si="3"/>
        <v>17673.644227099991</v>
      </c>
    </row>
    <row r="35" spans="1:15" x14ac:dyDescent="0.2">
      <c r="A35" s="22"/>
      <c r="B35" s="22"/>
      <c r="C35" s="22"/>
      <c r="H35" s="5" t="s">
        <v>44</v>
      </c>
      <c r="I35" s="35">
        <v>107</v>
      </c>
      <c r="J35" s="35">
        <v>0</v>
      </c>
      <c r="K35" s="37">
        <f t="shared" si="2"/>
        <v>107</v>
      </c>
      <c r="L35" s="37">
        <v>107</v>
      </c>
      <c r="M35" s="37">
        <v>200</v>
      </c>
      <c r="N35" s="36">
        <f t="shared" si="3"/>
        <v>2814.1000000000004</v>
      </c>
    </row>
    <row r="36" spans="1:15" x14ac:dyDescent="0.2">
      <c r="A36" t="s">
        <v>30</v>
      </c>
      <c r="H36" t="s">
        <v>45</v>
      </c>
      <c r="I36" s="35">
        <v>79.999999999999972</v>
      </c>
      <c r="J36" s="35">
        <v>0</v>
      </c>
      <c r="K36" s="37">
        <f t="shared" si="2"/>
        <v>79.999999999999972</v>
      </c>
      <c r="L36" s="37">
        <v>80</v>
      </c>
      <c r="M36" s="37">
        <v>400</v>
      </c>
      <c r="N36" s="36">
        <f t="shared" si="3"/>
        <v>1703.9999999999995</v>
      </c>
    </row>
    <row r="37" spans="1:15" x14ac:dyDescent="0.2">
      <c r="A37" t="s">
        <v>31</v>
      </c>
      <c r="B37" s="10">
        <v>0.5</v>
      </c>
      <c r="C37" s="10">
        <v>0.5</v>
      </c>
      <c r="H37" t="s">
        <v>46</v>
      </c>
      <c r="I37" s="35">
        <v>310</v>
      </c>
      <c r="J37" s="35">
        <v>0</v>
      </c>
      <c r="K37" s="37">
        <f t="shared" si="2"/>
        <v>310</v>
      </c>
      <c r="L37" s="37">
        <v>0</v>
      </c>
      <c r="M37" s="37">
        <v>310</v>
      </c>
      <c r="N37" s="36">
        <f t="shared" si="3"/>
        <v>4743</v>
      </c>
    </row>
    <row r="38" spans="1:15" x14ac:dyDescent="0.2">
      <c r="A38" t="s">
        <v>32</v>
      </c>
      <c r="B38" s="10">
        <v>1</v>
      </c>
      <c r="C38" s="10">
        <v>1</v>
      </c>
      <c r="H38" s="26" t="s">
        <v>47</v>
      </c>
      <c r="I38" s="47">
        <v>0</v>
      </c>
      <c r="J38" s="47">
        <v>0</v>
      </c>
      <c r="K38" s="48">
        <f t="shared" si="2"/>
        <v>0</v>
      </c>
      <c r="L38" s="48">
        <v>0</v>
      </c>
      <c r="M38" s="48">
        <v>470</v>
      </c>
      <c r="N38" s="36">
        <f t="shared" si="3"/>
        <v>0</v>
      </c>
    </row>
    <row r="39" spans="1:15" x14ac:dyDescent="0.2">
      <c r="B39" s="10"/>
      <c r="C39" s="10"/>
      <c r="H39" s="54" t="s">
        <v>77</v>
      </c>
      <c r="I39" s="57">
        <f>SUM(I30:I38)</f>
        <v>2842.6199999999994</v>
      </c>
      <c r="J39" s="57">
        <f>SUM(J30:J38)</f>
        <v>1389.058033</v>
      </c>
      <c r="K39" s="57">
        <f>SUM(K30:K38)</f>
        <v>4231.6780329999992</v>
      </c>
      <c r="L39" s="36"/>
      <c r="M39" s="36"/>
      <c r="N39" s="45">
        <f>SUM(N30:N38)</f>
        <v>89865.399574899988</v>
      </c>
    </row>
    <row r="40" spans="1:15" x14ac:dyDescent="0.2">
      <c r="H40" s="50" t="s">
        <v>80</v>
      </c>
      <c r="I40" s="58">
        <f>J20</f>
        <v>2842.62</v>
      </c>
      <c r="J40" s="58">
        <f>K20</f>
        <v>1389.0580330000003</v>
      </c>
      <c r="K40" s="56"/>
      <c r="L40" s="36"/>
      <c r="M40" s="36"/>
      <c r="N40" s="36"/>
    </row>
    <row r="41" spans="1:15" x14ac:dyDescent="0.2">
      <c r="A41" s="1" t="s">
        <v>33</v>
      </c>
    </row>
    <row r="42" spans="1:15" x14ac:dyDescent="0.2">
      <c r="H42" s="1" t="s">
        <v>84</v>
      </c>
    </row>
    <row r="43" spans="1:15" ht="12.75" customHeight="1" x14ac:dyDescent="0.2">
      <c r="B43" s="2" t="s">
        <v>34</v>
      </c>
      <c r="C43" s="2" t="s">
        <v>35</v>
      </c>
      <c r="D43" s="105" t="s">
        <v>36</v>
      </c>
      <c r="E43" s="105"/>
      <c r="H43" s="51" t="s">
        <v>85</v>
      </c>
      <c r="I43" s="51" t="s">
        <v>58</v>
      </c>
      <c r="J43" s="51" t="s">
        <v>89</v>
      </c>
      <c r="K43" s="51" t="s">
        <v>85</v>
      </c>
      <c r="M43" s="106" t="s">
        <v>226</v>
      </c>
      <c r="N43" s="107"/>
      <c r="O43" s="108"/>
    </row>
    <row r="44" spans="1:15" ht="12.75" customHeight="1" x14ac:dyDescent="0.2">
      <c r="A44" s="5" t="s">
        <v>37</v>
      </c>
      <c r="B44" s="3" t="s">
        <v>5</v>
      </c>
      <c r="C44" s="2" t="s">
        <v>38</v>
      </c>
      <c r="D44" s="3" t="s">
        <v>7</v>
      </c>
      <c r="E44" s="2" t="s">
        <v>8</v>
      </c>
      <c r="H44" s="18" t="s">
        <v>86</v>
      </c>
      <c r="I44" s="36">
        <f>J21</f>
        <v>3228.0600000000004</v>
      </c>
      <c r="J44" s="36">
        <f>B61</f>
        <v>200</v>
      </c>
      <c r="K44" s="36">
        <f>I44*J44</f>
        <v>645612.00000000012</v>
      </c>
      <c r="M44" s="109"/>
      <c r="N44" s="110"/>
      <c r="O44" s="111"/>
    </row>
    <row r="45" spans="1:15" ht="12.75" customHeight="1" x14ac:dyDescent="0.2">
      <c r="A45" s="11"/>
      <c r="B45" s="12" t="s">
        <v>9</v>
      </c>
      <c r="C45" s="12" t="s">
        <v>9</v>
      </c>
      <c r="D45" s="4" t="s">
        <v>10</v>
      </c>
      <c r="E45" s="4" t="s">
        <v>10</v>
      </c>
      <c r="H45" s="39" t="s">
        <v>87</v>
      </c>
      <c r="I45" s="60">
        <f>K21</f>
        <v>2063.2262640000004</v>
      </c>
      <c r="J45" s="36">
        <f>B62</f>
        <v>150</v>
      </c>
      <c r="K45" s="36">
        <f>I45*J45</f>
        <v>309483.93960000004</v>
      </c>
      <c r="M45" s="109"/>
      <c r="N45" s="110"/>
      <c r="O45" s="111"/>
    </row>
    <row r="46" spans="1:15" ht="12.75" customHeight="1" x14ac:dyDescent="0.2">
      <c r="A46" s="5" t="s">
        <v>39</v>
      </c>
      <c r="B46">
        <v>480</v>
      </c>
      <c r="C46">
        <v>900</v>
      </c>
      <c r="D46" s="7">
        <v>26</v>
      </c>
      <c r="E46" s="7">
        <v>30.1</v>
      </c>
      <c r="G46" s="5"/>
      <c r="H46" s="6" t="s">
        <v>88</v>
      </c>
      <c r="I46" s="60">
        <f>K39</f>
        <v>4231.6780329999992</v>
      </c>
      <c r="J46" s="36">
        <f>B63</f>
        <v>36</v>
      </c>
      <c r="K46" s="36">
        <f>I46*J46</f>
        <v>152340.40918799996</v>
      </c>
      <c r="M46" s="109"/>
      <c r="N46" s="110"/>
      <c r="O46" s="111"/>
    </row>
    <row r="47" spans="1:15" ht="13.5" customHeight="1" thickBot="1" x14ac:dyDescent="0.25">
      <c r="A47" t="s">
        <v>40</v>
      </c>
      <c r="B47">
        <v>850</v>
      </c>
      <c r="C47">
        <v>1150</v>
      </c>
      <c r="D47" s="7">
        <v>51.7</v>
      </c>
      <c r="E47" s="7">
        <v>31.7</v>
      </c>
      <c r="H47" s="18" t="s">
        <v>54</v>
      </c>
      <c r="I47" s="36">
        <f>J22+K22</f>
        <v>3031.6547030000002</v>
      </c>
      <c r="J47" s="36">
        <f>B64</f>
        <v>25</v>
      </c>
      <c r="K47" s="49">
        <f>I47*J47</f>
        <v>75791.367575000011</v>
      </c>
      <c r="M47" s="109"/>
      <c r="N47" s="110"/>
      <c r="O47" s="111"/>
    </row>
    <row r="48" spans="1:15" ht="12.75" customHeight="1" x14ac:dyDescent="0.2">
      <c r="A48" t="s">
        <v>41</v>
      </c>
      <c r="B48">
        <v>640</v>
      </c>
      <c r="C48">
        <v>800</v>
      </c>
      <c r="D48" s="7">
        <v>16.600000000000001</v>
      </c>
      <c r="E48" s="7">
        <v>7.3</v>
      </c>
      <c r="H48" s="51" t="s">
        <v>77</v>
      </c>
      <c r="I48" s="38"/>
      <c r="J48" s="38"/>
      <c r="K48" s="62">
        <f>SUM(K44:K47)</f>
        <v>1183227.7163630002</v>
      </c>
      <c r="M48" s="109"/>
      <c r="N48" s="110"/>
      <c r="O48" s="111"/>
    </row>
    <row r="49" spans="1:15" ht="12.75" customHeight="1" x14ac:dyDescent="0.2">
      <c r="A49" t="s">
        <v>42</v>
      </c>
      <c r="B49">
        <v>575</v>
      </c>
      <c r="C49">
        <v>775</v>
      </c>
      <c r="D49" s="7">
        <v>16.2</v>
      </c>
      <c r="E49" s="7">
        <v>21.5</v>
      </c>
      <c r="H49" s="1" t="s">
        <v>82</v>
      </c>
      <c r="I49" s="36"/>
      <c r="J49" s="36"/>
      <c r="K49" s="36"/>
      <c r="M49" s="109"/>
      <c r="N49" s="110"/>
      <c r="O49" s="111"/>
    </row>
    <row r="50" spans="1:15" ht="12.75" customHeight="1" x14ac:dyDescent="0.2">
      <c r="A50" t="s">
        <v>43</v>
      </c>
      <c r="B50">
        <v>970</v>
      </c>
      <c r="C50">
        <v>970</v>
      </c>
      <c r="D50" s="7">
        <v>24.5</v>
      </c>
      <c r="E50" s="7">
        <v>13.2</v>
      </c>
      <c r="H50" s="16" t="s">
        <v>90</v>
      </c>
      <c r="I50" s="36"/>
      <c r="J50" s="36"/>
      <c r="K50" s="36">
        <f>L16</f>
        <v>404291.95786228159</v>
      </c>
      <c r="M50" s="109"/>
      <c r="N50" s="110"/>
      <c r="O50" s="111"/>
    </row>
    <row r="51" spans="1:15" ht="12.75" customHeight="1" x14ac:dyDescent="0.2">
      <c r="A51" s="5" t="s">
        <v>44</v>
      </c>
      <c r="B51">
        <v>107</v>
      </c>
      <c r="C51">
        <v>200</v>
      </c>
      <c r="D51" s="7">
        <v>26.3</v>
      </c>
      <c r="E51" s="7">
        <v>28</v>
      </c>
      <c r="G51" s="5"/>
      <c r="H51" s="16" t="s">
        <v>62</v>
      </c>
      <c r="I51" s="36"/>
      <c r="J51" s="36"/>
      <c r="K51" s="36">
        <f>J26+K26</f>
        <v>445065.522</v>
      </c>
      <c r="M51" s="109"/>
      <c r="N51" s="110"/>
      <c r="O51" s="111"/>
    </row>
    <row r="52" spans="1:15" ht="13.5" thickBot="1" x14ac:dyDescent="0.25">
      <c r="A52" t="s">
        <v>45</v>
      </c>
      <c r="B52">
        <v>80</v>
      </c>
      <c r="C52">
        <v>400</v>
      </c>
      <c r="D52" s="7">
        <v>21.3</v>
      </c>
      <c r="E52" s="7">
        <v>46.2</v>
      </c>
      <c r="H52" s="16" t="s">
        <v>91</v>
      </c>
      <c r="I52" s="36"/>
      <c r="J52" s="36"/>
      <c r="K52" s="49">
        <f>N39</f>
        <v>89865.399574899988</v>
      </c>
      <c r="M52" s="109"/>
      <c r="N52" s="110"/>
      <c r="O52" s="111"/>
    </row>
    <row r="53" spans="1:15" x14ac:dyDescent="0.2">
      <c r="A53" t="s">
        <v>46</v>
      </c>
      <c r="B53">
        <v>0</v>
      </c>
      <c r="C53">
        <v>310</v>
      </c>
      <c r="D53" s="7">
        <v>15.3</v>
      </c>
      <c r="E53" s="7">
        <v>28.4</v>
      </c>
      <c r="H53" s="51" t="s">
        <v>77</v>
      </c>
      <c r="I53" s="38"/>
      <c r="J53" s="38"/>
      <c r="K53" s="62">
        <f>SUM(K50:K52)</f>
        <v>939222.87943718163</v>
      </c>
      <c r="M53" s="109"/>
      <c r="N53" s="110"/>
      <c r="O53" s="111"/>
    </row>
    <row r="54" spans="1:15" x14ac:dyDescent="0.2">
      <c r="A54" t="s">
        <v>47</v>
      </c>
      <c r="B54">
        <v>0</v>
      </c>
      <c r="C54">
        <v>470</v>
      </c>
      <c r="D54" s="7">
        <v>24.3</v>
      </c>
      <c r="E54" s="7">
        <v>14.7</v>
      </c>
      <c r="I54" s="36"/>
      <c r="J54" s="36"/>
      <c r="K54" s="36"/>
      <c r="M54" s="109"/>
      <c r="N54" s="110"/>
      <c r="O54" s="111"/>
    </row>
    <row r="55" spans="1:15" x14ac:dyDescent="0.2">
      <c r="H55" s="1" t="s">
        <v>92</v>
      </c>
      <c r="I55" s="36"/>
      <c r="J55" s="36"/>
      <c r="K55" s="61">
        <f>K48-K53</f>
        <v>244004.83692581858</v>
      </c>
      <c r="M55" s="109"/>
      <c r="N55" s="110"/>
      <c r="O55" s="111"/>
    </row>
    <row r="56" spans="1:15" x14ac:dyDescent="0.2">
      <c r="M56" s="112"/>
      <c r="N56" s="113"/>
      <c r="O56" s="114"/>
    </row>
    <row r="57" spans="1:15" x14ac:dyDescent="0.2">
      <c r="A57" s="1" t="s">
        <v>48</v>
      </c>
    </row>
    <row r="59" spans="1:15" x14ac:dyDescent="0.2">
      <c r="A59" t="s">
        <v>49</v>
      </c>
      <c r="B59" s="13" t="s">
        <v>6</v>
      </c>
    </row>
    <row r="60" spans="1:15" x14ac:dyDescent="0.2">
      <c r="B60" s="4" t="s">
        <v>10</v>
      </c>
    </row>
    <row r="61" spans="1:15" x14ac:dyDescent="0.2">
      <c r="A61" t="s">
        <v>50</v>
      </c>
      <c r="B61">
        <v>200</v>
      </c>
    </row>
    <row r="62" spans="1:15" x14ac:dyDescent="0.2">
      <c r="A62" s="5" t="s">
        <v>51</v>
      </c>
      <c r="B62">
        <v>150</v>
      </c>
    </row>
    <row r="63" spans="1:15" x14ac:dyDescent="0.2">
      <c r="A63" t="s">
        <v>23</v>
      </c>
      <c r="B63">
        <f>36*(1+$D$4)</f>
        <v>36</v>
      </c>
    </row>
    <row r="64" spans="1:15" x14ac:dyDescent="0.2">
      <c r="A64" t="s">
        <v>52</v>
      </c>
      <c r="B64">
        <v>25</v>
      </c>
    </row>
  </sheetData>
  <mergeCells count="5">
    <mergeCell ref="H2:L4"/>
    <mergeCell ref="N7:O10"/>
    <mergeCell ref="M43:O56"/>
    <mergeCell ref="D5:E5"/>
    <mergeCell ref="D43:E43"/>
  </mergeCells>
  <phoneticPr fontId="3" type="noConversion"/>
  <printOptions headings="1"/>
  <pageMargins left="0.75" right="0.75" top="1" bottom="1" header="0.5" footer="0.5"/>
  <pageSetup orientation="portrait" horizont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562F01736056A9418450DBE423B94E0E" ma:contentTypeVersion="6" ma:contentTypeDescription="新建文档。" ma:contentTypeScope="" ma:versionID="a230aa567657c3ed981d9a45dc35953a">
  <xsd:schema xmlns:xsd="http://www.w3.org/2001/XMLSchema" xmlns:xs="http://www.w3.org/2001/XMLSchema" xmlns:p="http://schemas.microsoft.com/office/2006/metadata/properties" xmlns:ns2="dc9a5737-0e2e-4f03-a46e-54271a91a666" targetNamespace="http://schemas.microsoft.com/office/2006/metadata/properties" ma:root="true" ma:fieldsID="2aaadf10f8500675fd0d2f254914022b" ns2:_="">
    <xsd:import namespace="dc9a5737-0e2e-4f03-a46e-54271a91a6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a5737-0e2e-4f03-a46e-54271a91a6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07C7F3-8E12-4598-9DEC-7C0D2FF5F2FC}"/>
</file>

<file path=customXml/itemProps2.xml><?xml version="1.0" encoding="utf-8"?>
<ds:datastoreItem xmlns:ds="http://schemas.openxmlformats.org/officeDocument/2006/customXml" ds:itemID="{136A71F7-F82B-477E-9BC7-B287CF1FC391}">
  <ds:schemaRefs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dc9a5737-0e2e-4f03-a46e-54271a91a666"/>
    <ds:schemaRef ds:uri="http://schemas.microsoft.com/office/2006/metadata/properti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EDBA43-BF32-47F6-BB7D-408C2A853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44</vt:i4>
      </vt:variant>
    </vt:vector>
  </HeadingPairs>
  <TitlesOfParts>
    <vt:vector size="62" baseType="lpstr">
      <vt:lpstr>Question2</vt:lpstr>
      <vt:lpstr>Question4</vt:lpstr>
      <vt:lpstr>Question4 Model</vt:lpstr>
      <vt:lpstr>Answer Report 2</vt:lpstr>
      <vt:lpstr>Sensitivity Report 2</vt:lpstr>
      <vt:lpstr>Answer Report 3</vt:lpstr>
      <vt:lpstr>Answer Report 1</vt:lpstr>
      <vt:lpstr>Sensitivity Report 1</vt:lpstr>
      <vt:lpstr>Input Data</vt:lpstr>
      <vt:lpstr>STS_1</vt:lpstr>
      <vt:lpstr>STS_2</vt:lpstr>
      <vt:lpstr>STS_3</vt:lpstr>
      <vt:lpstr>STS_4</vt:lpstr>
      <vt:lpstr>STS_5</vt:lpstr>
      <vt:lpstr>STS_6</vt:lpstr>
      <vt:lpstr>STS_7</vt:lpstr>
      <vt:lpstr>STS_9</vt:lpstr>
      <vt:lpstr>STS_10</vt:lpstr>
      <vt:lpstr>Question2!ChartData</vt:lpstr>
      <vt:lpstr>STS_1!ChartData</vt:lpstr>
      <vt:lpstr>STS_10!ChartData</vt:lpstr>
      <vt:lpstr>STS_2!ChartData</vt:lpstr>
      <vt:lpstr>STS_3!ChartData</vt:lpstr>
      <vt:lpstr>STS_4!ChartData</vt:lpstr>
      <vt:lpstr>STS_5!ChartData</vt:lpstr>
      <vt:lpstr>STS_6!ChartData</vt:lpstr>
      <vt:lpstr>STS_7!ChartData</vt:lpstr>
      <vt:lpstr>STS_9!ChartData</vt:lpstr>
      <vt:lpstr>Question2!InputValues</vt:lpstr>
      <vt:lpstr>STS_1!InputValues</vt:lpstr>
      <vt:lpstr>STS_10!InputValues</vt:lpstr>
      <vt:lpstr>STS_2!InputValues</vt:lpstr>
      <vt:lpstr>STS_3!InputValues</vt:lpstr>
      <vt:lpstr>STS_4!InputValues</vt:lpstr>
      <vt:lpstr>STS_5!InputValues</vt:lpstr>
      <vt:lpstr>STS_6!InputValues</vt:lpstr>
      <vt:lpstr>STS_7!InputValues</vt:lpstr>
      <vt:lpstr>STS_9!InputValues</vt:lpstr>
      <vt:lpstr>Question4!InputValues1</vt:lpstr>
      <vt:lpstr>Question4!InputValues2</vt:lpstr>
      <vt:lpstr>Question2!OutputAddresses</vt:lpstr>
      <vt:lpstr>Question4!OutputAddresses</vt:lpstr>
      <vt:lpstr>STS_1!OutputAddresses</vt:lpstr>
      <vt:lpstr>STS_10!OutputAddresses</vt:lpstr>
      <vt:lpstr>STS_2!OutputAddresses</vt:lpstr>
      <vt:lpstr>STS_3!OutputAddresses</vt:lpstr>
      <vt:lpstr>STS_4!OutputAddresses</vt:lpstr>
      <vt:lpstr>STS_5!OutputAddresses</vt:lpstr>
      <vt:lpstr>STS_6!OutputAddresses</vt:lpstr>
      <vt:lpstr>STS_7!OutputAddresses</vt:lpstr>
      <vt:lpstr>STS_9!OutputAddresses</vt:lpstr>
      <vt:lpstr>Question2!OutputValues</vt:lpstr>
      <vt:lpstr>STS_1!OutputValues</vt:lpstr>
      <vt:lpstr>STS_10!OutputValues</vt:lpstr>
      <vt:lpstr>STS_2!OutputValues</vt:lpstr>
      <vt:lpstr>STS_3!OutputValues</vt:lpstr>
      <vt:lpstr>STS_4!OutputValues</vt:lpstr>
      <vt:lpstr>STS_5!OutputValues</vt:lpstr>
      <vt:lpstr>STS_6!OutputValues</vt:lpstr>
      <vt:lpstr>STS_7!OutputValues</vt:lpstr>
      <vt:lpstr>STS_9!OutputValues</vt:lpstr>
      <vt:lpstr>Question4!OutputValues_1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 Brown</dc:creator>
  <cp:lastModifiedBy>Haoyan H</cp:lastModifiedBy>
  <dcterms:created xsi:type="dcterms:W3CDTF">2012-04-17T18:58:17Z</dcterms:created>
  <dcterms:modified xsi:type="dcterms:W3CDTF">2021-03-22T03:20:46Z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0x010100562F01736056A9418450DBE423B94E0E</vt:lpwstr>
  </property>
</Properties>
</file>