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jemio\Downloads\do_gita — popr\SubRES_TMPL\"/>
    </mc:Choice>
  </mc:AlternateContent>
  <xr:revisionPtr revIDLastSave="0" documentId="13_ncr:1_{0C320946-680D-415F-8E40-82BD7AA76332}"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3" i="9" l="1"/>
  <c r="Q12" i="9"/>
  <c r="S12" i="9"/>
  <c r="R12" i="9"/>
  <c r="R57" i="9"/>
  <c r="AQ33" i="9"/>
  <c r="AP33" i="9"/>
  <c r="M32" i="9" s="1"/>
  <c r="N32" i="9" s="1"/>
  <c r="O32" i="9" s="1"/>
  <c r="P32" i="9" s="1"/>
  <c r="Q32" i="9" s="1"/>
  <c r="R32" i="9" s="1"/>
  <c r="H39" i="9"/>
  <c r="I41" i="9" s="1"/>
  <c r="AZ46" i="9"/>
  <c r="AZ41" i="9"/>
  <c r="AZ42" i="9" s="1"/>
  <c r="AU42" i="9"/>
  <c r="AU43" i="9"/>
  <c r="AU41" i="9"/>
  <c r="AU40" i="9"/>
  <c r="AD25" i="9"/>
  <c r="H9" i="9"/>
  <c r="I9" i="9" s="1"/>
  <c r="J9" i="9" s="1"/>
  <c r="K9" i="9" s="1"/>
  <c r="E40" i="9"/>
  <c r="E41" i="9"/>
  <c r="G15" i="9"/>
  <c r="H15" i="9" s="1"/>
  <c r="I15" i="9" s="1"/>
  <c r="J15" i="9" s="1"/>
  <c r="K15" i="9" s="1"/>
  <c r="L15" i="9" s="1"/>
  <c r="U59" i="9"/>
  <c r="F39" i="9"/>
  <c r="D39" i="9"/>
  <c r="C39" i="9"/>
  <c r="B39" i="9"/>
  <c r="D32" i="9"/>
  <c r="R54" i="9"/>
  <c r="S62" i="9" s="1"/>
  <c r="S63" i="9" s="1"/>
  <c r="R50" i="9"/>
  <c r="E13" i="9"/>
  <c r="E12" i="9"/>
  <c r="E11" i="9"/>
  <c r="E10" i="9"/>
  <c r="E9" i="9"/>
  <c r="AU44" i="9" l="1"/>
  <c r="AU45" i="9" s="1"/>
  <c r="AU46" i="9" s="1"/>
  <c r="AU47" i="9" s="1"/>
  <c r="AU48" i="9" s="1"/>
  <c r="V39" i="9" s="1"/>
  <c r="W39" i="9" s="1"/>
  <c r="X39" i="9" s="1"/>
  <c r="Y39" i="9" s="1"/>
  <c r="Z39" i="9" s="1"/>
  <c r="AA39" i="9" s="1"/>
  <c r="I40" i="9"/>
  <c r="C23" i="9"/>
  <c r="BK14" i="9"/>
  <c r="BM12" i="9"/>
  <c r="BK15" i="9" l="1"/>
  <c r="AI11" i="9" s="1"/>
  <c r="AY23" i="9" l="1"/>
  <c r="R23" i="9" s="1"/>
  <c r="AZ23" i="9"/>
  <c r="S23" i="9" s="1"/>
  <c r="M23" i="9"/>
  <c r="AW8" i="9"/>
  <c r="M8" i="9" s="1"/>
  <c r="H23" i="9"/>
  <c r="I23" i="9" s="1"/>
  <c r="J23" i="9" s="1"/>
  <c r="K23" i="9" s="1"/>
  <c r="L23" i="9" s="1"/>
  <c r="E23" i="9" l="1"/>
  <c r="D23" i="9"/>
  <c r="B23" i="9"/>
  <c r="I14" i="9"/>
  <c r="J14" i="9" s="1"/>
  <c r="K14" i="9" s="1"/>
  <c r="L14" i="9" s="1"/>
  <c r="BD14" i="9"/>
  <c r="AB14" i="9" s="1"/>
  <c r="AC14" i="9" s="1"/>
  <c r="AD14" i="9" s="1"/>
  <c r="AE14" i="9" s="1"/>
  <c r="AF14" i="9" s="1"/>
  <c r="BC8" i="9"/>
  <c r="AA8" i="9" s="1"/>
  <c r="AZ8" i="9"/>
  <c r="AY9" i="9"/>
  <c r="S9" i="9" s="1"/>
  <c r="AZ9" i="9"/>
  <c r="T9" i="9" s="1"/>
  <c r="U9" i="9" s="1"/>
  <c r="V9" i="9" s="1"/>
  <c r="W9" i="9" s="1"/>
  <c r="X9" i="9" s="1"/>
  <c r="Y9" i="9" s="1"/>
  <c r="Z9" i="9" s="1"/>
  <c r="AY10" i="9"/>
  <c r="S10" i="9" s="1"/>
  <c r="AZ10" i="9"/>
  <c r="T10" i="9" s="1"/>
  <c r="U10" i="9" s="1"/>
  <c r="V10" i="9" s="1"/>
  <c r="W10" i="9" s="1"/>
  <c r="X10" i="9" s="1"/>
  <c r="Y10" i="9" s="1"/>
  <c r="Z10" i="9" s="1"/>
  <c r="AX11" i="9"/>
  <c r="O11" i="9" s="1"/>
  <c r="AY11" i="9"/>
  <c r="S11" i="9" s="1"/>
  <c r="AZ11" i="9"/>
  <c r="T11" i="9" s="1"/>
  <c r="U11" i="9" s="1"/>
  <c r="V11" i="9" s="1"/>
  <c r="W11" i="9" s="1"/>
  <c r="X11" i="9" s="1"/>
  <c r="Y11" i="9" s="1"/>
  <c r="Z11" i="9" s="1"/>
  <c r="AY12" i="9"/>
  <c r="AX14" i="9"/>
  <c r="O14" i="9" s="1"/>
  <c r="P14" i="9" s="1"/>
  <c r="Q14" i="9" s="1"/>
  <c r="R14" i="9" s="1"/>
  <c r="S14" i="9" s="1"/>
  <c r="BA14" i="9"/>
  <c r="V14" i="9" s="1"/>
  <c r="W14" i="9" s="1"/>
  <c r="X14" i="9" s="1"/>
  <c r="Y14" i="9" s="1"/>
  <c r="Z14" i="9" s="1"/>
  <c r="AY15" i="9"/>
  <c r="AZ15" i="9"/>
  <c r="BB15" i="9"/>
  <c r="AW9" i="9"/>
  <c r="M9" i="9" s="1"/>
  <c r="AW10" i="9"/>
  <c r="M10" i="9" s="1"/>
  <c r="AW11" i="9"/>
  <c r="M11" i="9" s="1"/>
  <c r="AW15" i="9"/>
  <c r="N8" i="9"/>
  <c r="O8" i="9" s="1"/>
  <c r="P8" i="9" s="1"/>
  <c r="Q8" i="9" s="1"/>
  <c r="R8" i="9" s="1"/>
  <c r="S8" i="9" s="1"/>
  <c r="AP13" i="9"/>
  <c r="AZ13" i="9" s="1"/>
  <c r="T13" i="9" s="1"/>
  <c r="U13" i="9" s="1"/>
  <c r="V13" i="9" s="1"/>
  <c r="W13" i="9" s="1"/>
  <c r="X13" i="9" s="1"/>
  <c r="Y13" i="9" s="1"/>
  <c r="Z13" i="9" s="1"/>
  <c r="AO13" i="9"/>
  <c r="AY13" i="9" s="1"/>
  <c r="S13" i="9" s="1"/>
  <c r="AM13" i="9"/>
  <c r="AW13" i="9" s="1"/>
  <c r="M13" i="9" s="1"/>
  <c r="AP12" i="9"/>
  <c r="AZ12" i="9" s="1"/>
  <c r="T12" i="9" s="1"/>
  <c r="U12" i="9" s="1"/>
  <c r="V12" i="9" s="1"/>
  <c r="W12" i="9" s="1"/>
  <c r="X12" i="9" s="1"/>
  <c r="Y12" i="9" s="1"/>
  <c r="Z12" i="9" s="1"/>
  <c r="AM12" i="9"/>
  <c r="AW12" i="9" s="1"/>
  <c r="M12" i="9" s="1"/>
  <c r="N12" i="9" s="1"/>
  <c r="O12" i="9" s="1"/>
  <c r="P12" i="9" s="1"/>
  <c r="T8" i="9" l="1"/>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I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M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W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M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W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M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W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M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W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M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<sst xmlns="http://schemas.openxmlformats.org/spreadsheetml/2006/main" count="500" uniqueCount="222">
  <si>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</si>
  <si>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</si>
  <si>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</si>
  <si>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</si>
  <si>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</si>
  <si>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</si>
  <si>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</si>
  <si>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</si>
  <si>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</si>
  <si>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</si>
  <si>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</si>
  <si>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</si>
  <si>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</si>
  <si>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</si>
  <si>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</si>
  <si>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</si>
  <si>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</si>
  <si>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</si>
  <si>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</si>
  <si>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</si>
  <si>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</si>
  <si>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</si>
  <si>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</si>
  <si>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</si>
  <si>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</si>
  <si>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</si>
  <si>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</si>
  <si>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</si>
  <si>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</si>
  <si>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</si>
  <si>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</si>
  <si>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</si>
  <si>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</si>
  <si>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</si>
  <si>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</si>
  <si>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</si>
  <si>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</si>
  <si>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</si>
  <si>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</si>
  <si>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</si>
  <si>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</si>
  <si>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</si>
  <si>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</si>
  <si>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</si>
  <si>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</si>
  <si>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</si>
  <si>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</si>
  <si>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</si>
  <si>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</si>
  <si>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</si>
  <si>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</si>
  <si>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</si>
  <si>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</si>
  <si>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</si>
  <si>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</si>
  <si>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</si>
  <si>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</si>
  <si>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</si>
  <si>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</si>
  <si>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</si>
  <si>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</si>
  <si>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</si>
  <si>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</si>
  <si>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</si>
  <si>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</si>
  <si>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</si>
  <si>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</si>
  <si>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</si>
  <si>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</si>
  <si>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</si>
  <si>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</si>
  <si>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</si>
  <si>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</si>
  <si>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</si>
  <si>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</si>
  <si>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</si>
  <si>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</si>
  <si>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</si>
  <si>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</si>
  <si>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</si>
  <si>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</si>
  <si>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</si>
  <si>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</si>
  <si>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</si>
  <si>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</si>
  <si>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</si>
  <si>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</si>
  <si>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</si>
  <si>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</si>
  <si>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</si>
  <si>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</si>
  <si>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</si>
  <si>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mln tonnes/mln tonnes</t>
  </si>
  <si>
    <t>M EUR/km</t>
  </si>
  <si>
    <t>10^6 EUR/km * 4,54 PLN/ EUR = 10^6 *kurs PLN/km</t>
  </si>
  <si>
    <t>Comm-IN-A</t>
  </si>
  <si>
    <t>Consumption</t>
  </si>
  <si>
    <t>Cost Optimization of Compressed Hydrogen Gas Transport via Trucks and Pipelines</t>
  </si>
  <si>
    <t>Mt/veh/yr</t>
  </si>
  <si>
    <t>PJ/veh/yr</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</si>
  <si>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</si>
  <si>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</si>
  <si>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</si>
  <si>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</si>
  <si>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</si>
  <si>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</si>
  <si>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</si>
  <si>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</si>
  <si>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</si>
  <si>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</si>
  <si>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</si>
  <si>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</si>
  <si>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</si>
  <si>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</si>
  <si>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</si>
  <si>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</si>
  <si>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</si>
  <si>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</si>
  <si>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</si>
  <si>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</si>
  <si>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</si>
  <si>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</si>
  <si>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</si>
  <si>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</si>
  <si>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</si>
  <si>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</si>
  <si>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</si>
  <si>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</si>
  <si>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</si>
  <si>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</si>
  <si>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</si>
  <si>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</si>
  <si>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</si>
  <si>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</si>
  <si>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</si>
  <si>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</si>
  <si>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</si>
  <si>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</si>
  <si>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</si>
  <si>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</si>
  <si>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</si>
  <si>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</si>
  <si>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</si>
  <si>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</si>
  <si>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</si>
  <si>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</si>
  <si>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</si>
  <si>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</si>
  <si>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</si>
  <si>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</si>
  <si>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</si>
  <si>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</si>
  <si>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</si>
  <si>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</si>
  <si>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</si>
  <si>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</si>
  <si>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</si>
  <si>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</si>
  <si>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</si>
  <si>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</si>
  <si>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</si>
  <si>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</si>
  <si>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</si>
  <si>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</si>
  <si>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</si>
  <si>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</si>
  <si>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</si>
  <si>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</si>
  <si>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</si>
  <si>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</si>
  <si>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</si>
  <si>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</si>
  <si>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</si>
  <si>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</si>
  <si>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</si>
  <si>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</si>
  <si>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</si>
  <si>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</si>
  <si>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</si>
  <si>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</si>
  <si>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</si>
  <si>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</si>
  <si>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</si>
  <si>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</si>
  <si>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</si>
  <si>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</si>
  <si>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</si>
  <si>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</si>
  <si>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</si>
  <si>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</si>
  <si>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</si>
  <si>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</si>
  <si>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</si>
  <si>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</si>
  <si>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</si>
  <si>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</si>
  <si>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</si>
  <si>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</si>
  <si>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</si>
  <si>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</si>
  <si>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</si>
  <si>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</si>
  <si>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</si>
  <si>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</si>
  <si>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</si>
  <si>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</si>
  <si>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ELC_GRID_RES</t>
  </si>
  <si>
    <t>SEC_H2G</t>
  </si>
  <si>
    <t>Green H2 produced</t>
  </si>
  <si>
    <t>H2G_GRID</t>
  </si>
  <si>
    <t>H2 from pipeline</t>
  </si>
  <si>
    <t>H2G_TRUCK</t>
  </si>
  <si>
    <t>H2 from trucks shipping</t>
  </si>
  <si>
    <t>TRA_DSL</t>
  </si>
  <si>
    <t>Electricity produced from RES</t>
  </si>
  <si>
    <t>Electricity from the grid from RES</t>
  </si>
  <si>
    <t>Diesel fuel for trucks</t>
  </si>
  <si>
    <t>Invest cost zostaje jako założenie bo nie da się znaleźć</t>
  </si>
  <si>
    <t>mln PLN/GW</t>
  </si>
  <si>
    <t>mln PLN/PJ</t>
  </si>
  <si>
    <t>mln PLN/km</t>
  </si>
  <si>
    <t>mln PLN/veh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</si>
</sst>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8">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0"/>
      <name val="Arial"/>
      <family val="2"/>
      <charset val="238"/>
    </font>
    <font>
      <b/>
      <sz val="10"/>
      <color rgb="FF000000"/>
      <name val="Arial"/>
      <family val="2"/>
      <charset val="238"/>
    </font>
    <font>
      <sz val="11"/>
      <color rgb="FF000000"/>
      <name val="Calibri"/>
      <family val="2"/>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4" fillId="0" borderId="0"/>
    <xf numFmtId="0" fontId="78" fillId="0" borderId="0"/>
    <xf numFmtId="0" fontId="82"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4" fillId="0" borderId="0"/>
    <xf numFmtId="0" fontId="114" fillId="0" borderId="0"/>
    <xf numFmtId="0" fontId="30" fillId="0" borderId="0"/>
    <xf numFmtId="0" fontId="114" fillId="0" borderId="0"/>
    <xf numFmtId="0" fontId="114" fillId="0" borderId="0"/>
    <xf numFmtId="0" fontId="116" fillId="0" borderId="0"/>
    <xf numFmtId="0" fontId="116" fillId="0" borderId="0"/>
    <xf numFmtId="0" fontId="116" fillId="0" borderId="0"/>
    <xf numFmtId="0" fontId="114" fillId="0" borderId="0"/>
    <xf numFmtId="0" fontId="114" fillId="0" borderId="0"/>
    <xf numFmtId="0" fontId="114" fillId="0" borderId="0"/>
    <xf numFmtId="0" fontId="7" fillId="0" borderId="0"/>
    <xf numFmtId="0" fontId="7"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76" fillId="0" borderId="0"/>
    <xf numFmtId="0" fontId="114" fillId="0" borderId="0"/>
    <xf numFmtId="0" fontId="76"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7"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5"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5" fillId="0" borderId="18" applyFill="0" applyBorder="0">
      <alignment vertical="center"/>
    </xf>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21" fillId="0" borderId="0" applyNumberFormat="0" applyFont="0" applyFill="0" applyBorder="0" applyProtection="0">
      <alignment horizontal="left" vertical="center" indent="5"/>
    </xf>
    <xf numFmtId="0" fontId="121"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9"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9" fillId="60" borderId="0" applyNumberFormat="0" applyBorder="0" applyAlignment="0" applyProtection="0"/>
    <xf numFmtId="0" fontId="109"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9"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9"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8" fillId="20" borderId="1">
      <alignment horizontal="center" vertical="center"/>
    </xf>
    <xf numFmtId="4" fontId="72" fillId="76" borderId="10">
      <alignment horizontal="right" vertical="center"/>
    </xf>
    <xf numFmtId="4" fontId="120" fillId="40" borderId="10">
      <alignment horizontal="right" vertical="center"/>
    </xf>
    <xf numFmtId="4" fontId="120"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4"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8" fillId="0" borderId="0"/>
    <xf numFmtId="0" fontId="93" fillId="0" borderId="0">
      <alignment horizontal="right"/>
    </xf>
    <xf numFmtId="0" fontId="129" fillId="0" borderId="0"/>
    <xf numFmtId="0" fontId="122" fillId="0" borderId="0"/>
    <xf numFmtId="0" fontId="130" fillId="0" borderId="0"/>
    <xf numFmtId="0" fontId="131"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2" fillId="0" borderId="0">
      <alignment horizontal="right"/>
    </xf>
    <xf numFmtId="0" fontId="133"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9" fillId="80" borderId="0" applyNumberFormat="0" applyBorder="0"/>
    <xf numFmtId="3" fontId="119" fillId="84" borderId="0" applyNumberFormat="0" applyBorder="0"/>
    <xf numFmtId="3" fontId="119" fillId="85" borderId="0" applyNumberFormat="0" applyBorder="0"/>
    <xf numFmtId="0" fontId="135" fillId="46" borderId="23" applyNumberFormat="0" applyAlignment="0" applyProtection="0"/>
    <xf numFmtId="0" fontId="136" fillId="46" borderId="23" applyNumberFormat="0" applyAlignment="0" applyProtection="0"/>
    <xf numFmtId="0" fontId="137" fillId="86" borderId="23" applyNumberFormat="0" applyAlignment="0" applyProtection="0"/>
    <xf numFmtId="0" fontId="18" fillId="21" borderId="3" applyNumberFormat="0" applyAlignment="0" applyProtection="0"/>
    <xf numFmtId="0" fontId="123" fillId="79" borderId="3" applyNumberFormat="0" applyAlignment="0" applyProtection="0"/>
    <xf numFmtId="0" fontId="18" fillId="21" borderId="3" applyNumberFormat="0" applyAlignment="0" applyProtection="0"/>
    <xf numFmtId="1"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1" fontId="114" fillId="87" borderId="0"/>
    <xf numFmtId="2"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7" borderId="0"/>
    <xf numFmtId="1" fontId="114" fillId="87" borderId="0"/>
    <xf numFmtId="1" fontId="114" fillId="88" borderId="0"/>
    <xf numFmtId="1" fontId="114" fillId="88" borderId="0"/>
    <xf numFmtId="1" fontId="114" fillId="87" borderId="0"/>
    <xf numFmtId="1" fontId="114" fillId="87" borderId="0"/>
    <xf numFmtId="1" fontId="114" fillId="88" borderId="0"/>
    <xf numFmtId="1" fontId="114" fillId="87" borderId="0"/>
    <xf numFmtId="1" fontId="114" fillId="87" borderId="0"/>
    <xf numFmtId="1" fontId="114" fillId="88" borderId="0"/>
    <xf numFmtId="1" fontId="114" fillId="88" borderId="0"/>
    <xf numFmtId="1" fontId="114" fillId="88" borderId="0"/>
    <xf numFmtId="1" fontId="114" fillId="87" borderId="0"/>
    <xf numFmtId="1" fontId="114" fillId="88" borderId="0"/>
    <xf numFmtId="1" fontId="114"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8"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4"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11"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35" fillId="0" borderId="0"/>
    <xf numFmtId="0" fontId="53" fillId="0" borderId="0" applyFill="0" applyProtection="0"/>
    <xf numFmtId="0" fontId="114" fillId="0" borderId="0"/>
    <xf numFmtId="0" fontId="35" fillId="0" borderId="0"/>
    <xf numFmtId="0" fontId="114"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7" fillId="0" borderId="0"/>
    <xf numFmtId="0" fontId="105"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4" fillId="0" borderId="0"/>
    <xf numFmtId="0" fontId="105" fillId="0" borderId="0"/>
    <xf numFmtId="0" fontId="105" fillId="0" borderId="0"/>
    <xf numFmtId="0" fontId="105" fillId="0" borderId="0"/>
    <xf numFmtId="0" fontId="114" fillId="0" borderId="0"/>
    <xf numFmtId="0" fontId="105" fillId="0" borderId="0"/>
    <xf numFmtId="0" fontId="114"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109" fillId="52" borderId="0" applyNumberFormat="0" applyBorder="0" applyAlignment="0" applyProtection="0"/>
    <xf numFmtId="0" fontId="109" fillId="56" borderId="0" applyNumberFormat="0" applyBorder="0" applyAlignment="0" applyProtection="0"/>
    <xf numFmtId="0" fontId="109" fillId="68" borderId="0" applyNumberFormat="0" applyBorder="0" applyAlignment="0" applyProtection="0"/>
    <xf numFmtId="0" fontId="109" fillId="49" borderId="0" applyNumberFormat="0" applyBorder="0" applyAlignment="0" applyProtection="0"/>
    <xf numFmtId="0" fontId="109" fillId="53" borderId="0" applyNumberFormat="0" applyBorder="0" applyAlignment="0" applyProtection="0"/>
    <xf numFmtId="0" fontId="109" fillId="57" borderId="0" applyNumberFormat="0" applyBorder="0" applyAlignment="0" applyProtection="0"/>
    <xf numFmtId="0" fontId="109" fillId="61" borderId="0" applyNumberFormat="0" applyBorder="0" applyAlignment="0" applyProtection="0"/>
    <xf numFmtId="0" fontId="109" fillId="65" borderId="0" applyNumberFormat="0" applyBorder="0" applyAlignment="0" applyProtection="0"/>
    <xf numFmtId="0" fontId="109" fillId="69" borderId="0" applyNumberFormat="0" applyBorder="0" applyAlignment="0" applyProtection="0"/>
    <xf numFmtId="0" fontId="139" fillId="44" borderId="0" applyNumberFormat="0" applyBorder="0" applyAlignment="0" applyProtection="0"/>
    <xf numFmtId="0" fontId="140" fillId="46" borderId="23" applyNumberFormat="0" applyAlignment="0" applyProtection="0"/>
    <xf numFmtId="0" fontId="141" fillId="47" borderId="26" applyNumberFormat="0" applyAlignment="0" applyProtection="0"/>
    <xf numFmtId="0" fontId="142" fillId="0" borderId="0" applyNumberFormat="0" applyFill="0" applyBorder="0" applyAlignment="0" applyProtection="0"/>
    <xf numFmtId="0" fontId="110" fillId="42" borderId="0" applyNumberFormat="0" applyBorder="0" applyAlignment="0" applyProtection="0"/>
    <xf numFmtId="0" fontId="143" fillId="0" borderId="20" applyNumberFormat="0" applyFill="0" applyAlignment="0" applyProtection="0"/>
    <xf numFmtId="0" fontId="144" fillId="0" borderId="21" applyNumberFormat="0" applyFill="0" applyAlignment="0" applyProtection="0"/>
    <xf numFmtId="0" fontId="145" fillId="0" borderId="22" applyNumberFormat="0" applyFill="0" applyAlignment="0" applyProtection="0"/>
    <xf numFmtId="0" fontId="145" fillId="0" borderId="0" applyNumberFormat="0" applyFill="0" applyBorder="0" applyAlignment="0" applyProtection="0"/>
    <xf numFmtId="0" fontId="146" fillId="45" borderId="23" applyNumberFormat="0" applyAlignment="0" applyProtection="0"/>
    <xf numFmtId="0" fontId="135" fillId="0" borderId="25" applyNumberFormat="0" applyFill="0" applyAlignment="0" applyProtection="0"/>
    <xf numFmtId="0" fontId="147" fillId="43" borderId="0" applyNumberFormat="0" applyBorder="0" applyAlignment="0" applyProtection="0"/>
    <xf numFmtId="0" fontId="114" fillId="48" borderId="27" applyNumberFormat="0" applyFont="0" applyAlignment="0" applyProtection="0"/>
    <xf numFmtId="0" fontId="148" fillId="46" borderId="24" applyNumberFormat="0" applyAlignment="0" applyProtection="0"/>
    <xf numFmtId="0" fontId="149" fillId="0" borderId="0" applyNumberFormat="0" applyFill="0" applyBorder="0" applyAlignment="0" applyProtection="0"/>
    <xf numFmtId="0" fontId="150" fillId="0" borderId="28" applyNumberFormat="0" applyFill="0" applyAlignment="0" applyProtection="0"/>
    <xf numFmtId="0" fontId="151" fillId="0" borderId="0" applyNumberFormat="0" applyFill="0" applyBorder="0" applyAlignment="0" applyProtection="0"/>
    <xf numFmtId="0" fontId="114" fillId="0" borderId="0"/>
    <xf numFmtId="178" fontId="85" fillId="0" borderId="0">
      <protection locked="0"/>
    </xf>
    <xf numFmtId="176" fontId="114"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7"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4" fillId="0" borderId="0"/>
    <xf numFmtId="0" fontId="114" fillId="0" borderId="0"/>
    <xf numFmtId="0" fontId="114" fillId="0" borderId="0"/>
    <xf numFmtId="0" fontId="116" fillId="0" borderId="0"/>
    <xf numFmtId="0" fontId="116" fillId="0" borderId="0"/>
    <xf numFmtId="0" fontId="114" fillId="0" borderId="0"/>
    <xf numFmtId="0" fontId="7" fillId="0" borderId="0"/>
    <xf numFmtId="0" fontId="7" fillId="0" borderId="0"/>
    <xf numFmtId="0" fontId="114" fillId="0" borderId="0"/>
    <xf numFmtId="0" fontId="114" fillId="0" borderId="0"/>
    <xf numFmtId="0" fontId="73" fillId="0" borderId="0"/>
    <xf numFmtId="0" fontId="7" fillId="0" borderId="0"/>
    <xf numFmtId="0" fontId="7" fillId="0" borderId="0"/>
    <xf numFmtId="0" fontId="76" fillId="0" borderId="0"/>
    <xf numFmtId="0"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6" fillId="0" borderId="0"/>
    <xf numFmtId="0" fontId="114" fillId="0" borderId="0"/>
    <xf numFmtId="0" fontId="76" fillId="0" borderId="0"/>
    <xf numFmtId="0" fontId="114" fillId="0" borderId="0"/>
    <xf numFmtId="0" fontId="114"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4"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4" fillId="0" borderId="0"/>
    <xf numFmtId="0" fontId="53" fillId="0" borderId="0"/>
    <xf numFmtId="0" fontId="53" fillId="0" borderId="0"/>
    <xf numFmtId="0" fontId="116" fillId="0" borderId="0"/>
    <xf numFmtId="0" fontId="116" fillId="0" borderId="0"/>
    <xf numFmtId="0" fontId="53" fillId="0" borderId="0"/>
    <xf numFmtId="0" fontId="114"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2"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6" fillId="0" borderId="0" applyNumberFormat="0" applyFill="0" applyBorder="0" applyAlignment="0" applyProtection="0"/>
    <xf numFmtId="0" fontId="114" fillId="0" borderId="0"/>
    <xf numFmtId="43" fontId="114" fillId="0" borderId="0" applyFont="0" applyFill="0" applyBorder="0" applyAlignment="0" applyProtection="0"/>
    <xf numFmtId="9" fontId="114" fillId="0" borderId="0" applyFont="0" applyFill="0" applyBorder="0" applyAlignment="0" applyProtection="0"/>
    <xf numFmtId="176" fontId="114" fillId="0" borderId="0" applyFont="0" applyFill="0" applyBorder="0" applyAlignment="0" applyProtection="0"/>
    <xf numFmtId="0" fontId="76" fillId="0" borderId="62" applyNumberFormat="0" applyAlignment="0">
      <alignment vertical="top"/>
    </xf>
    <xf numFmtId="0" fontId="159" fillId="98" borderId="62" applyNumberFormat="0" applyAlignment="0">
      <alignment vertical="top"/>
    </xf>
    <xf numFmtId="0" fontId="76" fillId="98" borderId="62" applyNumberFormat="0" applyAlignment="0">
      <alignment vertical="top"/>
    </xf>
    <xf numFmtId="0" fontId="160" fillId="99" borderId="63" applyNumberFormat="0">
      <alignment vertical="center" wrapText="1"/>
    </xf>
    <xf numFmtId="0" fontId="160" fillId="100" borderId="62" applyNumberFormat="0" applyAlignment="0">
      <alignment vertical="top"/>
    </xf>
    <xf numFmtId="0" fontId="161" fillId="0" borderId="0" applyNumberFormat="0" applyFill="0" applyBorder="0" applyAlignment="0">
      <alignment vertical="top"/>
    </xf>
    <xf numFmtId="43" fontId="114" fillId="0" borderId="0" applyFont="0" applyFill="0" applyBorder="0" applyAlignment="0" applyProtection="0"/>
    <xf numFmtId="0" fontId="114" fillId="0" borderId="0"/>
    <xf numFmtId="0" fontId="114" fillId="0" borderId="0"/>
    <xf numFmtId="0" fontId="2" fillId="0" borderId="0"/>
    <xf numFmtId="0" fontId="4" fillId="0" borderId="0"/>
    <xf numFmtId="0" fontId="4" fillId="0" borderId="0"/>
    <xf numFmtId="0" fontId="4" fillId="0" borderId="0"/>
    <xf numFmtId="0" fontId="156" fillId="0" borderId="0" applyNumberFormat="0" applyFill="0" applyBorder="0" applyAlignment="0" applyProtection="0"/>
    <xf numFmtId="0" fontId="163" fillId="0" borderId="0"/>
    <xf numFmtId="0" fontId="164"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7"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114"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9" fillId="0" borderId="0"/>
    <xf numFmtId="0" fontId="119" fillId="0" borderId="0"/>
    <xf numFmtId="0" fontId="4" fillId="0" borderId="0"/>
    <xf numFmtId="0" fontId="4" fillId="0" borderId="0"/>
    <xf numFmtId="0" fontId="114" fillId="0" borderId="0"/>
    <xf numFmtId="0" fontId="1" fillId="0" borderId="0"/>
    <xf numFmtId="0" fontId="1" fillId="0" borderId="0"/>
    <xf numFmtId="0" fontId="4" fillId="0" borderId="0"/>
    <xf numFmtId="0" fontId="1" fillId="0" borderId="0"/>
    <xf numFmtId="0" fontId="4" fillId="0" borderId="0"/>
    <xf numFmtId="0" fontId="1" fillId="0" borderId="0"/>
    <xf numFmtId="0" fontId="114" fillId="0" borderId="0"/>
    <xf numFmtId="0" fontId="36" fillId="0" borderId="0"/>
    <xf numFmtId="0" fontId="3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4"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53" fillId="0" borderId="0"/>
    <xf numFmtId="0" fontId="116" fillId="0" borderId="0"/>
    <xf numFmtId="0" fontId="53" fillId="0" borderId="0"/>
    <xf numFmtId="0" fontId="116" fillId="0" borderId="0"/>
    <xf numFmtId="0" fontId="53" fillId="0" borderId="0"/>
    <xf numFmtId="0" fontId="116" fillId="0" borderId="0"/>
    <xf numFmtId="0" fontId="116" fillId="0" borderId="0"/>
    <xf numFmtId="0" fontId="116" fillId="0" borderId="0"/>
    <xf numFmtId="0" fontId="116" fillId="0" borderId="0"/>
    <xf numFmtId="0" fontId="53" fillId="0" borderId="0"/>
    <xf numFmtId="0" fontId="116" fillId="0" borderId="0"/>
    <xf numFmtId="0" fontId="116" fillId="0" borderId="0"/>
    <xf numFmtId="0" fontId="53" fillId="0" borderId="0"/>
    <xf numFmtId="0" fontId="116" fillId="0" borderId="0"/>
    <xf numFmtId="0" fontId="53" fillId="0" borderId="0"/>
    <xf numFmtId="0" fontId="25" fillId="0" borderId="0"/>
    <xf numFmtId="0" fontId="114" fillId="0" borderId="0"/>
    <xf numFmtId="0" fontId="25" fillId="0" borderId="0"/>
    <xf numFmtId="0" fontId="114" fillId="0" borderId="0"/>
    <xf numFmtId="0" fontId="114" fillId="0" borderId="0"/>
    <xf numFmtId="0" fontId="53" fillId="0" borderId="0"/>
    <xf numFmtId="0" fontId="53" fillId="0" borderId="0"/>
    <xf numFmtId="0" fontId="114" fillId="0" borderId="0"/>
    <xf numFmtId="0" fontId="25"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2"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6" fillId="0" borderId="0" applyNumberFormat="0" applyFill="0" applyBorder="0" applyAlignment="0" applyProtection="0"/>
  </cellStyleXfs>
  <cellXfs count="271">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5" fillId="95" borderId="0" xfId="0" applyNumberFormat="1" applyFont="1" applyFill="1"/>
    <xf numFmtId="0" fontId="0" fillId="97" borderId="0" xfId="0" applyFill="1"/>
    <xf numFmtId="185" fontId="157" fillId="88" borderId="35" xfId="0" applyNumberFormat="1" applyFont="1" applyFill="1" applyBorder="1"/>
    <xf numFmtId="185" fontId="157"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3" fillId="94" borderId="34" xfId="0" applyFont="1" applyFill="1" applyBorder="1" applyAlignment="1">
      <alignment horizontal="center" vertical="center" wrapText="1"/>
    </xf>
    <xf numFmtId="0" fontId="153" fillId="96" borderId="35" xfId="881" applyFont="1" applyFill="1" applyBorder="1"/>
    <xf numFmtId="0" fontId="153" fillId="96" borderId="36" xfId="881" applyFont="1" applyFill="1" applyBorder="1"/>
    <xf numFmtId="0" fontId="153" fillId="95" borderId="35" xfId="881" applyFont="1" applyFill="1" applyBorder="1"/>
    <xf numFmtId="0" fontId="153" fillId="95" borderId="36" xfId="881" applyFont="1" applyFill="1" applyBorder="1"/>
    <xf numFmtId="185" fontId="153" fillId="96" borderId="35" xfId="881" applyNumberFormat="1" applyFont="1" applyFill="1" applyBorder="1"/>
    <xf numFmtId="185" fontId="153" fillId="96" borderId="36" xfId="881" applyNumberFormat="1" applyFont="1" applyFill="1" applyBorder="1"/>
    <xf numFmtId="0" fontId="4" fillId="88" borderId="0" xfId="0" applyFont="1" applyFill="1"/>
    <xf numFmtId="0" fontId="153" fillId="97" borderId="35" xfId="881" applyFont="1" applyFill="1" applyBorder="1"/>
    <xf numFmtId="0" fontId="153"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3" fillId="88" borderId="35" xfId="881" applyFont="1" applyFill="1" applyBorder="1"/>
    <xf numFmtId="0" fontId="153" fillId="88" borderId="36" xfId="881" applyFont="1" applyFill="1" applyBorder="1"/>
    <xf numFmtId="0" fontId="153" fillId="88" borderId="37" xfId="881" applyFont="1" applyFill="1" applyBorder="1"/>
    <xf numFmtId="0" fontId="153" fillId="88" borderId="38" xfId="881" applyFont="1" applyFill="1" applyBorder="1"/>
    <xf numFmtId="0" fontId="4" fillId="88" borderId="38" xfId="0" applyFont="1" applyFill="1" applyBorder="1"/>
    <xf numFmtId="0" fontId="153"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1" fontId="4" fillId="97" borderId="41" xfId="0" applyNumberFormat="1" applyFont="1" applyFill="1" applyBorder="1"/>
    <xf numFmtId="0" fontId="4" fillId="97" borderId="43" xfId="881" applyFont="1" applyFill="1" applyBorder="1"/>
    <xf numFmtId="168" fontId="4" fillId="97" borderId="41" xfId="0" applyNumberFormat="1" applyFont="1" applyFill="1" applyBorder="1"/>
    <xf numFmtId="0" fontId="4" fillId="88" borderId="41" xfId="0"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0" fontId="0" fillId="88" borderId="42" xfId="0" applyFill="1" applyBorder="1"/>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3" fillId="0" borderId="0" xfId="0" applyFont="1" applyAlignment="1">
      <alignment horizontal="center" vertical="center" wrapText="1"/>
    </xf>
    <xf numFmtId="0" fontId="158" fillId="39" borderId="0" xfId="0" quotePrefix="1" applyFont="1" applyFill="1" applyAlignment="1">
      <alignment horizontal="left" vertical="top"/>
    </xf>
    <xf numFmtId="0" fontId="155" fillId="0" borderId="0" xfId="0" applyFont="1"/>
    <xf numFmtId="0" fontId="155" fillId="0" borderId="0" xfId="0" applyFont="1" applyAlignment="1">
      <alignment horizontal="left"/>
    </xf>
    <xf numFmtId="0" fontId="153" fillId="94" borderId="35" xfId="0" applyFont="1" applyFill="1" applyBorder="1" applyAlignment="1">
      <alignment horizontal="center" vertical="center" wrapText="1"/>
    </xf>
    <xf numFmtId="0" fontId="153" fillId="97" borderId="38" xfId="0" applyFont="1" applyFill="1" applyBorder="1" applyAlignment="1">
      <alignment horizontal="center" vertical="center" wrapText="1"/>
    </xf>
    <xf numFmtId="0" fontId="154" fillId="93" borderId="56" xfId="0" applyFont="1" applyFill="1" applyBorder="1" applyAlignment="1">
      <alignment horizontal="center" vertical="center" wrapText="1"/>
    </xf>
    <xf numFmtId="0" fontId="154" fillId="93" borderId="57" xfId="0" applyFont="1" applyFill="1" applyBorder="1" applyAlignment="1">
      <alignment horizontal="center" vertical="center" wrapText="1"/>
    </xf>
    <xf numFmtId="0" fontId="154" fillId="93" borderId="57" xfId="768" applyFont="1" applyFill="1" applyBorder="1" applyAlignment="1">
      <alignment horizontal="center" vertical="center" wrapText="1"/>
    </xf>
    <xf numFmtId="185" fontId="153"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4" fillId="93" borderId="59" xfId="0" applyFont="1" applyFill="1" applyBorder="1" applyAlignment="1">
      <alignment horizontal="center" vertical="center" wrapText="1"/>
    </xf>
    <xf numFmtId="0" fontId="153" fillId="94" borderId="41" xfId="0" applyFont="1" applyFill="1" applyBorder="1" applyAlignment="1">
      <alignment horizontal="center" vertical="center" wrapText="1"/>
    </xf>
    <xf numFmtId="0" fontId="154" fillId="93" borderId="60" xfId="0" applyFont="1" applyFill="1" applyBorder="1" applyAlignment="1">
      <alignment horizontal="center" vertical="center" wrapText="1"/>
    </xf>
    <xf numFmtId="0" fontId="153" fillId="94" borderId="46" xfId="0" applyFont="1" applyFill="1" applyBorder="1" applyAlignment="1">
      <alignment horizontal="center" vertical="center" wrapText="1"/>
    </xf>
    <xf numFmtId="0" fontId="154" fillId="93" borderId="61" xfId="0" applyFont="1" applyFill="1" applyBorder="1" applyAlignment="1">
      <alignment horizontal="center" vertical="center" wrapText="1"/>
    </xf>
    <xf numFmtId="0" fontId="153" fillId="94" borderId="43" xfId="0" applyFont="1" applyFill="1" applyBorder="1" applyAlignment="1">
      <alignment horizontal="center" vertical="center" wrapText="1"/>
    </xf>
    <xf numFmtId="0" fontId="154" fillId="93" borderId="61" xfId="768" applyFont="1" applyFill="1" applyBorder="1" applyAlignment="1">
      <alignment horizontal="center" vertical="center" wrapText="1"/>
    </xf>
    <xf numFmtId="0" fontId="154" fillId="93" borderId="59" xfId="768" applyFont="1" applyFill="1" applyBorder="1" applyAlignment="1">
      <alignment horizontal="center" vertical="center" wrapText="1"/>
    </xf>
    <xf numFmtId="0" fontId="154" fillId="93" borderId="60" xfId="768" applyFont="1" applyFill="1" applyBorder="1" applyAlignment="1">
      <alignment horizontal="center" vertical="center" wrapText="1"/>
    </xf>
    <xf numFmtId="0" fontId="150"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4" fillId="0" borderId="0" xfId="54509"/>
    <xf numFmtId="0" fontId="114"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7"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47" xfId="0" applyNumberFormat="1" applyFill="1" applyBorder="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4" fillId="96" borderId="38" xfId="0" applyFont="1" applyFill="1" applyBorder="1"/>
    <xf numFmtId="197" fontId="153" fillId="96" borderId="38" xfId="0" applyNumberFormat="1" applyFont="1" applyFill="1" applyBorder="1"/>
    <xf numFmtId="0" fontId="153"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2"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6" fillId="0" borderId="0" xfId="54497"/>
    <xf numFmtId="0" fontId="165" fillId="0" borderId="0" xfId="0" applyFont="1"/>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1"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4" fillId="93" borderId="49" xfId="0" applyFont="1" applyFill="1" applyBorder="1" applyAlignment="1">
      <alignment horizontal="center" vertical="center" wrapText="1"/>
    </xf>
    <xf numFmtId="0" fontId="154" fillId="93" borderId="49" xfId="43506" applyFont="1" applyFill="1" applyBorder="1" applyAlignment="1">
      <alignment horizontal="center" vertical="center" wrapText="1"/>
    </xf>
    <xf numFmtId="0" fontId="154" fillId="93" borderId="71" xfId="43506" applyFont="1" applyFill="1" applyBorder="1" applyAlignment="1">
      <alignment horizontal="center" vertical="center" wrapText="1"/>
    </xf>
    <xf numFmtId="0" fontId="153" fillId="94" borderId="0" xfId="0" applyFont="1" applyFill="1" applyAlignment="1">
      <alignment horizontal="center" vertical="center" wrapText="1"/>
    </xf>
    <xf numFmtId="0" fontId="153" fillId="94" borderId="72" xfId="0" applyFont="1" applyFill="1" applyBorder="1" applyAlignment="1">
      <alignment horizontal="center" vertical="center" wrapText="1"/>
    </xf>
    <xf numFmtId="0" fontId="153" fillId="97" borderId="35" xfId="0" applyFont="1" applyFill="1" applyBorder="1" applyAlignment="1">
      <alignment horizontal="center" vertical="center" wrapText="1"/>
    </xf>
    <xf numFmtId="0" fontId="153" fillId="97" borderId="0" xfId="0" applyFont="1" applyFill="1" applyAlignment="1">
      <alignment horizontal="center" vertical="center" wrapText="1"/>
    </xf>
    <xf numFmtId="185" fontId="153" fillId="97" borderId="0" xfId="0" applyNumberFormat="1" applyFont="1" applyFill="1" applyAlignment="1">
      <alignment horizontal="center" vertical="center" wrapText="1"/>
    </xf>
    <xf numFmtId="0" fontId="153" fillId="96" borderId="0" xfId="0" applyFont="1" applyFill="1"/>
    <xf numFmtId="0" fontId="153" fillId="96" borderId="36" xfId="0" applyFont="1" applyFill="1" applyBorder="1"/>
    <xf numFmtId="0" fontId="154" fillId="96" borderId="0" xfId="0" applyFont="1" applyFill="1"/>
    <xf numFmtId="0" fontId="153" fillId="97" borderId="37" xfId="0" applyFont="1" applyFill="1" applyBorder="1" applyAlignment="1">
      <alignment horizontal="center" vertical="center" wrapText="1"/>
    </xf>
    <xf numFmtId="0" fontId="153"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166" fillId="0" borderId="73" xfId="0" applyFont="1"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7"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3" fillId="95" borderId="0" xfId="881" applyFont="1" applyFill="1"/>
    <xf numFmtId="185" fontId="4" fillId="97" borderId="0" xfId="0" applyNumberFormat="1" applyFont="1" applyFill="1"/>
    <xf numFmtId="185" fontId="153" fillId="96" borderId="0" xfId="881" applyNumberFormat="1" applyFont="1" applyFill="1"/>
    <xf numFmtId="185" fontId="4" fillId="88" borderId="0" xfId="0" applyNumberFormat="1" applyFont="1" applyFill="1"/>
    <xf numFmtId="0" fontId="153" fillId="96" borderId="0" xfId="881" applyFont="1" applyFill="1"/>
    <xf numFmtId="0" fontId="153" fillId="97" borderId="0" xfId="881" applyFont="1" applyFill="1"/>
    <xf numFmtId="0" fontId="4" fillId="97" borderId="0" xfId="0" applyFont="1" applyFill="1"/>
    <xf numFmtId="0" fontId="153" fillId="88" borderId="0" xfId="881" applyFont="1" applyFill="1"/>
    <xf numFmtId="0" fontId="154" fillId="93" borderId="48" xfId="0" applyFont="1" applyFill="1" applyBorder="1" applyAlignment="1">
      <alignment horizontal="center" vertical="center" wrapText="1"/>
    </xf>
    <xf numFmtId="0" fontId="154" fillId="93" borderId="71" xfId="0" applyFont="1" applyFill="1" applyBorder="1" applyAlignment="1">
      <alignment horizontal="center" vertical="center" wrapText="1"/>
    </xf>
    <xf numFmtId="0" fontId="153" fillId="94" borderId="81" xfId="0" applyFont="1" applyFill="1" applyBorder="1" applyAlignment="1">
      <alignment horizontal="center" vertical="center" wrapText="1"/>
    </xf>
    <xf numFmtId="0" fontId="153" fillId="94" borderId="18" xfId="0" applyFont="1" applyFill="1" applyBorder="1" applyAlignment="1">
      <alignment horizontal="center" vertical="center" wrapText="1"/>
    </xf>
    <xf numFmtId="0" fontId="153" fillId="94" borderId="82" xfId="0" applyFont="1" applyFill="1" applyBorder="1" applyAlignment="1">
      <alignment horizontal="center" vertical="center" wrapText="1"/>
    </xf>
    <xf numFmtId="185" fontId="157" fillId="97" borderId="0" xfId="0" applyNumberFormat="1" applyFont="1" applyFill="1"/>
    <xf numFmtId="185" fontId="157"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7" fillId="97" borderId="37" xfId="0" applyNumberFormat="1" applyFont="1" applyFill="1" applyBorder="1"/>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50"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4" fillId="94" borderId="83" xfId="0" applyFont="1" applyFill="1" applyBorder="1" applyAlignment="1">
      <alignment horizontal="center" vertical="center" wrapText="1"/>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30</xdr:col>
      <xdr:colOff>36232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M8" dT="2025-06-15T10:29:37.62" personId="{534F618C-3BCF-4930-8517-5A6CD8A1D6B5}" id="{8A2B41EB-35C7-4035-9A72-C32F16C34130}">
    <text>3.1 Gaz ziemny/Wodór# - CCGT</text>
  </threadedComment>
  <threadedComment ref="AW8" dT="2025-06-15T10:29:37.62" personId="{534F618C-3BCF-4930-8517-5A6CD8A1D6B5}" id="{D7C4EF0E-569D-48C4-8A99-F092D275744E}">
    <text>3.1 Gaz ziemny/Wodór# - CCGT</text>
  </threadedComment>
  <threadedComment ref="AM9" dT="2025-06-15T10:30:41.73" personId="{534F618C-3BCF-4930-8517-5A6CD8A1D6B5}" id="{EF14C276-1E8E-48B9-9D2E-5C544F1DB61E}">
    <text xml:space="preserve">5.13 Biomasa stała - CHP </text>
  </threadedComment>
  <threadedComment ref="AW9" dT="2025-06-15T10:30:41.73" personId="{534F618C-3BCF-4930-8517-5A6CD8A1D6B5}" id="{2F6F77C2-A67E-4532-9497-4E75B908F09B}">
    <text xml:space="preserve">5.13 Biomasa stała - CHP </text>
  </threadedComment>
  <threadedComment ref="AM12" dT="2025-06-15T10:35:54.37" personId="{534F618C-3BCF-4930-8517-5A6CD8A1D6B5}" id="{B659BFEF-BC49-4241-80EA-06CDB587A2DD}">
    <text>Średnia z duże i małe wodne</text>
  </threadedComment>
  <threadedComment ref="AW12" dT="2025-06-15T10:35:54.37" personId="{534F618C-3BCF-4930-8517-5A6CD8A1D6B5}" id="{33612FEB-772B-49F3-AE1D-63D4E58E81B2}">
    <text>Średnia z duże i małe wodne</text>
  </threadedComment>
  <threadedComment ref="AM13" dT="2025-06-15T10:37:11.54" personId="{534F618C-3BCF-4930-8517-5A6CD8A1D6B5}" id="{FAE5EAB2-8034-4DF1-8221-B1166974C4AD}">
    <text xml:space="preserve">Średnia z 5.9 Ogniwa fotowoltaiczne ; o.f. dachowe </text>
  </threadedComment>
  <threadedComment ref="AW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M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R131"/>
  <sheetViews>
    <sheetView tabSelected="1" zoomScale="70" zoomScaleNormal="70" workbookViewId="0">
      <pane xSplit="2" topLeftCell="F1" activePane="topRight" state="frozen"/>
      <selection pane="topRight" activeCell="AA42" sqref="AA42"/>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8" width="8.453125" customWidth="1"/>
    <col min="29" max="29" width="8.54296875" customWidth="1"/>
    <col min="30" max="30" width="14.26953125" customWidth="1"/>
    <col min="31" max="31" width="8.1796875" customWidth="1"/>
    <col min="32" max="32" width="8.54296875" customWidth="1"/>
    <col min="33" max="33" width="9.26953125" customWidth="1"/>
    <col min="34" max="36" width="10.54296875" customWidth="1"/>
    <col min="37" max="39" width="7.54296875" customWidth="1"/>
    <col min="40" max="40" width="18.7265625" customWidth="1"/>
    <col min="41" max="41" width="15.7265625" customWidth="1"/>
    <col min="42" max="42" width="18.453125" customWidth="1"/>
    <col min="43" max="43" width="9.54296875" customWidth="1"/>
    <col min="44" max="44" width="7.453125" customWidth="1"/>
    <col min="45" max="45" width="5.1796875" customWidth="1"/>
    <col min="46" max="46" width="16.7265625" customWidth="1"/>
    <col min="47" max="47" width="10.81640625" customWidth="1"/>
    <col min="48" max="48" width="6.7265625" customWidth="1"/>
    <col min="49" max="49" width="8.36328125" bestFit="1" customWidth="1"/>
    <col min="50" max="50" width="11.81640625" bestFit="1" customWidth="1"/>
    <col min="51" max="51" width="9" customWidth="1"/>
    <col min="52" max="52" width="39.7265625" bestFit="1" customWidth="1"/>
    <col min="53" max="53" width="9" customWidth="1"/>
    <col min="54" max="57" width="8.54296875" customWidth="1"/>
    <col min="58" max="58" width="10.453125" customWidth="1"/>
    <col min="59" max="60" width="8.54296875" customWidth="1"/>
    <col min="61" max="61" width="9.54296875" customWidth="1"/>
    <col min="62" max="63" width="8.54296875" customWidth="1"/>
    <col min="64" max="68" width="12.1796875" customWidth="1"/>
    <col min="69" max="69" width="12.453125" customWidth="1"/>
    <col min="70" max="70" width="13.453125" customWidth="1"/>
    <col min="71" max="79" width="12.1796875" customWidth="1"/>
    <col min="80" max="97" width="9.1796875" customWidth="1"/>
  </cols>
  <sheetData>
    <row r="1" spans="2:67"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2:67"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7" ht="18" thickBot="1">
      <c r="B3" s="6" t="s">
        <v>0</v>
      </c>
      <c r="C3" s="7"/>
      <c r="AQ3" s="205" t="s">
        <v>1</v>
      </c>
      <c r="AR3" s="222" t="s">
        <v>2</v>
      </c>
      <c r="AS3" s="223"/>
      <c r="AT3" s="224">
        <v>4.4449470588235274</v>
      </c>
      <c r="AU3" s="222" t="s">
        <v>3</v>
      </c>
      <c r="AV3" s="223"/>
      <c r="AW3" s="209"/>
    </row>
    <row r="4" spans="2:67" ht="13" customHeight="1"/>
    <row r="5" spans="2:67" ht="22.5" customHeight="1" thickBot="1">
      <c r="E5" s="8" t="s">
        <v>4</v>
      </c>
      <c r="AM5" s="260" t="s">
        <v>5</v>
      </c>
      <c r="AN5" s="260"/>
      <c r="AO5" s="260"/>
      <c r="AP5" s="260"/>
      <c r="AQ5" s="260"/>
      <c r="AR5" s="260"/>
      <c r="AS5" s="260"/>
      <c r="AT5" s="260"/>
      <c r="AU5" s="260"/>
      <c r="AW5" s="260" t="s">
        <v>5</v>
      </c>
      <c r="AX5" s="260"/>
      <c r="AY5" s="260"/>
      <c r="AZ5" s="260"/>
      <c r="BA5" s="260"/>
      <c r="BB5" s="260"/>
      <c r="BC5" s="260"/>
      <c r="BD5" s="260"/>
      <c r="BE5" s="260"/>
    </row>
    <row r="6" spans="2:67" ht="37.5">
      <c r="B6" s="69" t="s">
        <v>6</v>
      </c>
      <c r="C6" s="70" t="s">
        <v>7</v>
      </c>
      <c r="D6" s="70" t="s">
        <v>8</v>
      </c>
      <c r="E6" s="71" t="s">
        <v>9</v>
      </c>
      <c r="F6" s="72" t="s">
        <v>10</v>
      </c>
      <c r="G6" s="73" t="s">
        <v>11</v>
      </c>
      <c r="H6" s="74" t="s">
        <v>12</v>
      </c>
      <c r="I6" s="74" t="s">
        <v>13</v>
      </c>
      <c r="J6" s="74" t="s">
        <v>14</v>
      </c>
      <c r="K6" s="74" t="s">
        <v>15</v>
      </c>
      <c r="L6" s="73" t="s">
        <v>16</v>
      </c>
      <c r="M6" s="74" t="s">
        <v>17</v>
      </c>
      <c r="N6" s="74" t="s">
        <v>18</v>
      </c>
      <c r="O6" s="74" t="s">
        <v>19</v>
      </c>
      <c r="P6" s="74" t="s">
        <v>20</v>
      </c>
      <c r="Q6" s="74" t="s">
        <v>21</v>
      </c>
      <c r="R6" s="74" t="s">
        <v>22</v>
      </c>
      <c r="S6" s="73" t="s">
        <v>23</v>
      </c>
      <c r="T6" s="75" t="s">
        <v>24</v>
      </c>
      <c r="U6" s="74" t="s">
        <v>25</v>
      </c>
      <c r="V6" s="74" t="s">
        <v>26</v>
      </c>
      <c r="W6" s="74" t="s">
        <v>27</v>
      </c>
      <c r="X6" s="74" t="s">
        <v>28</v>
      </c>
      <c r="Y6" s="74" t="s">
        <v>29</v>
      </c>
      <c r="Z6" s="73" t="s">
        <v>30</v>
      </c>
      <c r="AA6" s="75" t="s">
        <v>31</v>
      </c>
      <c r="AB6" s="74" t="s">
        <v>32</v>
      </c>
      <c r="AC6" s="74" t="s">
        <v>33</v>
      </c>
      <c r="AD6" s="74" t="s">
        <v>34</v>
      </c>
      <c r="AE6" s="74" t="s">
        <v>35</v>
      </c>
      <c r="AF6" s="73" t="s">
        <v>36</v>
      </c>
      <c r="AG6" s="76" t="s">
        <v>37</v>
      </c>
      <c r="AH6" s="76" t="s">
        <v>38</v>
      </c>
      <c r="AI6" s="76" t="s">
        <v>39</v>
      </c>
      <c r="AJ6" s="77" t="s">
        <v>40</v>
      </c>
      <c r="AM6" s="43" t="s">
        <v>41</v>
      </c>
      <c r="AN6" s="43" t="s">
        <v>42</v>
      </c>
      <c r="AO6" s="43" t="s">
        <v>43</v>
      </c>
      <c r="AP6" s="43" t="s">
        <v>44</v>
      </c>
      <c r="AQ6" s="43" t="s">
        <v>45</v>
      </c>
      <c r="AR6" s="43" t="s">
        <v>46</v>
      </c>
      <c r="AS6" s="43" t="s">
        <v>47</v>
      </c>
      <c r="AT6" s="43" t="s">
        <v>48</v>
      </c>
      <c r="AU6" s="43" t="s">
        <v>49</v>
      </c>
      <c r="AW6" s="43" t="s">
        <v>41</v>
      </c>
      <c r="AX6" s="43" t="s">
        <v>42</v>
      </c>
      <c r="AY6" s="43" t="s">
        <v>43</v>
      </c>
      <c r="AZ6" s="43" t="s">
        <v>44</v>
      </c>
      <c r="BA6" s="43" t="s">
        <v>45</v>
      </c>
      <c r="BB6" s="43" t="s">
        <v>46</v>
      </c>
      <c r="BC6" s="43" t="s">
        <v>47</v>
      </c>
      <c r="BD6" s="43" t="s">
        <v>48</v>
      </c>
      <c r="BE6" s="43" t="s">
        <v>49</v>
      </c>
    </row>
    <row r="7" spans="2:67" ht="38.25" customHeight="1">
      <c r="B7" s="78" t="s">
        <v>50</v>
      </c>
      <c r="C7" s="151"/>
      <c r="D7" s="151"/>
      <c r="E7" s="55" t="s">
        <v>50</v>
      </c>
      <c r="F7" s="47"/>
      <c r="G7" s="47" t="s">
        <v>51</v>
      </c>
      <c r="H7" s="152" t="s">
        <v>51</v>
      </c>
      <c r="I7" s="152" t="s">
        <v>51</v>
      </c>
      <c r="J7" s="152" t="s">
        <v>51</v>
      </c>
      <c r="K7" s="152" t="s">
        <v>51</v>
      </c>
      <c r="L7" s="47" t="s">
        <v>51</v>
      </c>
      <c r="M7" s="152" t="s">
        <v>218</v>
      </c>
      <c r="N7" s="152" t="s">
        <v>218</v>
      </c>
      <c r="O7" s="152" t="s">
        <v>218</v>
      </c>
      <c r="P7" s="152" t="s">
        <v>218</v>
      </c>
      <c r="Q7" s="152" t="s">
        <v>218</v>
      </c>
      <c r="R7" s="152" t="s">
        <v>218</v>
      </c>
      <c r="S7" s="152" t="s">
        <v>218</v>
      </c>
      <c r="T7" s="152" t="s">
        <v>218</v>
      </c>
      <c r="U7" s="152" t="s">
        <v>218</v>
      </c>
      <c r="V7" s="152" t="s">
        <v>218</v>
      </c>
      <c r="W7" s="152" t="s">
        <v>218</v>
      </c>
      <c r="X7" s="152" t="s">
        <v>218</v>
      </c>
      <c r="Y7" s="152" t="s">
        <v>218</v>
      </c>
      <c r="Z7" s="152" t="s">
        <v>218</v>
      </c>
      <c r="AA7" s="270" t="s">
        <v>219</v>
      </c>
      <c r="AB7" s="152" t="s">
        <v>219</v>
      </c>
      <c r="AC7" s="152" t="s">
        <v>219</v>
      </c>
      <c r="AD7" s="152" t="s">
        <v>219</v>
      </c>
      <c r="AE7" s="152" t="s">
        <v>219</v>
      </c>
      <c r="AF7" s="152" t="s">
        <v>219</v>
      </c>
      <c r="AG7" s="64"/>
      <c r="AH7" s="64" t="s">
        <v>54</v>
      </c>
      <c r="AI7" s="64" t="s">
        <v>51</v>
      </c>
      <c r="AJ7" s="79"/>
      <c r="AM7" s="261" t="s">
        <v>55</v>
      </c>
      <c r="AN7" s="261"/>
      <c r="AO7" s="261"/>
      <c r="AP7" s="261" t="s">
        <v>55</v>
      </c>
      <c r="AQ7" s="261"/>
      <c r="AR7" s="261"/>
      <c r="AS7" s="262" t="s">
        <v>56</v>
      </c>
      <c r="AT7" s="262"/>
      <c r="AU7" s="44" t="s">
        <v>57</v>
      </c>
      <c r="AW7" s="261" t="s">
        <v>58</v>
      </c>
      <c r="AX7" s="261"/>
      <c r="AY7" s="261"/>
      <c r="AZ7" s="261" t="s">
        <v>58</v>
      </c>
      <c r="BA7" s="261"/>
      <c r="BB7" s="261"/>
      <c r="BC7" s="262" t="s">
        <v>53</v>
      </c>
      <c r="BD7" s="262"/>
      <c r="BE7" s="44" t="s">
        <v>57</v>
      </c>
    </row>
    <row r="8" spans="2:67" ht="15.75" customHeight="1">
      <c r="B8" s="33" t="str">
        <f t="shared" ref="B8:C8" si="0">C49</f>
        <v>ELE_NEW_GAS_CCGT</v>
      </c>
      <c r="C8" s="177" t="str">
        <f t="shared" si="0"/>
        <v>New Gas Combined Cycle Power Plants</v>
      </c>
      <c r="D8" s="32" t="str">
        <f t="shared" ref="D8:D14" si="1">C67</f>
        <v>PRI_GAS_NAT</v>
      </c>
      <c r="E8" s="56" t="str">
        <f>C74</f>
        <v>ELC</v>
      </c>
      <c r="F8" s="52">
        <v>2025</v>
      </c>
      <c r="G8" s="52">
        <v>0.69040000000000001</v>
      </c>
      <c r="H8" s="167">
        <f>G8</f>
        <v>0.69040000000000001</v>
      </c>
      <c r="I8" s="167">
        <f t="shared" ref="I8:L9" si="2">H8</f>
        <v>0.69040000000000001</v>
      </c>
      <c r="J8" s="167">
        <f t="shared" si="2"/>
        <v>0.69040000000000001</v>
      </c>
      <c r="K8" s="167">
        <f t="shared" si="2"/>
        <v>0.69040000000000001</v>
      </c>
      <c r="L8" s="52">
        <f t="shared" si="2"/>
        <v>0.69040000000000001</v>
      </c>
      <c r="M8" s="164">
        <f>$AW$8</f>
        <v>3711.5307941176452</v>
      </c>
      <c r="N8" s="68">
        <f>M8</f>
        <v>3711.5307941176452</v>
      </c>
      <c r="O8" s="68">
        <f t="shared" ref="O8:S8" si="3">N8</f>
        <v>3711.5307941176452</v>
      </c>
      <c r="P8" s="68">
        <f t="shared" si="3"/>
        <v>3711.5307941176452</v>
      </c>
      <c r="Q8" s="68">
        <f t="shared" si="3"/>
        <v>3711.5307941176452</v>
      </c>
      <c r="R8" s="68">
        <f t="shared" si="3"/>
        <v>3711.5307941176452</v>
      </c>
      <c r="S8" s="68">
        <f t="shared" si="3"/>
        <v>3711.5307941176452</v>
      </c>
      <c r="T8" s="57">
        <f>$AZ$8</f>
        <v>88.898941176470544</v>
      </c>
      <c r="U8" s="68">
        <f t="shared" ref="U8:U13" si="4">T8</f>
        <v>88.898941176470544</v>
      </c>
      <c r="V8" s="68">
        <f t="shared" ref="V8:Z8" si="5">U8</f>
        <v>88.898941176470544</v>
      </c>
      <c r="W8" s="68">
        <f t="shared" si="5"/>
        <v>88.898941176470544</v>
      </c>
      <c r="X8" s="68">
        <f t="shared" si="5"/>
        <v>88.898941176470544</v>
      </c>
      <c r="Y8" s="68">
        <f t="shared" si="5"/>
        <v>88.898941176470544</v>
      </c>
      <c r="Z8" s="48">
        <f t="shared" si="5"/>
        <v>88.898941176470544</v>
      </c>
      <c r="AA8" s="165">
        <f>BC8</f>
        <v>3.2003618823529395E-2</v>
      </c>
      <c r="AB8" s="165"/>
      <c r="AC8" s="165"/>
      <c r="AD8" s="165"/>
      <c r="AE8" s="165"/>
      <c r="AF8" s="62"/>
      <c r="AG8" s="66">
        <v>1</v>
      </c>
      <c r="AH8" s="169">
        <v>31.54</v>
      </c>
      <c r="AI8" s="176">
        <v>0.38524932768669018</v>
      </c>
      <c r="AJ8" s="172">
        <v>30</v>
      </c>
      <c r="AM8" s="42">
        <v>835</v>
      </c>
      <c r="AN8" s="42"/>
      <c r="AO8" s="42"/>
      <c r="AP8" s="42">
        <v>20</v>
      </c>
      <c r="AQ8" s="42"/>
      <c r="AR8" s="42"/>
      <c r="AS8" s="42">
        <v>2</v>
      </c>
      <c r="AT8" s="42"/>
      <c r="AU8" s="42">
        <v>30</v>
      </c>
      <c r="AW8" s="46">
        <f>AM8*$AT$3</f>
        <v>3711.5307941176452</v>
      </c>
      <c r="AX8" s="46"/>
      <c r="AY8" s="46"/>
      <c r="AZ8" s="46">
        <f t="shared" ref="AZ8:AZ13" si="6">AP8*$AT$3</f>
        <v>88.898941176470544</v>
      </c>
      <c r="BA8" s="46"/>
      <c r="BB8" s="46"/>
      <c r="BC8" s="46">
        <f>AS8*$AT$3*0.0036</f>
        <v>3.2003618823529395E-2</v>
      </c>
      <c r="BD8" s="46"/>
      <c r="BE8" s="42">
        <v>30</v>
      </c>
    </row>
    <row r="9" spans="2:67" ht="15.75" customHeight="1">
      <c r="B9" s="34" t="str">
        <f t="shared" ref="B9:C9" si="7">C50</f>
        <v>ELE_NEW_BIOM</v>
      </c>
      <c r="C9" s="178" t="str">
        <f t="shared" si="7"/>
        <v>New Biomass Power Plants</v>
      </c>
      <c r="D9" s="179" t="str">
        <f t="shared" si="1"/>
        <v>PRI_BIOM</v>
      </c>
      <c r="E9" s="179" t="str">
        <f>C75</f>
        <v>ELC_RES</v>
      </c>
      <c r="F9" s="80">
        <v>2025</v>
      </c>
      <c r="G9" s="126">
        <v>0.38540000000000002</v>
      </c>
      <c r="H9" s="180">
        <f>G9</f>
        <v>0.38540000000000002</v>
      </c>
      <c r="I9" s="180">
        <f>H9</f>
        <v>0.38540000000000002</v>
      </c>
      <c r="J9" s="180">
        <f t="shared" si="2"/>
        <v>0.38540000000000002</v>
      </c>
      <c r="K9" s="180">
        <f t="shared" si="2"/>
        <v>0.38540000000000002</v>
      </c>
      <c r="L9" s="53">
        <v>0.45</v>
      </c>
      <c r="M9" s="162">
        <f>AW9</f>
        <v>14446.077941176463</v>
      </c>
      <c r="N9" s="181"/>
      <c r="O9" s="181"/>
      <c r="P9" s="181"/>
      <c r="Q9" s="181"/>
      <c r="R9" s="181"/>
      <c r="S9" s="162">
        <f t="shared" ref="S9:T11" si="8">AY9</f>
        <v>13334.841176470582</v>
      </c>
      <c r="T9" s="58">
        <f t="shared" si="8"/>
        <v>591.17795882352914</v>
      </c>
      <c r="U9" s="162">
        <f t="shared" si="4"/>
        <v>591.17795882352914</v>
      </c>
      <c r="V9" s="162">
        <f t="shared" ref="V9:Z9" si="9">U9</f>
        <v>591.17795882352914</v>
      </c>
      <c r="W9" s="162">
        <f t="shared" si="9"/>
        <v>591.17795882352914</v>
      </c>
      <c r="X9" s="162">
        <f t="shared" si="9"/>
        <v>591.17795882352914</v>
      </c>
      <c r="Y9" s="162">
        <f t="shared" si="9"/>
        <v>591.17795882352914</v>
      </c>
      <c r="Z9" s="49">
        <f t="shared" si="9"/>
        <v>591.17795882352914</v>
      </c>
      <c r="AA9" s="29"/>
      <c r="AB9" s="29"/>
      <c r="AC9" s="29"/>
      <c r="AD9" s="29"/>
      <c r="AE9" s="29"/>
      <c r="AF9" s="63"/>
      <c r="AG9" s="122">
        <v>0.9</v>
      </c>
      <c r="AH9" s="170">
        <v>31.54</v>
      </c>
      <c r="AI9" s="122">
        <v>0.56431245988983847</v>
      </c>
      <c r="AJ9" s="173">
        <v>30</v>
      </c>
      <c r="AM9" s="42">
        <v>3250</v>
      </c>
      <c r="AN9" s="42"/>
      <c r="AO9" s="42">
        <v>3000</v>
      </c>
      <c r="AP9" s="42">
        <v>133</v>
      </c>
      <c r="AQ9" s="42"/>
      <c r="AR9" s="42"/>
      <c r="AS9" s="42"/>
      <c r="AT9" s="42"/>
      <c r="AU9" s="42">
        <v>30</v>
      </c>
      <c r="AW9" s="46">
        <f t="shared" ref="AW9:AW13" si="10">AM9*$AT$3</f>
        <v>14446.077941176463</v>
      </c>
      <c r="AX9" s="46"/>
      <c r="AY9" s="46">
        <f>AO9*$AT$3</f>
        <v>13334.841176470582</v>
      </c>
      <c r="AZ9" s="46">
        <f t="shared" si="6"/>
        <v>591.17795882352914</v>
      </c>
      <c r="BA9" s="46"/>
      <c r="BB9" s="46"/>
      <c r="BC9" s="46"/>
      <c r="BD9" s="46"/>
      <c r="BE9" s="42">
        <v>30</v>
      </c>
    </row>
    <row r="10" spans="2:67" ht="15.75" customHeight="1">
      <c r="B10" s="33" t="str">
        <f t="shared" ref="B10:C10" si="11">C51</f>
        <v>ELE_NEW_WIND_ON</v>
      </c>
      <c r="C10" s="177" t="str">
        <f t="shared" si="11"/>
        <v>New Onshore Wind Turbines</v>
      </c>
      <c r="D10" s="32" t="str">
        <f t="shared" si="1"/>
        <v>PRI_WIND_ON</v>
      </c>
      <c r="E10" s="56" t="str">
        <f>C75</f>
        <v>ELC_RES</v>
      </c>
      <c r="F10" s="52">
        <v>2025</v>
      </c>
      <c r="G10" s="65">
        <v>1</v>
      </c>
      <c r="H10" s="16">
        <v>1</v>
      </c>
      <c r="I10" s="16">
        <v>1</v>
      </c>
      <c r="J10" s="16">
        <v>1</v>
      </c>
      <c r="K10" s="16">
        <v>1</v>
      </c>
      <c r="L10" s="54">
        <v>1</v>
      </c>
      <c r="M10" s="163">
        <f>AW10</f>
        <v>6667.4205882352908</v>
      </c>
      <c r="N10" s="16"/>
      <c r="O10" s="16"/>
      <c r="P10" s="16"/>
      <c r="Q10" s="16"/>
      <c r="R10" s="16"/>
      <c r="S10" s="163">
        <f t="shared" si="8"/>
        <v>5111.6891176470563</v>
      </c>
      <c r="T10" s="59">
        <f t="shared" si="8"/>
        <v>248.91703529411754</v>
      </c>
      <c r="U10" s="163">
        <f t="shared" si="4"/>
        <v>248.91703529411754</v>
      </c>
      <c r="V10" s="163">
        <f t="shared" ref="V10:Z10" si="12">U10</f>
        <v>248.91703529411754</v>
      </c>
      <c r="W10" s="163">
        <f t="shared" si="12"/>
        <v>248.91703529411754</v>
      </c>
      <c r="X10" s="163">
        <f t="shared" si="12"/>
        <v>248.91703529411754</v>
      </c>
      <c r="Y10" s="163">
        <f t="shared" si="12"/>
        <v>248.91703529411754</v>
      </c>
      <c r="Z10" s="50">
        <f t="shared" si="12"/>
        <v>248.91703529411754</v>
      </c>
      <c r="AA10" s="16"/>
      <c r="AB10" s="16"/>
      <c r="AC10" s="16"/>
      <c r="AD10" s="16"/>
      <c r="AE10" s="16"/>
      <c r="AF10" s="54"/>
      <c r="AG10" s="123">
        <v>0.15</v>
      </c>
      <c r="AH10" s="171">
        <v>31.54</v>
      </c>
      <c r="AI10" s="123">
        <v>0.27633443552196507</v>
      </c>
      <c r="AJ10" s="174">
        <v>25</v>
      </c>
      <c r="AM10" s="42">
        <v>1500</v>
      </c>
      <c r="AN10" s="42"/>
      <c r="AO10" s="42">
        <v>1150</v>
      </c>
      <c r="AP10" s="42">
        <v>56</v>
      </c>
      <c r="AQ10" s="42"/>
      <c r="AR10" s="42"/>
      <c r="AS10" s="42"/>
      <c r="AT10" s="42"/>
      <c r="AU10" s="42">
        <v>25</v>
      </c>
      <c r="AW10" s="46">
        <f t="shared" si="10"/>
        <v>6667.4205882352908</v>
      </c>
      <c r="AX10" s="46"/>
      <c r="AY10" s="46">
        <f>AO10*$AT$3</f>
        <v>5111.6891176470563</v>
      </c>
      <c r="AZ10" s="46">
        <f t="shared" si="6"/>
        <v>248.91703529411754</v>
      </c>
      <c r="BA10" s="46"/>
      <c r="BB10" s="46"/>
      <c r="BC10" s="46"/>
      <c r="BD10" s="46"/>
      <c r="BE10" s="42">
        <v>25</v>
      </c>
      <c r="BH10" s="41" t="s">
        <v>59</v>
      </c>
      <c r="BI10" t="s">
        <v>60</v>
      </c>
    </row>
    <row r="11" spans="2:67" ht="15.75" customHeight="1">
      <c r="B11" s="34" t="str">
        <f t="shared" ref="B11:C11" si="13">C52</f>
        <v>ELE_NEW_WIND_OFF</v>
      </c>
      <c r="C11" s="178" t="str">
        <f t="shared" si="13"/>
        <v>New Offshore Wind Turbines</v>
      </c>
      <c r="D11" s="179" t="str">
        <f t="shared" si="1"/>
        <v>PRI_WIND_OFF</v>
      </c>
      <c r="E11" s="179" t="str">
        <f>C75</f>
        <v>ELC_RES</v>
      </c>
      <c r="F11" s="80">
        <v>2025</v>
      </c>
      <c r="G11" s="126">
        <v>1</v>
      </c>
      <c r="H11" s="181">
        <v>1</v>
      </c>
      <c r="I11" s="181">
        <v>1</v>
      </c>
      <c r="J11" s="181">
        <v>1</v>
      </c>
      <c r="K11" s="181">
        <v>1</v>
      </c>
      <c r="L11" s="53">
        <v>1</v>
      </c>
      <c r="M11" s="162">
        <f>AW11</f>
        <v>13557.088529411758</v>
      </c>
      <c r="N11" s="181"/>
      <c r="O11" s="181">
        <f>AX11</f>
        <v>10890.120294117642</v>
      </c>
      <c r="P11" s="181"/>
      <c r="Q11" s="181"/>
      <c r="R11" s="181"/>
      <c r="S11" s="162">
        <f t="shared" si="8"/>
        <v>8223.1520588235253</v>
      </c>
      <c r="T11" s="58">
        <f t="shared" si="8"/>
        <v>444.49470588235272</v>
      </c>
      <c r="U11" s="162">
        <f t="shared" si="4"/>
        <v>444.49470588235272</v>
      </c>
      <c r="V11" s="162">
        <f t="shared" ref="V11:Z11" si="14">U11</f>
        <v>444.49470588235272</v>
      </c>
      <c r="W11" s="162">
        <f t="shared" si="14"/>
        <v>444.49470588235272</v>
      </c>
      <c r="X11" s="162">
        <f t="shared" si="14"/>
        <v>444.49470588235272</v>
      </c>
      <c r="Y11" s="162">
        <f t="shared" si="14"/>
        <v>444.49470588235272</v>
      </c>
      <c r="Z11" s="49">
        <f t="shared" si="14"/>
        <v>444.49470588235272</v>
      </c>
      <c r="AA11" s="29"/>
      <c r="AB11" s="29"/>
      <c r="AC11" s="29"/>
      <c r="AD11" s="29"/>
      <c r="AE11" s="29"/>
      <c r="AF11" s="63"/>
      <c r="AG11" s="122">
        <v>0.3</v>
      </c>
      <c r="AH11" s="170">
        <v>31.54</v>
      </c>
      <c r="AI11" s="67">
        <f>BK15</f>
        <v>0.31889021242803256</v>
      </c>
      <c r="AJ11" s="173">
        <v>25</v>
      </c>
      <c r="AM11" s="42">
        <v>3050</v>
      </c>
      <c r="AN11" s="42">
        <v>2450</v>
      </c>
      <c r="AO11" s="42">
        <v>1850</v>
      </c>
      <c r="AP11" s="42">
        <v>100</v>
      </c>
      <c r="AQ11" s="42"/>
      <c r="AR11" s="42"/>
      <c r="AS11" s="42"/>
      <c r="AT11" s="42"/>
      <c r="AU11" s="42">
        <v>25</v>
      </c>
      <c r="AW11" s="46">
        <f t="shared" si="10"/>
        <v>13557.088529411758</v>
      </c>
      <c r="AX11" s="46">
        <f>AN11*$AT$3</f>
        <v>10890.120294117642</v>
      </c>
      <c r="AY11" s="46">
        <f>AO11*$AT$3</f>
        <v>8223.1520588235253</v>
      </c>
      <c r="AZ11" s="46">
        <f t="shared" si="6"/>
        <v>444.49470588235272</v>
      </c>
      <c r="BA11" s="46"/>
      <c r="BB11" s="46"/>
      <c r="BC11" s="46"/>
      <c r="BD11" s="46"/>
      <c r="BE11" s="42">
        <v>25</v>
      </c>
      <c r="BH11" s="41" t="s">
        <v>61</v>
      </c>
    </row>
    <row r="12" spans="2:67" ht="15.75" customHeight="1">
      <c r="B12" s="33" t="str">
        <f t="shared" ref="B12:C12" si="15">C53</f>
        <v>ELE_NEW_HYDRO</v>
      </c>
      <c r="C12" s="177" t="str">
        <f t="shared" si="15"/>
        <v>New Hydro Power Plants</v>
      </c>
      <c r="D12" s="32" t="str">
        <f t="shared" si="1"/>
        <v>PRI_HYD</v>
      </c>
      <c r="E12" s="56" t="str">
        <f>C75</f>
        <v>ELC_RES</v>
      </c>
      <c r="F12" s="52">
        <v>2025</v>
      </c>
      <c r="G12" s="81">
        <v>1</v>
      </c>
      <c r="H12" s="16">
        <v>1</v>
      </c>
      <c r="I12" s="16">
        <v>1</v>
      </c>
      <c r="J12" s="16">
        <v>1</v>
      </c>
      <c r="K12" s="16">
        <v>1</v>
      </c>
      <c r="L12" s="54">
        <v>1</v>
      </c>
      <c r="M12" s="164">
        <f>AW12</f>
        <v>13223.717499999993</v>
      </c>
      <c r="N12" s="164">
        <f>M12</f>
        <v>13223.717499999993</v>
      </c>
      <c r="O12" s="164">
        <f t="shared" ref="O12:P12" si="16">N12</f>
        <v>13223.717499999993</v>
      </c>
      <c r="P12" s="164">
        <f t="shared" si="16"/>
        <v>13223.717499999993</v>
      </c>
      <c r="Q12" s="164">
        <f>P12</f>
        <v>13223.717499999993</v>
      </c>
      <c r="R12" s="164">
        <f>Q12</f>
        <v>13223.717499999993</v>
      </c>
      <c r="S12" s="164">
        <f>R12</f>
        <v>13223.717499999993</v>
      </c>
      <c r="T12" s="57">
        <f>AZ12</f>
        <v>271.14177058823515</v>
      </c>
      <c r="U12" s="164">
        <f t="shared" si="4"/>
        <v>271.14177058823515</v>
      </c>
      <c r="V12" s="164">
        <f t="shared" ref="V12:Z12" si="17">U12</f>
        <v>271.14177058823515</v>
      </c>
      <c r="W12" s="164">
        <f t="shared" si="17"/>
        <v>271.14177058823515</v>
      </c>
      <c r="X12" s="164">
        <f t="shared" si="17"/>
        <v>271.14177058823515</v>
      </c>
      <c r="Y12" s="164">
        <f t="shared" si="17"/>
        <v>271.14177058823515</v>
      </c>
      <c r="Z12" s="51">
        <f t="shared" si="17"/>
        <v>271.14177058823515</v>
      </c>
      <c r="AA12" s="166"/>
      <c r="AB12" s="166"/>
      <c r="AC12" s="166"/>
      <c r="AD12" s="166"/>
      <c r="AE12" s="166"/>
      <c r="AF12" s="60"/>
      <c r="AG12" s="66">
        <v>1</v>
      </c>
      <c r="AH12" s="171">
        <v>31.54</v>
      </c>
      <c r="AI12" s="66">
        <v>0.24694809430621567</v>
      </c>
      <c r="AJ12" s="172">
        <v>60</v>
      </c>
      <c r="AM12" s="42">
        <f>AVERAGE(3100,2850)</f>
        <v>2975</v>
      </c>
      <c r="AN12" s="42"/>
      <c r="AO12" s="42"/>
      <c r="AP12" s="42">
        <f>AVERAGE(39,83)</f>
        <v>61</v>
      </c>
      <c r="AQ12" s="42"/>
      <c r="AR12" s="42"/>
      <c r="AS12" s="42"/>
      <c r="AT12" s="42"/>
      <c r="AU12" s="42">
        <v>60</v>
      </c>
      <c r="AW12" s="46">
        <f t="shared" si="10"/>
        <v>13223.717499999993</v>
      </c>
      <c r="AX12" s="46"/>
      <c r="AY12" s="46">
        <f>AO12*$AT$3</f>
        <v>0</v>
      </c>
      <c r="AZ12" s="46">
        <f t="shared" si="6"/>
        <v>271.14177058823515</v>
      </c>
      <c r="BA12" s="46"/>
      <c r="BB12" s="46"/>
      <c r="BC12" s="46"/>
      <c r="BD12" s="46"/>
      <c r="BE12" s="42">
        <v>60</v>
      </c>
      <c r="BI12" s="264" t="str">
        <f>B11</f>
        <v>ELE_NEW_WIND_OFF</v>
      </c>
      <c r="BJ12" s="114" t="s">
        <v>62</v>
      </c>
      <c r="BK12" s="120">
        <v>25.7</v>
      </c>
      <c r="BL12" s="119" t="s">
        <v>63</v>
      </c>
      <c r="BM12">
        <f>BK12*1000</f>
        <v>25700</v>
      </c>
      <c r="BN12" s="41" t="s">
        <v>64</v>
      </c>
    </row>
    <row r="13" spans="2:67" ht="15.75" customHeight="1">
      <c r="B13" s="34" t="str">
        <f t="shared" ref="B13:C13" si="18">C54</f>
        <v>ELE_NEW_PV</v>
      </c>
      <c r="C13" s="178" t="str">
        <f t="shared" si="18"/>
        <v>New PV Power Plants</v>
      </c>
      <c r="D13" s="179" t="str">
        <f t="shared" si="1"/>
        <v>PRI_SOL</v>
      </c>
      <c r="E13" s="179" t="str">
        <f>C75</f>
        <v>ELC_RES</v>
      </c>
      <c r="F13" s="80">
        <v>2025</v>
      </c>
      <c r="G13" s="126">
        <v>1</v>
      </c>
      <c r="H13" s="181">
        <v>1</v>
      </c>
      <c r="I13" s="181">
        <v>1</v>
      </c>
      <c r="J13" s="181">
        <v>1</v>
      </c>
      <c r="K13" s="181">
        <v>1</v>
      </c>
      <c r="L13" s="53">
        <v>1</v>
      </c>
      <c r="M13" s="162">
        <f>AW13</f>
        <v>4311.5986470588214</v>
      </c>
      <c r="N13" s="181"/>
      <c r="O13" s="181"/>
      <c r="P13" s="181"/>
      <c r="Q13" s="181"/>
      <c r="R13" s="181"/>
      <c r="S13" s="162">
        <f>AY13</f>
        <v>3089.2382058823514</v>
      </c>
      <c r="T13" s="58">
        <f>AZ13</f>
        <v>88.898941176470544</v>
      </c>
      <c r="U13" s="162">
        <f t="shared" si="4"/>
        <v>88.898941176470544</v>
      </c>
      <c r="V13" s="162">
        <f t="shared" ref="V13:Z13" si="19">U13</f>
        <v>88.898941176470544</v>
      </c>
      <c r="W13" s="162">
        <f t="shared" si="19"/>
        <v>88.898941176470544</v>
      </c>
      <c r="X13" s="162">
        <f t="shared" si="19"/>
        <v>88.898941176470544</v>
      </c>
      <c r="Y13" s="162">
        <f t="shared" si="19"/>
        <v>88.898941176470544</v>
      </c>
      <c r="Z13" s="49">
        <f t="shared" si="19"/>
        <v>88.898941176470544</v>
      </c>
      <c r="AA13" s="29"/>
      <c r="AB13" s="29"/>
      <c r="AC13" s="29"/>
      <c r="AD13" s="29"/>
      <c r="AE13" s="29"/>
      <c r="AF13" s="63"/>
      <c r="AG13" s="122">
        <v>0.05</v>
      </c>
      <c r="AH13" s="170">
        <v>31.54</v>
      </c>
      <c r="AI13" s="67">
        <v>8.0376786800971961E-2</v>
      </c>
      <c r="AJ13" s="173">
        <v>25</v>
      </c>
      <c r="AM13" s="42">
        <f>AVERAGE(840,1100)</f>
        <v>970</v>
      </c>
      <c r="AN13" s="42"/>
      <c r="AO13" s="42">
        <f>AVERAGE(610,780)</f>
        <v>695</v>
      </c>
      <c r="AP13" s="42">
        <f>AVERAGE(18,22)</f>
        <v>20</v>
      </c>
      <c r="AQ13" s="42"/>
      <c r="AR13" s="42"/>
      <c r="AS13" s="42"/>
      <c r="AT13" s="42"/>
      <c r="AU13" s="42">
        <v>25</v>
      </c>
      <c r="AW13" s="46">
        <f t="shared" si="10"/>
        <v>4311.5986470588214</v>
      </c>
      <c r="AX13" s="46"/>
      <c r="AY13" s="46">
        <f>AO13*$AT$3</f>
        <v>3089.2382058823514</v>
      </c>
      <c r="AZ13" s="46">
        <f t="shared" si="6"/>
        <v>88.898941176470544</v>
      </c>
      <c r="BA13" s="46"/>
      <c r="BB13" s="46"/>
      <c r="BC13" s="46"/>
      <c r="BD13" s="46"/>
      <c r="BE13" s="42">
        <v>25</v>
      </c>
      <c r="BI13" s="264"/>
      <c r="BJ13" s="114" t="s">
        <v>65</v>
      </c>
      <c r="BK13" s="120">
        <v>9.1999999999999993</v>
      </c>
      <c r="BL13" s="119" t="s">
        <v>66</v>
      </c>
    </row>
    <row r="14" spans="2:67" ht="15.75" customHeight="1">
      <c r="B14" s="33" t="str">
        <f t="shared" ref="B14:C14" si="20">C55</f>
        <v>ELE_NEW_NUC</v>
      </c>
      <c r="C14" s="177" t="str">
        <f t="shared" si="20"/>
        <v>New Nuclear Power Plants</v>
      </c>
      <c r="D14" s="32" t="str">
        <f t="shared" si="1"/>
        <v>PRI_URAN</v>
      </c>
      <c r="E14" s="56" t="str">
        <f>C74</f>
        <v>ELC</v>
      </c>
      <c r="F14" s="52">
        <v>2030</v>
      </c>
      <c r="G14" s="167">
        <v>0.33800000000000002</v>
      </c>
      <c r="H14" s="167">
        <v>0.33800000000000002</v>
      </c>
      <c r="I14" s="182">
        <f>H14</f>
        <v>0.33800000000000002</v>
      </c>
      <c r="J14" s="182">
        <f t="shared" ref="J14:L15" si="21">I14</f>
        <v>0.33800000000000002</v>
      </c>
      <c r="K14" s="182">
        <f t="shared" si="21"/>
        <v>0.33800000000000002</v>
      </c>
      <c r="L14" s="82">
        <f t="shared" si="21"/>
        <v>0.33800000000000002</v>
      </c>
      <c r="M14" s="167"/>
      <c r="N14" s="167"/>
      <c r="O14" s="164">
        <f>AX14</f>
        <v>21113.498529411754</v>
      </c>
      <c r="P14" s="164">
        <f>O14</f>
        <v>21113.498529411754</v>
      </c>
      <c r="Q14" s="164">
        <f t="shared" ref="Q14:S14" si="22">P14</f>
        <v>21113.498529411754</v>
      </c>
      <c r="R14" s="164">
        <f t="shared" si="22"/>
        <v>21113.498529411754</v>
      </c>
      <c r="S14" s="164">
        <f t="shared" si="22"/>
        <v>21113.498529411754</v>
      </c>
      <c r="T14" s="61"/>
      <c r="U14" s="167"/>
      <c r="V14" s="164">
        <f>BA14</f>
        <v>511.16891176470563</v>
      </c>
      <c r="W14" s="164">
        <f>V14</f>
        <v>511.16891176470563</v>
      </c>
      <c r="X14" s="164">
        <f t="shared" ref="X14:Z14" si="23">W14</f>
        <v>511.16891176470563</v>
      </c>
      <c r="Y14" s="164">
        <f t="shared" si="23"/>
        <v>511.16891176470563</v>
      </c>
      <c r="Z14" s="51">
        <f t="shared" si="23"/>
        <v>511.16891176470563</v>
      </c>
      <c r="AA14" s="166"/>
      <c r="AB14" s="165">
        <f>BD14</f>
        <v>4.8005428235294099E-2</v>
      </c>
      <c r="AC14" s="165">
        <f>AB14</f>
        <v>4.8005428235294099E-2</v>
      </c>
      <c r="AD14" s="165">
        <f t="shared" ref="AD14:AF14" si="24">AC14</f>
        <v>4.8005428235294099E-2</v>
      </c>
      <c r="AE14" s="165">
        <f t="shared" si="24"/>
        <v>4.8005428235294099E-2</v>
      </c>
      <c r="AF14" s="165">
        <f t="shared" si="24"/>
        <v>4.8005428235294099E-2</v>
      </c>
      <c r="AG14" s="124">
        <v>0.9</v>
      </c>
      <c r="AH14" s="171">
        <v>31.54</v>
      </c>
      <c r="AI14" s="66">
        <v>0.9</v>
      </c>
      <c r="AJ14" s="172">
        <v>60</v>
      </c>
      <c r="AM14" s="42"/>
      <c r="AN14" s="42">
        <v>4750</v>
      </c>
      <c r="AO14" s="42"/>
      <c r="AP14" s="42"/>
      <c r="AQ14" s="42">
        <v>115</v>
      </c>
      <c r="AR14" s="42"/>
      <c r="AS14" s="42"/>
      <c r="AT14" s="42">
        <v>3</v>
      </c>
      <c r="AU14" s="42">
        <v>60</v>
      </c>
      <c r="AW14" s="46"/>
      <c r="AX14" s="46">
        <f>AN14*$AT$3</f>
        <v>21113.498529411754</v>
      </c>
      <c r="AY14" s="46"/>
      <c r="AZ14" s="46"/>
      <c r="BA14" s="46">
        <f>AQ14*$AT$3</f>
        <v>511.16891176470563</v>
      </c>
      <c r="BB14" s="46"/>
      <c r="BC14" s="46"/>
      <c r="BD14" s="46">
        <f>AT14*$AT$3*0.0036</f>
        <v>4.8005428235294099E-2</v>
      </c>
      <c r="BE14" s="42">
        <v>60</v>
      </c>
      <c r="BI14" s="264"/>
      <c r="BJ14" s="121" t="s">
        <v>67</v>
      </c>
      <c r="BK14" s="120">
        <f>BK13*8760</f>
        <v>80592</v>
      </c>
      <c r="BL14" s="119" t="s">
        <v>64</v>
      </c>
    </row>
    <row r="15" spans="2:67" ht="13" thickBot="1">
      <c r="B15" s="84" t="str">
        <f>C56</f>
        <v>NEW_ELZ_H2G</v>
      </c>
      <c r="C15" s="85" t="str">
        <f>D56</f>
        <v>New electrolysers</v>
      </c>
      <c r="D15" s="86" t="str">
        <f>C76</f>
        <v>ELC_GRID_RES</v>
      </c>
      <c r="E15" s="87" t="str">
        <f>C77</f>
        <v>SEC_H2G</v>
      </c>
      <c r="F15" s="83">
        <v>2023</v>
      </c>
      <c r="G15" s="134">
        <f>1/(120/0.68)</f>
        <v>5.6666666666666671E-3</v>
      </c>
      <c r="H15" s="135">
        <f>G15</f>
        <v>5.6666666666666671E-3</v>
      </c>
      <c r="I15" s="135">
        <f>H15</f>
        <v>5.6666666666666671E-3</v>
      </c>
      <c r="J15" s="135">
        <f t="shared" si="21"/>
        <v>5.6666666666666671E-3</v>
      </c>
      <c r="K15" s="135">
        <f t="shared" si="21"/>
        <v>5.6666666666666671E-3</v>
      </c>
      <c r="L15" s="135">
        <f t="shared" si="21"/>
        <v>5.6666666666666671E-3</v>
      </c>
      <c r="M15" s="89">
        <v>2444.72088235294</v>
      </c>
      <c r="N15" s="89"/>
      <c r="O15" s="89"/>
      <c r="P15" s="89"/>
      <c r="Q15" s="89"/>
      <c r="R15" s="89"/>
      <c r="S15" s="89">
        <v>1266.8099117647052</v>
      </c>
      <c r="T15" s="91">
        <v>133.34841176470599</v>
      </c>
      <c r="U15" s="89"/>
      <c r="V15" s="89"/>
      <c r="W15" s="89"/>
      <c r="X15" s="89"/>
      <c r="Y15" s="21"/>
      <c r="Z15" s="90">
        <v>111.12367647058818</v>
      </c>
      <c r="AA15" s="21"/>
      <c r="AB15" s="21"/>
      <c r="AC15" s="21"/>
      <c r="AD15" s="21"/>
      <c r="AE15" s="21"/>
      <c r="AF15" s="88"/>
      <c r="AG15" s="125"/>
      <c r="AH15" s="183">
        <v>0.26279999999999998</v>
      </c>
      <c r="AI15" s="125">
        <v>1</v>
      </c>
      <c r="AJ15" s="175">
        <v>30</v>
      </c>
      <c r="AM15" s="42">
        <v>550</v>
      </c>
      <c r="AN15" s="42"/>
      <c r="AO15" s="42">
        <v>285</v>
      </c>
      <c r="AP15" s="42">
        <v>30</v>
      </c>
      <c r="AQ15" s="42"/>
      <c r="AR15" s="42">
        <v>25</v>
      </c>
      <c r="AS15" s="42"/>
      <c r="AT15" s="42"/>
      <c r="AU15" s="42">
        <v>30</v>
      </c>
      <c r="AW15" s="46">
        <f>AM15*$AT$3</f>
        <v>2444.72088235294</v>
      </c>
      <c r="AX15" s="46"/>
      <c r="AY15" s="46">
        <f>AO15*$AT$3</f>
        <v>1266.8099117647052</v>
      </c>
      <c r="AZ15" s="46">
        <f>AP15*$AT$3</f>
        <v>133.34841176470582</v>
      </c>
      <c r="BA15" s="46"/>
      <c r="BB15" s="46">
        <f>AR15*$AT$3</f>
        <v>111.12367647058818</v>
      </c>
      <c r="BC15" s="46"/>
      <c r="BD15" s="46"/>
      <c r="BE15" s="42">
        <v>30</v>
      </c>
      <c r="BI15" s="264"/>
      <c r="BJ15" s="114" t="s">
        <v>39</v>
      </c>
      <c r="BK15" s="120">
        <f>BM12/BK14</f>
        <v>0.31889021242803256</v>
      </c>
      <c r="BL15" s="115"/>
    </row>
    <row r="16" spans="2:67">
      <c r="AM16" s="29"/>
      <c r="AQ16" s="92"/>
      <c r="AR16" s="92"/>
      <c r="AS16" s="92"/>
      <c r="AT16" s="92"/>
      <c r="AU16" s="92"/>
      <c r="AV16" s="92"/>
      <c r="AW16" s="92"/>
      <c r="AX16" s="92"/>
      <c r="AY16" s="92"/>
      <c r="BA16" s="142"/>
      <c r="BB16" s="142"/>
      <c r="BC16" s="142"/>
      <c r="BD16" s="142"/>
      <c r="BE16" s="142"/>
      <c r="BF16" s="142"/>
      <c r="BG16" s="142"/>
      <c r="BH16" s="142"/>
      <c r="BI16" s="92"/>
      <c r="BN16" s="45"/>
      <c r="BO16" s="143"/>
    </row>
    <row r="17" spans="2:67">
      <c r="AM17" s="29"/>
      <c r="AQ17" s="92"/>
      <c r="AR17" s="92"/>
      <c r="AS17" s="92"/>
      <c r="AT17" s="92"/>
      <c r="AU17" s="92"/>
      <c r="AV17" s="92"/>
      <c r="AW17" s="92"/>
      <c r="AX17" s="92"/>
      <c r="AY17" s="92"/>
      <c r="BA17" s="142"/>
      <c r="BB17" s="142"/>
      <c r="BC17" s="142"/>
      <c r="BD17" s="142"/>
      <c r="BE17" s="142"/>
      <c r="BF17" s="142"/>
      <c r="BG17" s="142"/>
      <c r="BH17" s="142"/>
      <c r="BI17" s="92"/>
      <c r="BN17" s="45"/>
      <c r="BO17" s="143"/>
    </row>
    <row r="18" spans="2:67">
      <c r="AM18" s="29"/>
      <c r="AQ18" s="92"/>
      <c r="AR18" s="92"/>
      <c r="AS18" s="92"/>
      <c r="AT18" s="92"/>
      <c r="AU18" s="92"/>
      <c r="AV18" s="92"/>
      <c r="AW18" s="92"/>
      <c r="AX18" s="92"/>
      <c r="AY18" s="92"/>
      <c r="BA18" s="142"/>
      <c r="BB18" s="142"/>
      <c r="BC18" s="142"/>
      <c r="BD18" s="142"/>
      <c r="BE18" s="142"/>
      <c r="BF18" s="142"/>
      <c r="BG18" s="142"/>
      <c r="BH18" s="142"/>
      <c r="BI18" s="92"/>
      <c r="BN18" s="45"/>
      <c r="BO18" s="143"/>
    </row>
    <row r="19" spans="2:67" ht="18" thickBot="1">
      <c r="B19" s="6" t="s">
        <v>68</v>
      </c>
      <c r="C19" s="7"/>
      <c r="AO19" t="s">
        <v>69</v>
      </c>
    </row>
    <row r="20" spans="2:67" ht="38.5" customHeight="1" thickBot="1">
      <c r="B20" s="95"/>
      <c r="C20" s="95"/>
      <c r="D20" s="95"/>
      <c r="E20" s="96" t="s">
        <v>4</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Q20" s="267" t="s">
        <v>5</v>
      </c>
      <c r="AR20" s="268"/>
      <c r="AS20" s="268"/>
      <c r="AT20" s="268"/>
      <c r="AU20" s="269"/>
      <c r="AV20" s="103"/>
      <c r="AX20" s="267" t="s">
        <v>5</v>
      </c>
      <c r="AY20" s="268"/>
      <c r="AZ20" s="268"/>
      <c r="BA20" s="268"/>
      <c r="BB20" s="269"/>
    </row>
    <row r="21" spans="2:67" ht="65.5" thickBot="1">
      <c r="B21" s="99" t="s">
        <v>6</v>
      </c>
      <c r="C21" s="100" t="s">
        <v>7</v>
      </c>
      <c r="D21" s="100" t="s">
        <v>8</v>
      </c>
      <c r="E21" s="104" t="s">
        <v>9</v>
      </c>
      <c r="F21" s="106" t="s">
        <v>10</v>
      </c>
      <c r="G21" s="106" t="s">
        <v>70</v>
      </c>
      <c r="H21" s="108" t="s">
        <v>71</v>
      </c>
      <c r="I21" s="100" t="s">
        <v>72</v>
      </c>
      <c r="J21" s="100" t="s">
        <v>73</v>
      </c>
      <c r="K21" s="100" t="s">
        <v>74</v>
      </c>
      <c r="L21" s="104" t="s">
        <v>75</v>
      </c>
      <c r="M21" s="110" t="s">
        <v>18</v>
      </c>
      <c r="N21" s="101" t="s">
        <v>19</v>
      </c>
      <c r="O21" s="101" t="s">
        <v>20</v>
      </c>
      <c r="P21" s="101" t="s">
        <v>21</v>
      </c>
      <c r="Q21" s="101" t="s">
        <v>22</v>
      </c>
      <c r="R21" s="111" t="s">
        <v>23</v>
      </c>
      <c r="S21" s="110" t="s">
        <v>25</v>
      </c>
      <c r="T21" s="101" t="s">
        <v>26</v>
      </c>
      <c r="U21" s="101" t="s">
        <v>27</v>
      </c>
      <c r="V21" s="101" t="s">
        <v>28</v>
      </c>
      <c r="W21" s="101" t="s">
        <v>29</v>
      </c>
      <c r="X21" s="111" t="s">
        <v>30</v>
      </c>
      <c r="Y21" s="112" t="s">
        <v>37</v>
      </c>
      <c r="Z21" s="112" t="s">
        <v>38</v>
      </c>
      <c r="AA21" s="112" t="s">
        <v>39</v>
      </c>
      <c r="AB21" s="106" t="s">
        <v>40</v>
      </c>
      <c r="AC21" s="184" t="s">
        <v>76</v>
      </c>
      <c r="AD21" s="185" t="s">
        <v>77</v>
      </c>
      <c r="AE21" s="185" t="s">
        <v>78</v>
      </c>
      <c r="AF21" s="186" t="s">
        <v>79</v>
      </c>
      <c r="AQ21" s="216" t="s">
        <v>80</v>
      </c>
      <c r="AR21" s="43" t="s">
        <v>43</v>
      </c>
      <c r="AS21" s="43" t="s">
        <v>44</v>
      </c>
      <c r="AT21" s="43" t="s">
        <v>47</v>
      </c>
      <c r="AU21" s="217" t="s">
        <v>49</v>
      </c>
      <c r="AX21" s="216" t="s">
        <v>80</v>
      </c>
      <c r="AY21" s="43" t="s">
        <v>43</v>
      </c>
      <c r="AZ21" s="43" t="s">
        <v>44</v>
      </c>
      <c r="BA21" s="43" t="s">
        <v>47</v>
      </c>
      <c r="BB21" s="217" t="s">
        <v>49</v>
      </c>
    </row>
    <row r="22" spans="2:67" ht="25">
      <c r="B22" s="97" t="s">
        <v>50</v>
      </c>
      <c r="C22" s="187"/>
      <c r="D22" s="187"/>
      <c r="E22" s="105"/>
      <c r="F22" s="107"/>
      <c r="G22" s="107" t="s">
        <v>51</v>
      </c>
      <c r="H22" s="109" t="s">
        <v>51</v>
      </c>
      <c r="I22" s="187" t="s">
        <v>51</v>
      </c>
      <c r="J22" s="187" t="s">
        <v>51</v>
      </c>
      <c r="K22" s="187" t="s">
        <v>51</v>
      </c>
      <c r="L22" s="187" t="s">
        <v>51</v>
      </c>
      <c r="M22" s="152" t="s">
        <v>218</v>
      </c>
      <c r="N22" s="152" t="s">
        <v>218</v>
      </c>
      <c r="O22" s="152" t="s">
        <v>218</v>
      </c>
      <c r="P22" s="152" t="s">
        <v>218</v>
      </c>
      <c r="Q22" s="152" t="s">
        <v>218</v>
      </c>
      <c r="R22" s="152" t="s">
        <v>218</v>
      </c>
      <c r="S22" s="152" t="s">
        <v>218</v>
      </c>
      <c r="T22" s="152" t="s">
        <v>218</v>
      </c>
      <c r="U22" s="152" t="s">
        <v>218</v>
      </c>
      <c r="V22" s="152" t="s">
        <v>218</v>
      </c>
      <c r="W22" s="152" t="s">
        <v>218</v>
      </c>
      <c r="X22" s="152" t="s">
        <v>218</v>
      </c>
      <c r="Y22" s="107"/>
      <c r="Z22" s="107"/>
      <c r="AA22" s="107"/>
      <c r="AB22" s="107"/>
      <c r="AC22" s="22"/>
      <c r="AD22" s="22"/>
      <c r="AE22" s="22" t="s">
        <v>81</v>
      </c>
      <c r="AF22" s="188" t="s">
        <v>81</v>
      </c>
      <c r="AQ22" s="265" t="s">
        <v>55</v>
      </c>
      <c r="AR22" s="266"/>
      <c r="AS22" s="144" t="s">
        <v>55</v>
      </c>
      <c r="AT22" s="145" t="s">
        <v>82</v>
      </c>
      <c r="AU22" s="218" t="s">
        <v>57</v>
      </c>
      <c r="AX22" s="265" t="s">
        <v>83</v>
      </c>
      <c r="AY22" s="266"/>
      <c r="AZ22" s="144" t="s">
        <v>58</v>
      </c>
      <c r="BA22" s="145" t="s">
        <v>82</v>
      </c>
      <c r="BB22" s="218" t="s">
        <v>57</v>
      </c>
    </row>
    <row r="23" spans="2:67" ht="15.75" customHeight="1" thickBot="1">
      <c r="B23" s="189" t="str">
        <f>C59</f>
        <v>STG_NEW_BATT</v>
      </c>
      <c r="C23" s="190" t="str">
        <f>D59</f>
        <v>New battery storage</v>
      </c>
      <c r="D23" s="191" t="str">
        <f>C76</f>
        <v>ELC_GRID_RES</v>
      </c>
      <c r="E23" s="191" t="str">
        <f>C76</f>
        <v>ELC_GRID_RES</v>
      </c>
      <c r="F23" s="190">
        <v>2030</v>
      </c>
      <c r="G23" s="190">
        <v>0.88</v>
      </c>
      <c r="H23" s="190">
        <f>G23</f>
        <v>0.88</v>
      </c>
      <c r="I23" s="190">
        <f t="shared" ref="I23:L23" si="25">H23</f>
        <v>0.88</v>
      </c>
      <c r="J23" s="190">
        <f t="shared" si="25"/>
        <v>0.88</v>
      </c>
      <c r="K23" s="190">
        <f t="shared" si="25"/>
        <v>0.88</v>
      </c>
      <c r="L23" s="190">
        <f t="shared" si="25"/>
        <v>0.88</v>
      </c>
      <c r="M23" s="190">
        <f>AX23</f>
        <v>2444.72088235294</v>
      </c>
      <c r="N23" s="190"/>
      <c r="O23" s="190"/>
      <c r="P23" s="190"/>
      <c r="Q23" s="190"/>
      <c r="R23" s="190">
        <f>AY23</f>
        <v>1000.1130882352936</v>
      </c>
      <c r="S23" s="190">
        <f>AZ23</f>
        <v>97.788835294117604</v>
      </c>
      <c r="T23" s="190"/>
      <c r="U23" s="190"/>
      <c r="V23" s="190"/>
      <c r="W23" s="190"/>
      <c r="X23" s="190"/>
      <c r="Y23" s="190">
        <v>1</v>
      </c>
      <c r="Z23" s="190">
        <v>31.536000000000001</v>
      </c>
      <c r="AA23" s="190"/>
      <c r="AB23" s="190">
        <v>15</v>
      </c>
      <c r="AC23" s="192"/>
      <c r="AD23" s="192"/>
      <c r="AE23" s="192"/>
      <c r="AF23" s="193"/>
      <c r="AQ23" s="219">
        <v>550</v>
      </c>
      <c r="AR23" s="220">
        <v>225</v>
      </c>
      <c r="AS23" s="220">
        <v>22</v>
      </c>
      <c r="AT23" s="220">
        <v>0</v>
      </c>
      <c r="AU23" s="221">
        <v>15</v>
      </c>
      <c r="AX23" s="219">
        <f>AQ23*$AT$3</f>
        <v>2444.72088235294</v>
      </c>
      <c r="AY23" s="220">
        <f t="shared" ref="AY23:AZ23" si="26">AR23*$AT$3</f>
        <v>1000.1130882352936</v>
      </c>
      <c r="AZ23" s="220">
        <f t="shared" si="26"/>
        <v>97.788835294117604</v>
      </c>
      <c r="BA23" s="220">
        <v>0</v>
      </c>
      <c r="BB23" s="221">
        <v>15</v>
      </c>
    </row>
    <row r="24" spans="2:67" ht="15.75" customHeight="1">
      <c r="B24" s="189"/>
      <c r="C24" s="190"/>
      <c r="D24" s="191"/>
      <c r="E24" s="191"/>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4" t="s">
        <v>84</v>
      </c>
      <c r="AD24" s="192">
        <v>1</v>
      </c>
      <c r="AE24" s="192"/>
      <c r="AF24" s="193"/>
      <c r="AQ24" s="92"/>
      <c r="AR24" s="92"/>
      <c r="AS24" s="92"/>
      <c r="AT24" s="92"/>
      <c r="AU24" s="92"/>
      <c r="AX24" s="92"/>
      <c r="AY24" s="92"/>
      <c r="AZ24" s="92"/>
      <c r="BA24" s="92"/>
      <c r="BB24" s="92"/>
    </row>
    <row r="25" spans="2:67" ht="15.75" customHeight="1" thickBot="1">
      <c r="B25" s="195"/>
      <c r="C25" s="98"/>
      <c r="D25" s="102"/>
      <c r="E25" s="102"/>
      <c r="F25" s="98"/>
      <c r="G25" s="98"/>
      <c r="H25" s="98"/>
      <c r="I25" s="98"/>
      <c r="J25" s="98"/>
      <c r="K25" s="98"/>
      <c r="L25" s="98"/>
      <c r="M25" s="98"/>
      <c r="N25" s="98"/>
      <c r="O25" s="98"/>
      <c r="P25" s="98"/>
      <c r="Q25" s="98"/>
      <c r="R25" s="98"/>
      <c r="S25" s="98"/>
      <c r="T25" s="98"/>
      <c r="U25" s="98"/>
      <c r="V25" s="98"/>
      <c r="W25" s="98"/>
      <c r="X25" s="98"/>
      <c r="Y25" s="98"/>
      <c r="Z25" s="98"/>
      <c r="AA25" s="98"/>
      <c r="AB25" s="98"/>
      <c r="AC25" s="146" t="s">
        <v>85</v>
      </c>
      <c r="AD25" s="147">
        <f>AE25/AF25</f>
        <v>2.6785714285714284E-2</v>
      </c>
      <c r="AE25" s="148">
        <v>6</v>
      </c>
      <c r="AF25" s="196">
        <v>224</v>
      </c>
      <c r="AQ25" s="92"/>
      <c r="AR25" s="92"/>
      <c r="AS25" s="92"/>
      <c r="AT25" s="92"/>
      <c r="AU25" s="92"/>
      <c r="AX25" s="92"/>
      <c r="AY25" s="92"/>
      <c r="AZ25" s="92"/>
      <c r="BA25" s="92"/>
      <c r="BB25" s="92"/>
    </row>
    <row r="26" spans="2:67" ht="15.75" customHeight="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row>
    <row r="27" spans="2:67" ht="15.75" customHeight="1"/>
    <row r="28" spans="2:67" ht="15.75" customHeight="1" thickBot="1">
      <c r="B28" s="94" t="s">
        <v>86</v>
      </c>
      <c r="C28" s="7"/>
    </row>
    <row r="29" spans="2:67" ht="15.75" customHeight="1" thickBot="1">
      <c r="E29" s="8" t="s">
        <v>4</v>
      </c>
      <c r="AQ29" s="214" t="s">
        <v>87</v>
      </c>
      <c r="AR29" s="215">
        <v>4.6875999999999998</v>
      </c>
    </row>
    <row r="30" spans="2:67" ht="26.5" thickBot="1">
      <c r="B30" s="153" t="s">
        <v>6</v>
      </c>
      <c r="C30" s="153" t="s">
        <v>7</v>
      </c>
      <c r="D30" s="153" t="s">
        <v>8</v>
      </c>
      <c r="E30" s="154" t="s">
        <v>9</v>
      </c>
      <c r="F30" s="155" t="s">
        <v>10</v>
      </c>
      <c r="G30" s="155" t="s">
        <v>11</v>
      </c>
      <c r="H30" s="155" t="s">
        <v>12</v>
      </c>
      <c r="I30" s="155" t="s">
        <v>13</v>
      </c>
      <c r="J30" s="155" t="s">
        <v>14</v>
      </c>
      <c r="K30" s="155" t="s">
        <v>15</v>
      </c>
      <c r="L30" s="155" t="s">
        <v>16</v>
      </c>
      <c r="M30" s="155" t="s">
        <v>18</v>
      </c>
      <c r="N30" s="155" t="s">
        <v>19</v>
      </c>
      <c r="O30" s="155" t="s">
        <v>20</v>
      </c>
      <c r="P30" s="155" t="s">
        <v>21</v>
      </c>
      <c r="Q30" s="155" t="s">
        <v>22</v>
      </c>
      <c r="R30" s="155" t="s">
        <v>23</v>
      </c>
      <c r="S30" s="155" t="s">
        <v>25</v>
      </c>
      <c r="T30" s="155" t="s">
        <v>26</v>
      </c>
      <c r="U30" s="155" t="s">
        <v>27</v>
      </c>
      <c r="V30" s="155" t="s">
        <v>28</v>
      </c>
      <c r="W30" s="155" t="s">
        <v>29</v>
      </c>
      <c r="X30" s="155" t="s">
        <v>30</v>
      </c>
      <c r="Y30" s="155" t="s">
        <v>31</v>
      </c>
      <c r="Z30" s="155" t="s">
        <v>32</v>
      </c>
      <c r="AA30" s="155" t="s">
        <v>33</v>
      </c>
      <c r="AB30" s="155" t="s">
        <v>34</v>
      </c>
      <c r="AC30" s="155" t="s">
        <v>35</v>
      </c>
      <c r="AD30" s="155" t="s">
        <v>36</v>
      </c>
      <c r="AE30" s="155" t="s">
        <v>37</v>
      </c>
      <c r="AF30" s="155" t="s">
        <v>38</v>
      </c>
      <c r="AG30" s="156" t="s">
        <v>39</v>
      </c>
      <c r="AH30" s="156" t="s">
        <v>40</v>
      </c>
      <c r="AI30" s="132"/>
      <c r="AP30" s="114" t="s">
        <v>88</v>
      </c>
      <c r="AQ30" s="213" t="s">
        <v>89</v>
      </c>
      <c r="AU30" s="205" t="s">
        <v>90</v>
      </c>
      <c r="AV30" s="206" t="s">
        <v>2</v>
      </c>
      <c r="AW30" s="207"/>
      <c r="AX30" s="208">
        <v>4.566975196850394</v>
      </c>
      <c r="AY30" s="206" t="s">
        <v>91</v>
      </c>
      <c r="AZ30" s="209"/>
    </row>
    <row r="31" spans="2:67" ht="38" thickBot="1">
      <c r="B31" s="151" t="s">
        <v>50</v>
      </c>
      <c r="C31" s="151"/>
      <c r="D31" s="151"/>
      <c r="E31" s="152" t="s">
        <v>50</v>
      </c>
      <c r="F31" s="152"/>
      <c r="G31" s="152" t="s">
        <v>51</v>
      </c>
      <c r="H31" s="152" t="s">
        <v>51</v>
      </c>
      <c r="I31" s="152" t="s">
        <v>51</v>
      </c>
      <c r="J31" s="152" t="s">
        <v>51</v>
      </c>
      <c r="K31" s="152" t="s">
        <v>51</v>
      </c>
      <c r="L31" s="152" t="s">
        <v>51</v>
      </c>
      <c r="M31" s="152" t="s">
        <v>220</v>
      </c>
      <c r="N31" s="152" t="s">
        <v>220</v>
      </c>
      <c r="O31" s="152" t="s">
        <v>220</v>
      </c>
      <c r="P31" s="152" t="s">
        <v>220</v>
      </c>
      <c r="Q31" s="152" t="s">
        <v>220</v>
      </c>
      <c r="R31" s="152" t="s">
        <v>220</v>
      </c>
      <c r="S31" s="152" t="s">
        <v>220</v>
      </c>
      <c r="T31" s="152" t="s">
        <v>220</v>
      </c>
      <c r="U31" s="152" t="s">
        <v>220</v>
      </c>
      <c r="V31" s="152" t="s">
        <v>220</v>
      </c>
      <c r="W31" s="152" t="s">
        <v>220</v>
      </c>
      <c r="X31" s="152" t="s">
        <v>220</v>
      </c>
      <c r="Y31" s="152" t="s">
        <v>52</v>
      </c>
      <c r="Z31" s="152" t="s">
        <v>220</v>
      </c>
      <c r="AA31" s="152" t="s">
        <v>220</v>
      </c>
      <c r="AB31" s="152" t="s">
        <v>220</v>
      </c>
      <c r="AC31" s="152" t="s">
        <v>220</v>
      </c>
      <c r="AD31" s="152" t="s">
        <v>220</v>
      </c>
      <c r="AE31" s="157"/>
      <c r="AF31" s="152" t="s">
        <v>92</v>
      </c>
      <c r="AG31" s="152" t="s">
        <v>51</v>
      </c>
      <c r="AH31" s="152"/>
      <c r="AI31" s="136"/>
      <c r="AP31" s="114" t="s">
        <v>93</v>
      </c>
      <c r="AQ31" s="116"/>
      <c r="AR31" s="41" t="s">
        <v>94</v>
      </c>
      <c r="AW31" s="113"/>
      <c r="AX31" s="113"/>
      <c r="AY31" s="113"/>
    </row>
    <row r="32" spans="2:67" ht="15" thickBot="1">
      <c r="B32" s="138" t="str">
        <f>C57</f>
        <v>TaD_NEW_H2G_GRID</v>
      </c>
      <c r="C32" s="139" t="str">
        <f>D57</f>
        <v>New H2 distribution grid</v>
      </c>
      <c r="D32" s="139" t="str">
        <f>C77</f>
        <v>SEC_H2G</v>
      </c>
      <c r="E32" s="139" t="str">
        <f>C78</f>
        <v>H2G_GRID</v>
      </c>
      <c r="F32" s="139">
        <v>2025</v>
      </c>
      <c r="G32" s="139">
        <v>0.95</v>
      </c>
      <c r="H32" s="139">
        <v>0.95</v>
      </c>
      <c r="I32" s="139">
        <v>0.95</v>
      </c>
      <c r="J32" s="139">
        <v>0.95</v>
      </c>
      <c r="K32" s="139">
        <v>0.95</v>
      </c>
      <c r="L32" s="139">
        <v>0.95</v>
      </c>
      <c r="M32" s="139">
        <f>AP33</f>
        <v>13.125279999999998</v>
      </c>
      <c r="N32" s="139">
        <f>M32</f>
        <v>13.125279999999998</v>
      </c>
      <c r="O32" s="139">
        <f t="shared" ref="O32:R32" si="27">N32</f>
        <v>13.125279999999998</v>
      </c>
      <c r="P32" s="139">
        <f t="shared" si="27"/>
        <v>13.125279999999998</v>
      </c>
      <c r="Q32" s="139">
        <f t="shared" si="27"/>
        <v>13.125279999999998</v>
      </c>
      <c r="R32" s="139">
        <f t="shared" si="27"/>
        <v>13.125279999999998</v>
      </c>
      <c r="S32" s="140">
        <v>1.6989147732283463</v>
      </c>
      <c r="T32" s="140">
        <v>1.6989147732283463</v>
      </c>
      <c r="U32" s="140">
        <v>1.6989147732283463</v>
      </c>
      <c r="V32" s="140">
        <v>1.6989147732283463</v>
      </c>
      <c r="W32" s="140">
        <v>1.6989147732283463</v>
      </c>
      <c r="X32" s="140">
        <v>1.6989147732283463</v>
      </c>
      <c r="Y32" s="140">
        <v>1.1326098488188978</v>
      </c>
      <c r="Z32" s="140">
        <v>1.1326098488188978</v>
      </c>
      <c r="AA32" s="140">
        <v>1.1326098488188978</v>
      </c>
      <c r="AB32" s="140">
        <v>1.1326098488188978</v>
      </c>
      <c r="AC32" s="140">
        <v>1.1326098488188978</v>
      </c>
      <c r="AD32" s="140">
        <v>1.1326098488188978</v>
      </c>
      <c r="AE32" s="139"/>
      <c r="AF32" s="139">
        <v>2</v>
      </c>
      <c r="AG32" s="139">
        <v>1</v>
      </c>
      <c r="AH32" s="141">
        <v>50</v>
      </c>
      <c r="AI32" s="130"/>
      <c r="AP32" s="115">
        <v>2.8</v>
      </c>
      <c r="AQ32" s="115">
        <v>0.62</v>
      </c>
      <c r="AW32" s="117"/>
      <c r="AX32" s="117"/>
      <c r="AY32" s="117"/>
    </row>
    <row r="33" spans="2:56" ht="14.5">
      <c r="AP33">
        <f>AP32*AR29</f>
        <v>13.125279999999998</v>
      </c>
      <c r="AQ33">
        <f>AQ32*AR29</f>
        <v>2.9063119999999998</v>
      </c>
      <c r="AW33" s="117"/>
      <c r="AX33" s="117"/>
      <c r="AY33" s="117"/>
    </row>
    <row r="34" spans="2:56" ht="14.5">
      <c r="X34" s="161"/>
      <c r="AV34" s="41"/>
      <c r="AW34" s="118"/>
      <c r="AX34" s="118"/>
      <c r="AY34" s="118"/>
    </row>
    <row r="35" spans="2:56" ht="14.5">
      <c r="AV35" s="41"/>
      <c r="AW35" s="118"/>
      <c r="AX35" s="118"/>
      <c r="AY35" s="118"/>
    </row>
    <row r="36" spans="2:56" ht="15.75" customHeight="1" thickBot="1">
      <c r="F36" s="8" t="s">
        <v>4</v>
      </c>
    </row>
    <row r="37" spans="2:56" ht="26.5" thickBot="1">
      <c r="B37" s="69" t="s">
        <v>6</v>
      </c>
      <c r="C37" s="70" t="s">
        <v>7</v>
      </c>
      <c r="D37" s="70" t="s">
        <v>8</v>
      </c>
      <c r="E37" s="225" t="s">
        <v>95</v>
      </c>
      <c r="F37" s="226" t="s">
        <v>9</v>
      </c>
      <c r="G37" s="74" t="s">
        <v>10</v>
      </c>
      <c r="H37" s="74" t="s">
        <v>38</v>
      </c>
      <c r="I37" s="74" t="s">
        <v>96</v>
      </c>
      <c r="J37" s="74" t="s">
        <v>11</v>
      </c>
      <c r="K37" s="74" t="s">
        <v>12</v>
      </c>
      <c r="L37" s="74" t="s">
        <v>13</v>
      </c>
      <c r="M37" s="74" t="s">
        <v>14</v>
      </c>
      <c r="N37" s="74" t="s">
        <v>15</v>
      </c>
      <c r="O37" s="74" t="s">
        <v>16</v>
      </c>
      <c r="P37" s="74" t="s">
        <v>18</v>
      </c>
      <c r="Q37" s="74" t="s">
        <v>19</v>
      </c>
      <c r="R37" s="74" t="s">
        <v>20</v>
      </c>
      <c r="S37" s="74" t="s">
        <v>21</v>
      </c>
      <c r="T37" s="74" t="s">
        <v>22</v>
      </c>
      <c r="U37" s="74" t="s">
        <v>23</v>
      </c>
      <c r="V37" s="74" t="s">
        <v>25</v>
      </c>
      <c r="W37" s="74" t="s">
        <v>26</v>
      </c>
      <c r="X37" s="74" t="s">
        <v>27</v>
      </c>
      <c r="Y37" s="74" t="s">
        <v>28</v>
      </c>
      <c r="Z37" s="74" t="s">
        <v>29</v>
      </c>
      <c r="AA37" s="74" t="s">
        <v>30</v>
      </c>
      <c r="AB37" s="74" t="s">
        <v>31</v>
      </c>
      <c r="AC37" s="74" t="s">
        <v>32</v>
      </c>
      <c r="AD37" s="74" t="s">
        <v>33</v>
      </c>
      <c r="AE37" s="74" t="s">
        <v>34</v>
      </c>
      <c r="AF37" s="74" t="s">
        <v>35</v>
      </c>
      <c r="AG37" s="74" t="s">
        <v>36</v>
      </c>
      <c r="AH37" s="74" t="s">
        <v>37</v>
      </c>
      <c r="AI37" s="227" t="s">
        <v>39</v>
      </c>
      <c r="AJ37" s="228" t="s">
        <v>40</v>
      </c>
      <c r="AN37" s="159" t="s">
        <v>97</v>
      </c>
      <c r="AW37" s="263"/>
      <c r="AX37" s="263"/>
      <c r="AY37" s="263"/>
      <c r="AZ37" s="118"/>
    </row>
    <row r="38" spans="2:56" ht="25.5" thickBot="1">
      <c r="B38" s="78" t="s">
        <v>50</v>
      </c>
      <c r="C38" s="151"/>
      <c r="D38" s="151"/>
      <c r="E38" s="152" t="s">
        <v>50</v>
      </c>
      <c r="F38" s="152" t="s">
        <v>50</v>
      </c>
      <c r="G38" s="152"/>
      <c r="H38" s="152" t="s">
        <v>98</v>
      </c>
      <c r="I38" s="152" t="s">
        <v>99</v>
      </c>
      <c r="J38" s="152" t="s">
        <v>51</v>
      </c>
      <c r="K38" s="152" t="s">
        <v>51</v>
      </c>
      <c r="L38" s="152" t="s">
        <v>51</v>
      </c>
      <c r="M38" s="152" t="s">
        <v>51</v>
      </c>
      <c r="N38" s="152" t="s">
        <v>51</v>
      </c>
      <c r="O38" s="152" t="s">
        <v>51</v>
      </c>
      <c r="P38" s="152" t="s">
        <v>221</v>
      </c>
      <c r="Q38" s="152" t="s">
        <v>221</v>
      </c>
      <c r="R38" s="152" t="s">
        <v>221</v>
      </c>
      <c r="S38" s="152" t="s">
        <v>221</v>
      </c>
      <c r="T38" s="152" t="s">
        <v>221</v>
      </c>
      <c r="U38" s="152" t="s">
        <v>221</v>
      </c>
      <c r="V38" s="152" t="s">
        <v>221</v>
      </c>
      <c r="W38" s="152" t="s">
        <v>221</v>
      </c>
      <c r="X38" s="152" t="s">
        <v>221</v>
      </c>
      <c r="Y38" s="152" t="s">
        <v>221</v>
      </c>
      <c r="Z38" s="152" t="s">
        <v>221</v>
      </c>
      <c r="AA38" s="152" t="s">
        <v>221</v>
      </c>
      <c r="AB38" s="152"/>
      <c r="AC38" s="152"/>
      <c r="AD38" s="152"/>
      <c r="AE38" s="152"/>
      <c r="AF38" s="152"/>
      <c r="AG38" s="152"/>
      <c r="AH38" s="157"/>
      <c r="AI38" s="152" t="s">
        <v>51</v>
      </c>
      <c r="AJ38" s="229"/>
      <c r="AN38" s="160" t="s">
        <v>100</v>
      </c>
      <c r="AW38" s="113"/>
      <c r="AX38" s="113"/>
      <c r="AY38" s="113"/>
      <c r="AZ38" s="197">
        <v>100</v>
      </c>
      <c r="BA38" s="198" t="s">
        <v>101</v>
      </c>
      <c r="BB38" s="198"/>
      <c r="BC38" s="198"/>
      <c r="BD38" s="199"/>
    </row>
    <row r="39" spans="2:56" ht="14.5">
      <c r="B39" s="33" t="str">
        <f>C58</f>
        <v>TaD_NEW_H2G_TRUCK</v>
      </c>
      <c r="C39" s="177" t="str">
        <f>D58</f>
        <v>New H2 distribution via trucks</v>
      </c>
      <c r="D39" s="32" t="str">
        <f>C77</f>
        <v>SEC_H2G</v>
      </c>
      <c r="E39" s="32"/>
      <c r="F39" t="str">
        <f>C79</f>
        <v>H2G_TRUCK</v>
      </c>
      <c r="G39" s="230">
        <v>2025</v>
      </c>
      <c r="H39" s="231">
        <f>AZ48</f>
        <v>7.2999999999999996E-4</v>
      </c>
      <c r="I39" s="10"/>
      <c r="J39" s="68">
        <v>1</v>
      </c>
      <c r="K39" s="68">
        <v>1</v>
      </c>
      <c r="L39" s="68">
        <v>1</v>
      </c>
      <c r="M39" s="68">
        <v>1</v>
      </c>
      <c r="N39" s="68">
        <v>1</v>
      </c>
      <c r="O39" s="68">
        <v>1</v>
      </c>
      <c r="P39" s="68">
        <v>5</v>
      </c>
      <c r="Q39" s="68">
        <v>5</v>
      </c>
      <c r="R39" s="68">
        <v>5</v>
      </c>
      <c r="S39" s="68">
        <v>5</v>
      </c>
      <c r="T39" s="68">
        <v>5</v>
      </c>
      <c r="U39" s="68">
        <v>5</v>
      </c>
      <c r="V39" s="68">
        <f>AU48</f>
        <v>2.9004859475196851</v>
      </c>
      <c r="W39" s="68">
        <f>V39</f>
        <v>2.9004859475196851</v>
      </c>
      <c r="X39" s="68">
        <f t="shared" ref="X39:AA39" si="28">W39</f>
        <v>2.9004859475196851</v>
      </c>
      <c r="Y39" s="68">
        <f t="shared" si="28"/>
        <v>2.9004859475196851</v>
      </c>
      <c r="Z39" s="68">
        <f t="shared" si="28"/>
        <v>2.9004859475196851</v>
      </c>
      <c r="AA39" s="68">
        <f t="shared" si="28"/>
        <v>2.9004859475196851</v>
      </c>
      <c r="AB39" s="68"/>
      <c r="AC39" s="68"/>
      <c r="AD39" s="68"/>
      <c r="AE39" s="68"/>
      <c r="AF39" s="68"/>
      <c r="AG39" s="68"/>
      <c r="AH39" s="68"/>
      <c r="AI39" s="68">
        <v>1</v>
      </c>
      <c r="AJ39" s="232">
        <v>25</v>
      </c>
      <c r="AK39" s="68"/>
      <c r="AN39" t="s">
        <v>102</v>
      </c>
      <c r="AP39" t="s">
        <v>103</v>
      </c>
      <c r="AR39" t="s">
        <v>104</v>
      </c>
      <c r="AU39" s="210" t="s">
        <v>105</v>
      </c>
      <c r="AV39" s="41"/>
      <c r="AW39" s="118"/>
      <c r="AX39" s="118"/>
      <c r="AY39" s="118"/>
      <c r="AZ39" s="200">
        <v>200</v>
      </c>
      <c r="BA39" t="s">
        <v>106</v>
      </c>
      <c r="BD39" s="201"/>
    </row>
    <row r="40" spans="2:56" ht="14.5">
      <c r="B40" s="233"/>
      <c r="C40" s="177"/>
      <c r="D40" s="177"/>
      <c r="E40" s="234" t="str">
        <f>C74</f>
        <v>ELC</v>
      </c>
      <c r="G40" s="235"/>
      <c r="H40" s="9"/>
      <c r="I40" s="236">
        <f>(6*3.6*H39)/H39</f>
        <v>21.6</v>
      </c>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232"/>
      <c r="AN40" t="s">
        <v>107</v>
      </c>
      <c r="AO40">
        <v>0.1</v>
      </c>
      <c r="AP40">
        <v>0.08</v>
      </c>
      <c r="AR40" t="s">
        <v>108</v>
      </c>
      <c r="AU40" s="211">
        <f>AO40</f>
        <v>0.1</v>
      </c>
      <c r="AV40" s="41"/>
      <c r="AW40" s="118"/>
      <c r="AX40" s="118"/>
      <c r="AY40" s="118"/>
      <c r="AZ40" s="200">
        <v>2</v>
      </c>
      <c r="BA40" t="s">
        <v>109</v>
      </c>
      <c r="BD40" s="201"/>
    </row>
    <row r="41" spans="2:56" ht="15" thickBot="1">
      <c r="B41" s="203"/>
      <c r="C41" s="149"/>
      <c r="D41" s="149"/>
      <c r="E41" s="149" t="str">
        <f>C80</f>
        <v>TRA_DSL</v>
      </c>
      <c r="F41" s="149"/>
      <c r="G41" s="149"/>
      <c r="H41" s="149"/>
      <c r="I41" s="149">
        <f>(400*365*0.3*36/10^9)/H39</f>
        <v>2.16</v>
      </c>
      <c r="J41" s="149"/>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237"/>
      <c r="AN41" t="s">
        <v>110</v>
      </c>
      <c r="AO41">
        <v>0.2</v>
      </c>
      <c r="AP41">
        <v>0.4</v>
      </c>
      <c r="AR41" t="s">
        <v>111</v>
      </c>
      <c r="AU41" s="211">
        <f>0.8</f>
        <v>0.8</v>
      </c>
      <c r="AV41" s="41"/>
      <c r="AW41" s="118"/>
      <c r="AX41" s="118"/>
      <c r="AY41" s="118"/>
      <c r="AZ41" s="200">
        <f>AZ39*AZ40</f>
        <v>400</v>
      </c>
      <c r="BA41" t="s">
        <v>112</v>
      </c>
      <c r="BD41" s="201"/>
    </row>
    <row r="42" spans="2:56" ht="14.5">
      <c r="D42" s="32"/>
      <c r="E42" s="137"/>
      <c r="F42" s="128"/>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N42" t="s">
        <v>113</v>
      </c>
      <c r="AO42">
        <v>0.08</v>
      </c>
      <c r="AP42">
        <v>0.1</v>
      </c>
      <c r="AR42" t="s">
        <v>114</v>
      </c>
      <c r="AU42" s="211">
        <f>AP42+0.02</f>
        <v>0.12000000000000001</v>
      </c>
      <c r="AV42" s="41"/>
      <c r="AW42" s="118"/>
      <c r="AX42" s="118"/>
      <c r="AY42" s="118"/>
      <c r="AZ42" s="200">
        <f>AZ41*300</f>
        <v>120000</v>
      </c>
      <c r="BA42" t="s">
        <v>115</v>
      </c>
      <c r="BD42" s="201"/>
    </row>
    <row r="43" spans="2:56" ht="14.5">
      <c r="B43" s="128"/>
      <c r="C43" s="128"/>
      <c r="D43" s="129"/>
      <c r="F43" s="8"/>
      <c r="G43" s="130"/>
      <c r="H43" s="130"/>
      <c r="I43" s="130"/>
      <c r="J43" s="130"/>
      <c r="K43" s="130"/>
      <c r="L43" s="130"/>
      <c r="M43" s="130"/>
      <c r="N43" s="130"/>
      <c r="O43" s="130"/>
      <c r="P43" s="130"/>
      <c r="Q43" s="130"/>
      <c r="R43" s="130"/>
      <c r="S43" s="130"/>
      <c r="T43" s="130"/>
      <c r="V43" s="131"/>
      <c r="W43" s="131"/>
      <c r="X43" s="131"/>
      <c r="Y43" s="131"/>
      <c r="Z43" s="131"/>
      <c r="AB43" s="131"/>
      <c r="AC43" s="131"/>
      <c r="AD43" s="131"/>
      <c r="AE43" s="131"/>
      <c r="AF43" s="131"/>
      <c r="AG43" s="131"/>
      <c r="AH43" s="130"/>
      <c r="AI43" s="130"/>
      <c r="AK43" s="130"/>
      <c r="AN43" t="s">
        <v>116</v>
      </c>
      <c r="AO43">
        <v>0.57999999999999996</v>
      </c>
      <c r="AP43">
        <v>0.65</v>
      </c>
      <c r="AR43" t="s">
        <v>117</v>
      </c>
      <c r="AU43" s="211">
        <f>0.07+AP43</f>
        <v>0.72</v>
      </c>
      <c r="AV43" s="41"/>
      <c r="AW43" s="118"/>
      <c r="AX43" s="118"/>
      <c r="AY43" s="118"/>
      <c r="AZ43" s="200"/>
      <c r="BD43" s="201"/>
    </row>
    <row r="44" spans="2:56" ht="15.75" customHeight="1">
      <c r="AT44" t="s">
        <v>118</v>
      </c>
      <c r="AU44" s="211">
        <f>SUM(AU40:AU43)</f>
        <v>1.74</v>
      </c>
      <c r="AZ44" s="200">
        <v>2</v>
      </c>
      <c r="BA44" t="s">
        <v>119</v>
      </c>
      <c r="BD44" s="201"/>
    </row>
    <row r="45" spans="2:56" ht="15.75" customHeight="1">
      <c r="R45" s="9"/>
      <c r="AT45" t="s">
        <v>120</v>
      </c>
      <c r="AU45" s="211">
        <f>AU44*1000</f>
        <v>1740</v>
      </c>
      <c r="AV45" t="s">
        <v>121</v>
      </c>
      <c r="AZ45" s="200"/>
      <c r="BD45" s="202"/>
    </row>
    <row r="46" spans="2:56" ht="15.75" customHeight="1" thickBot="1">
      <c r="B46" s="15" t="s">
        <v>122</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T46" t="s">
        <v>123</v>
      </c>
      <c r="AU46" s="211">
        <f>AU45*365</f>
        <v>635100</v>
      </c>
      <c r="AZ46" s="200">
        <f>AZ44*365</f>
        <v>730</v>
      </c>
      <c r="BA46" t="s">
        <v>124</v>
      </c>
      <c r="BD46" s="201"/>
    </row>
    <row r="47" spans="2:56" ht="13">
      <c r="B47" s="246" t="s">
        <v>125</v>
      </c>
      <c r="C47" s="184" t="s">
        <v>6</v>
      </c>
      <c r="D47" s="184" t="s">
        <v>126</v>
      </c>
      <c r="E47" s="184" t="s">
        <v>127</v>
      </c>
      <c r="F47" s="184" t="s">
        <v>128</v>
      </c>
      <c r="G47" s="184" t="s">
        <v>129</v>
      </c>
      <c r="H47" s="184" t="s">
        <v>130</v>
      </c>
      <c r="I47" s="247" t="s">
        <v>131</v>
      </c>
      <c r="R47" s="9"/>
      <c r="V47" s="10"/>
      <c r="W47" s="10"/>
      <c r="X47" s="10"/>
      <c r="Y47" s="10"/>
      <c r="Z47" s="10"/>
      <c r="AA47" s="10"/>
      <c r="AB47" s="10"/>
      <c r="AC47" s="10"/>
      <c r="AD47" s="10"/>
      <c r="AE47" s="10"/>
      <c r="AF47" s="10"/>
      <c r="AG47" s="10"/>
      <c r="AH47" s="10"/>
      <c r="AI47" s="10"/>
      <c r="AT47" t="s">
        <v>132</v>
      </c>
      <c r="AU47" s="211">
        <f>AU46*AX30</f>
        <v>2900485.9475196851</v>
      </c>
      <c r="AZ47" s="200"/>
      <c r="BD47" s="201"/>
    </row>
    <row r="48" spans="2:56" ht="15.75" customHeight="1" thickBot="1">
      <c r="B48" s="248" t="s">
        <v>50</v>
      </c>
      <c r="C48" s="249"/>
      <c r="D48" s="249"/>
      <c r="E48" s="249"/>
      <c r="F48" s="249"/>
      <c r="G48" s="249"/>
      <c r="H48" s="249"/>
      <c r="I48" s="250"/>
      <c r="R48" s="9" t="s">
        <v>133</v>
      </c>
      <c r="V48" s="10"/>
      <c r="W48" s="10"/>
      <c r="X48" s="10"/>
      <c r="Y48" s="10"/>
      <c r="Z48" s="10"/>
      <c r="AA48" s="10"/>
      <c r="AB48" s="10"/>
      <c r="AC48" s="10"/>
      <c r="AD48" s="10"/>
      <c r="AE48" s="10"/>
      <c r="AF48" s="10"/>
      <c r="AG48" s="10"/>
      <c r="AH48" s="10"/>
      <c r="AI48" s="10"/>
      <c r="AT48" t="s">
        <v>134</v>
      </c>
      <c r="AU48" s="212">
        <f>AU47/10^6</f>
        <v>2.9004859475196851</v>
      </c>
      <c r="AZ48" s="203">
        <v>7.2999999999999996E-4</v>
      </c>
      <c r="BA48" s="149" t="s">
        <v>135</v>
      </c>
      <c r="BB48" s="149"/>
      <c r="BC48" s="149"/>
      <c r="BD48" s="204"/>
    </row>
    <row r="49" spans="2:47" ht="15.75" customHeight="1">
      <c r="B49" s="25" t="s">
        <v>136</v>
      </c>
      <c r="C49" s="238" t="s">
        <v>137</v>
      </c>
      <c r="D49" s="239" t="s">
        <v>138</v>
      </c>
      <c r="E49" s="238" t="s">
        <v>139</v>
      </c>
      <c r="F49" s="238" t="s">
        <v>66</v>
      </c>
      <c r="G49" s="238"/>
      <c r="H49" s="238"/>
      <c r="I49" s="26"/>
      <c r="R49" s="9"/>
      <c r="S49" s="10"/>
      <c r="T49" s="10"/>
      <c r="U49" s="10"/>
      <c r="V49" s="10"/>
      <c r="W49" s="10"/>
      <c r="X49" s="10"/>
      <c r="Y49" s="10"/>
      <c r="Z49" s="10"/>
      <c r="AA49" s="10"/>
      <c r="AB49" s="10"/>
      <c r="AC49" s="10"/>
      <c r="AD49" s="10"/>
      <c r="AE49" s="10"/>
      <c r="AF49" s="10"/>
      <c r="AG49" s="10"/>
      <c r="AH49" s="10"/>
      <c r="AI49" s="10"/>
      <c r="AN49" s="41" t="s">
        <v>217</v>
      </c>
    </row>
    <row r="50" spans="2:47" ht="15.75" customHeight="1">
      <c r="B50" s="27" t="s">
        <v>136</v>
      </c>
      <c r="C50" s="240" t="s">
        <v>140</v>
      </c>
      <c r="D50" s="241" t="s">
        <v>141</v>
      </c>
      <c r="E50" s="240" t="s">
        <v>139</v>
      </c>
      <c r="F50" s="240" t="s">
        <v>66</v>
      </c>
      <c r="G50" s="240"/>
      <c r="H50" s="240"/>
      <c r="I50" s="28"/>
      <c r="R50">
        <f>8760</f>
        <v>8760</v>
      </c>
      <c r="S50" t="s">
        <v>64</v>
      </c>
      <c r="T50" s="10"/>
      <c r="U50" s="10"/>
      <c r="V50" s="10"/>
      <c r="W50" s="10"/>
      <c r="X50" s="10"/>
      <c r="Y50" s="10"/>
      <c r="Z50" s="10"/>
      <c r="AA50" s="10"/>
      <c r="AB50" s="10"/>
      <c r="AC50" s="10"/>
      <c r="AD50" s="10"/>
      <c r="AE50" s="10"/>
      <c r="AF50" s="10"/>
      <c r="AG50" s="10"/>
    </row>
    <row r="51" spans="2:47" ht="18.75" customHeight="1">
      <c r="B51" s="25" t="s">
        <v>136</v>
      </c>
      <c r="C51" s="238" t="s">
        <v>142</v>
      </c>
      <c r="D51" s="239" t="s">
        <v>143</v>
      </c>
      <c r="E51" s="238" t="s">
        <v>139</v>
      </c>
      <c r="F51" s="238" t="s">
        <v>66</v>
      </c>
      <c r="G51" s="238"/>
      <c r="H51" s="238"/>
      <c r="I51" s="26"/>
      <c r="R51" s="9"/>
      <c r="S51" s="10"/>
      <c r="T51" s="10"/>
      <c r="U51" s="10"/>
      <c r="V51" s="10"/>
      <c r="W51" s="10"/>
      <c r="X51" s="10"/>
      <c r="Y51" s="10"/>
      <c r="Z51" s="10"/>
      <c r="AA51" s="10"/>
      <c r="AB51" s="10"/>
      <c r="AC51" s="10"/>
      <c r="AD51" s="10"/>
      <c r="AE51" s="10"/>
      <c r="AF51" s="10"/>
      <c r="AG51" s="10"/>
    </row>
    <row r="52" spans="2:47">
      <c r="B52" s="23" t="s">
        <v>136</v>
      </c>
      <c r="C52" s="242" t="s">
        <v>144</v>
      </c>
      <c r="D52" s="242" t="s">
        <v>145</v>
      </c>
      <c r="E52" s="242" t="s">
        <v>139</v>
      </c>
      <c r="F52" s="242" t="s">
        <v>66</v>
      </c>
      <c r="G52" s="242"/>
      <c r="H52" s="242"/>
      <c r="I52" s="24"/>
      <c r="R52" s="9" t="s">
        <v>146</v>
      </c>
      <c r="S52" s="10"/>
      <c r="T52" s="10"/>
      <c r="U52" s="10"/>
      <c r="V52" s="10"/>
      <c r="W52" s="10"/>
      <c r="X52" s="10"/>
      <c r="Y52" s="10"/>
      <c r="Z52" s="10"/>
      <c r="AA52" s="10"/>
      <c r="AB52" s="10"/>
      <c r="AC52" s="10"/>
      <c r="AD52" s="10"/>
      <c r="AE52" s="10"/>
      <c r="AF52" s="10"/>
      <c r="AG52" s="10"/>
    </row>
    <row r="53" spans="2:47">
      <c r="B53" s="25" t="s">
        <v>136</v>
      </c>
      <c r="C53" s="243" t="s">
        <v>147</v>
      </c>
      <c r="D53" s="239" t="s">
        <v>148</v>
      </c>
      <c r="E53" s="243" t="s">
        <v>139</v>
      </c>
      <c r="F53" s="238" t="s">
        <v>66</v>
      </c>
      <c r="G53" s="238"/>
      <c r="H53" s="238"/>
      <c r="I53" s="26"/>
      <c r="R53">
        <v>120</v>
      </c>
      <c r="S53" s="10" t="s">
        <v>149</v>
      </c>
      <c r="T53" s="10"/>
      <c r="U53" s="10"/>
      <c r="V53" s="10"/>
      <c r="W53" s="10"/>
      <c r="X53" s="10"/>
      <c r="Y53" s="10"/>
      <c r="Z53" s="10"/>
      <c r="AA53" s="10"/>
      <c r="AB53" s="10"/>
      <c r="AC53" s="10"/>
      <c r="AD53" s="10"/>
      <c r="AE53" s="10"/>
      <c r="AF53" s="10"/>
      <c r="AG53" s="10"/>
    </row>
    <row r="54" spans="2:47" ht="18.75" customHeight="1">
      <c r="B54" s="23" t="s">
        <v>136</v>
      </c>
      <c r="C54" s="242" t="s">
        <v>150</v>
      </c>
      <c r="D54" s="29" t="s">
        <v>151</v>
      </c>
      <c r="E54" s="242" t="s">
        <v>139</v>
      </c>
      <c r="F54" s="242" t="s">
        <v>66</v>
      </c>
      <c r="G54" s="242"/>
      <c r="H54" s="242"/>
      <c r="I54" s="24"/>
      <c r="R54" s="9">
        <f>R53/3.6</f>
        <v>33.333333333333336</v>
      </c>
      <c r="S54" s="10" t="s">
        <v>152</v>
      </c>
      <c r="T54" s="10" t="s">
        <v>153</v>
      </c>
      <c r="U54" s="10"/>
      <c r="V54" s="10"/>
      <c r="W54" s="10"/>
      <c r="X54" s="10"/>
      <c r="Y54" s="10"/>
      <c r="Z54" s="10"/>
      <c r="AA54" s="10"/>
      <c r="AB54" s="10"/>
      <c r="AC54" s="10"/>
      <c r="AD54" s="10"/>
      <c r="AE54" s="10"/>
      <c r="AF54" s="10"/>
      <c r="AG54" s="10"/>
    </row>
    <row r="55" spans="2:47">
      <c r="B55" s="30" t="s">
        <v>136</v>
      </c>
      <c r="C55" s="243" t="s">
        <v>154</v>
      </c>
      <c r="D55" s="244" t="s">
        <v>155</v>
      </c>
      <c r="E55" s="243" t="s">
        <v>139</v>
      </c>
      <c r="F55" s="243" t="s">
        <v>66</v>
      </c>
      <c r="G55" s="243"/>
      <c r="H55" s="243"/>
      <c r="I55" s="31"/>
      <c r="R55" s="9"/>
      <c r="S55" s="10"/>
      <c r="T55" s="10"/>
      <c r="U55" s="10"/>
      <c r="V55" s="10"/>
      <c r="W55" s="10"/>
      <c r="X55" s="10"/>
      <c r="Y55" s="10"/>
      <c r="Z55" s="10"/>
      <c r="AA55" s="10"/>
      <c r="AB55" s="10"/>
      <c r="AC55" s="10"/>
      <c r="AD55" s="10"/>
      <c r="AE55" s="10"/>
      <c r="AF55" s="10"/>
      <c r="AG55" s="10"/>
      <c r="AK55" s="10"/>
      <c r="AL55" s="10"/>
      <c r="AM55" s="10"/>
    </row>
    <row r="56" spans="2:47">
      <c r="B56" s="35" t="s">
        <v>156</v>
      </c>
      <c r="C56" s="245" t="s">
        <v>157</v>
      </c>
      <c r="D56" s="29" t="s">
        <v>158</v>
      </c>
      <c r="E56" s="245" t="s">
        <v>159</v>
      </c>
      <c r="F56" s="245" t="s">
        <v>66</v>
      </c>
      <c r="G56" s="245"/>
      <c r="H56" s="245"/>
      <c r="I56" s="36"/>
      <c r="R56" s="9" t="s">
        <v>160</v>
      </c>
      <c r="S56" s="10"/>
      <c r="T56" s="10"/>
      <c r="U56" s="10"/>
      <c r="V56" s="10"/>
      <c r="W56" s="10"/>
      <c r="X56" s="10"/>
      <c r="Y56" s="10"/>
      <c r="Z56" s="10"/>
      <c r="AA56" s="10"/>
      <c r="AB56" s="10"/>
      <c r="AC56" s="10"/>
      <c r="AD56" s="10"/>
      <c r="AE56" s="10"/>
      <c r="AF56" s="10"/>
      <c r="AG56" s="10"/>
      <c r="AK56" s="10"/>
      <c r="AL56" s="10"/>
      <c r="AM56" s="10"/>
    </row>
    <row r="57" spans="2:47">
      <c r="B57" s="30" t="s">
        <v>156</v>
      </c>
      <c r="C57" s="243" t="s">
        <v>161</v>
      </c>
      <c r="D57" s="244" t="s">
        <v>162</v>
      </c>
      <c r="E57" s="243" t="s">
        <v>159</v>
      </c>
      <c r="F57" s="243" t="s">
        <v>163</v>
      </c>
      <c r="G57" s="243"/>
      <c r="H57" s="243"/>
      <c r="I57" s="31"/>
      <c r="R57" s="133">
        <f>R50/R54*(1000/10^6)</f>
        <v>0.26279999999999998</v>
      </c>
      <c r="S57" s="10" t="s">
        <v>164</v>
      </c>
      <c r="T57" s="10"/>
      <c r="U57" s="10"/>
      <c r="V57" s="10"/>
      <c r="W57" s="10"/>
      <c r="X57" s="10"/>
      <c r="Y57" s="10"/>
      <c r="Z57" s="10"/>
      <c r="AA57" s="10"/>
      <c r="AB57" s="10"/>
      <c r="AC57" s="10"/>
      <c r="AD57" s="10"/>
      <c r="AE57" s="10"/>
      <c r="AF57" s="10"/>
      <c r="AG57" s="10"/>
      <c r="AK57" s="10"/>
      <c r="AL57" s="10"/>
      <c r="AM57" s="10"/>
    </row>
    <row r="58" spans="2:47">
      <c r="B58" s="35" t="s">
        <v>156</v>
      </c>
      <c r="C58" s="245" t="s">
        <v>165</v>
      </c>
      <c r="D58" s="29" t="s">
        <v>166</v>
      </c>
      <c r="E58" s="245" t="s">
        <v>159</v>
      </c>
      <c r="F58" s="245" t="s">
        <v>163</v>
      </c>
      <c r="G58" s="245"/>
      <c r="H58" s="245"/>
      <c r="I58" s="36"/>
      <c r="R58" s="9"/>
      <c r="S58" s="10"/>
      <c r="T58" s="10"/>
      <c r="U58" s="10">
        <v>1</v>
      </c>
      <c r="V58" s="10" t="s">
        <v>167</v>
      </c>
      <c r="W58" s="10"/>
      <c r="X58" s="10"/>
      <c r="Y58" s="10"/>
      <c r="Z58" s="10"/>
      <c r="AA58" s="10"/>
      <c r="AB58" s="10"/>
      <c r="AC58" s="10"/>
      <c r="AD58" s="10"/>
      <c r="AE58" s="10"/>
      <c r="AF58" s="10"/>
      <c r="AG58" s="10"/>
      <c r="AK58" s="10"/>
      <c r="AL58" s="10"/>
      <c r="AM58" s="10"/>
    </row>
    <row r="59" spans="2:47" ht="13" thickBot="1">
      <c r="B59" s="37" t="s">
        <v>168</v>
      </c>
      <c r="C59" s="38" t="s">
        <v>169</v>
      </c>
      <c r="D59" s="39" t="s">
        <v>170</v>
      </c>
      <c r="E59" s="38" t="s">
        <v>139</v>
      </c>
      <c r="F59" s="38" t="s">
        <v>66</v>
      </c>
      <c r="G59" s="38"/>
      <c r="H59" s="38"/>
      <c r="I59" s="40"/>
      <c r="R59" s="9"/>
      <c r="S59" s="10"/>
      <c r="T59" s="10"/>
      <c r="U59" s="10">
        <f>U58*120</f>
        <v>120</v>
      </c>
      <c r="V59" s="10"/>
      <c r="W59" s="10"/>
      <c r="X59" s="10"/>
      <c r="Y59" s="10"/>
      <c r="Z59" s="10"/>
      <c r="AA59" s="10"/>
      <c r="AB59" s="10"/>
      <c r="AC59" s="10"/>
      <c r="AD59" s="10"/>
      <c r="AE59" s="10"/>
      <c r="AF59" s="10"/>
      <c r="AG59" s="10"/>
      <c r="AK59" s="10"/>
      <c r="AL59" s="10"/>
      <c r="AM59" s="10"/>
    </row>
    <row r="60" spans="2:47">
      <c r="R60" s="9"/>
      <c r="S60" s="10"/>
      <c r="T60" s="10"/>
      <c r="U60" s="10"/>
      <c r="V60" s="10"/>
      <c r="W60" s="10"/>
      <c r="X60" s="10"/>
      <c r="Y60" s="10"/>
      <c r="Z60" s="10"/>
      <c r="AA60" s="10"/>
      <c r="AB60" s="10"/>
      <c r="AC60" s="10"/>
      <c r="AD60" s="10"/>
      <c r="AE60" s="10"/>
      <c r="AF60" s="10"/>
      <c r="AG60" s="10"/>
      <c r="AK60" s="10"/>
      <c r="AL60" s="10"/>
      <c r="AM60" s="10"/>
    </row>
    <row r="61" spans="2:47" ht="15.5">
      <c r="B61" s="1"/>
      <c r="C61" s="1"/>
      <c r="D61" s="1"/>
      <c r="E61" s="1"/>
      <c r="F61" s="1"/>
      <c r="G61" s="1"/>
      <c r="H61" s="1"/>
      <c r="I61" s="1"/>
      <c r="R61" s="9">
        <v>0.45</v>
      </c>
      <c r="S61" s="10">
        <v>3</v>
      </c>
      <c r="T61" s="10" t="s">
        <v>159</v>
      </c>
      <c r="U61" s="10"/>
      <c r="V61" s="10"/>
      <c r="W61" s="10"/>
      <c r="X61" s="10"/>
      <c r="Y61" s="10"/>
      <c r="Z61" s="10"/>
      <c r="AA61" s="10"/>
      <c r="AB61" s="10"/>
      <c r="AC61" s="10"/>
      <c r="AD61" s="10"/>
      <c r="AE61" s="10"/>
      <c r="AF61" s="10"/>
      <c r="AG61" s="10"/>
      <c r="AK61" s="10"/>
      <c r="AL61" s="10"/>
      <c r="AM61" s="10"/>
    </row>
    <row r="62" spans="2:47" ht="17.5">
      <c r="B62" s="12" t="s">
        <v>171</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row>
    <row r="63" spans="2:47">
      <c r="D63" s="14"/>
      <c r="E63" s="14"/>
      <c r="F63" s="14"/>
      <c r="G63" s="14"/>
      <c r="H63" s="14"/>
      <c r="I63" s="14"/>
      <c r="R63" s="9"/>
      <c r="S63" s="10">
        <f>S62*3.6</f>
        <v>360</v>
      </c>
      <c r="T63" s="10" t="s">
        <v>139</v>
      </c>
      <c r="U63" s="10"/>
      <c r="V63" s="10"/>
      <c r="W63" s="10"/>
      <c r="X63" s="10"/>
      <c r="Y63" s="10"/>
      <c r="Z63" s="10"/>
      <c r="AA63" s="10"/>
      <c r="AB63" s="10"/>
      <c r="AC63" s="10"/>
      <c r="AD63" s="10"/>
      <c r="AE63" s="10"/>
      <c r="AF63" s="10"/>
      <c r="AG63" s="10"/>
      <c r="AK63" s="10"/>
      <c r="AL63" s="10"/>
      <c r="AM63" s="10"/>
      <c r="AO63" s="10"/>
      <c r="AP63" s="10"/>
      <c r="AQ63" s="10"/>
      <c r="AR63" s="10"/>
      <c r="AS63" s="10"/>
      <c r="AT63" s="10"/>
      <c r="AU63" s="10"/>
    </row>
    <row r="64" spans="2:47" ht="13.5" thickBot="1">
      <c r="B64" s="11" t="s">
        <v>172</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O64" s="10"/>
      <c r="AP64" s="10"/>
      <c r="AQ64" s="10"/>
      <c r="AR64" s="10"/>
      <c r="AS64" s="10"/>
      <c r="AT64" s="10"/>
      <c r="AU64" s="10"/>
    </row>
    <row r="65" spans="2:70" ht="13">
      <c r="B65" s="254" t="s">
        <v>173</v>
      </c>
      <c r="C65" s="255" t="s">
        <v>174</v>
      </c>
      <c r="D65" s="255" t="s">
        <v>175</v>
      </c>
      <c r="E65" s="255" t="s">
        <v>176</v>
      </c>
      <c r="F65" s="255" t="s">
        <v>177</v>
      </c>
      <c r="G65" s="255" t="s">
        <v>178</v>
      </c>
      <c r="H65" s="255" t="s">
        <v>179</v>
      </c>
      <c r="I65" s="256" t="s">
        <v>180</v>
      </c>
      <c r="R65" s="9"/>
      <c r="S65" s="10"/>
      <c r="T65" s="10"/>
      <c r="U65" s="10"/>
      <c r="V65" s="10"/>
      <c r="W65" s="10"/>
      <c r="X65" s="10"/>
      <c r="Y65" s="10"/>
      <c r="Z65" s="10"/>
      <c r="AA65" s="10"/>
      <c r="AB65" s="10"/>
      <c r="AC65" s="10"/>
      <c r="AD65" s="10"/>
      <c r="AE65" s="10"/>
      <c r="AF65" s="10"/>
      <c r="AG65" s="10"/>
      <c r="AO65" s="10"/>
      <c r="AP65" s="10"/>
      <c r="AQ65" s="10"/>
      <c r="AR65" s="10"/>
      <c r="AS65" s="10"/>
      <c r="AT65" s="10"/>
      <c r="AU65" s="10"/>
    </row>
    <row r="66" spans="2:70" ht="25">
      <c r="B66" s="257" t="s">
        <v>181</v>
      </c>
      <c r="C66" s="158" t="s">
        <v>182</v>
      </c>
      <c r="D66" s="158" t="s">
        <v>183</v>
      </c>
      <c r="E66" s="158" t="s">
        <v>176</v>
      </c>
      <c r="F66" s="158" t="s">
        <v>184</v>
      </c>
      <c r="G66" s="158" t="s">
        <v>185</v>
      </c>
      <c r="H66" s="158" t="s">
        <v>186</v>
      </c>
      <c r="I66" s="258" t="s">
        <v>187</v>
      </c>
      <c r="R66" s="9"/>
      <c r="S66" s="10"/>
      <c r="T66" s="10"/>
      <c r="U66" s="10"/>
      <c r="V66" s="10"/>
      <c r="W66" s="10"/>
      <c r="X66" s="10"/>
      <c r="Y66" s="10"/>
      <c r="Z66" s="10"/>
      <c r="AA66" s="10"/>
      <c r="AB66" s="10"/>
      <c r="AC66" s="10"/>
      <c r="AD66" s="10"/>
      <c r="AE66" s="10"/>
      <c r="AF66" s="10"/>
      <c r="AG66" s="10"/>
      <c r="AO66" s="10"/>
      <c r="AP66" s="10"/>
      <c r="AQ66" s="10"/>
      <c r="AR66" s="10"/>
      <c r="AS66" s="10"/>
      <c r="AT66" s="10"/>
      <c r="AU66" s="10"/>
    </row>
    <row r="67" spans="2:70">
      <c r="B67" s="17" t="s">
        <v>84</v>
      </c>
      <c r="C67" s="252" t="s">
        <v>188</v>
      </c>
      <c r="D67" s="252" t="s">
        <v>189</v>
      </c>
      <c r="E67" s="252" t="s">
        <v>139</v>
      </c>
      <c r="F67" s="241"/>
      <c r="G67" s="241"/>
      <c r="H67" s="241"/>
      <c r="I67" s="20"/>
      <c r="R67" s="9"/>
      <c r="S67" s="10"/>
      <c r="T67" s="10"/>
      <c r="U67" s="10"/>
      <c r="V67" s="10"/>
      <c r="W67" s="10"/>
      <c r="AO67" s="10"/>
      <c r="AP67" s="10"/>
      <c r="AQ67" s="10"/>
      <c r="AR67" s="10"/>
      <c r="AS67" s="10"/>
      <c r="AT67" s="10"/>
      <c r="AU67" s="10"/>
    </row>
    <row r="68" spans="2:70">
      <c r="B68" s="18" t="s">
        <v>84</v>
      </c>
      <c r="C68" s="251" t="s">
        <v>190</v>
      </c>
      <c r="D68" s="251" t="s">
        <v>191</v>
      </c>
      <c r="E68" s="251" t="s">
        <v>139</v>
      </c>
      <c r="F68" s="239"/>
      <c r="G68" s="239"/>
      <c r="H68" s="239"/>
      <c r="I68" s="19"/>
      <c r="R68" s="9"/>
      <c r="S68" s="10"/>
      <c r="T68" s="10"/>
      <c r="U68" s="10"/>
      <c r="V68" s="10"/>
      <c r="W68" s="10"/>
      <c r="AN68" s="10"/>
      <c r="AO68" s="10"/>
      <c r="AP68" s="10"/>
      <c r="AQ68" s="10"/>
      <c r="AR68" s="10"/>
      <c r="AS68" s="10"/>
      <c r="AT68" s="10"/>
      <c r="AU68" s="10"/>
    </row>
    <row r="69" spans="2:70">
      <c r="B69" s="17" t="s">
        <v>84</v>
      </c>
      <c r="C69" s="252" t="s">
        <v>192</v>
      </c>
      <c r="D69" s="252" t="s">
        <v>193</v>
      </c>
      <c r="E69" s="252" t="s">
        <v>139</v>
      </c>
      <c r="F69" s="241"/>
      <c r="G69" s="241"/>
      <c r="H69" s="241"/>
      <c r="I69" s="20"/>
      <c r="R69" s="9"/>
      <c r="S69" s="10"/>
      <c r="T69" s="10"/>
      <c r="U69" s="10"/>
      <c r="V69" s="10"/>
      <c r="W69" s="10"/>
      <c r="AN69" s="10"/>
      <c r="AO69" s="10"/>
      <c r="AP69" s="10"/>
      <c r="AQ69" s="10"/>
      <c r="AR69" s="10"/>
      <c r="AS69" s="10"/>
      <c r="AT69" s="10"/>
      <c r="AU69" s="10"/>
      <c r="AV69" s="10"/>
      <c r="AW69" s="10"/>
      <c r="AX69" s="10"/>
      <c r="AY69" s="10"/>
      <c r="AZ69" s="10"/>
      <c r="BA69" s="10"/>
      <c r="BB69" s="10"/>
      <c r="BC69" s="10"/>
      <c r="BD69" s="10"/>
      <c r="BE69" s="10"/>
      <c r="BF69" s="10"/>
      <c r="BG69" s="10"/>
      <c r="BH69" s="10"/>
      <c r="BR69" s="10"/>
    </row>
    <row r="70" spans="2:70">
      <c r="B70" s="18" t="s">
        <v>84</v>
      </c>
      <c r="C70" s="251" t="s">
        <v>194</v>
      </c>
      <c r="D70" s="251" t="s">
        <v>195</v>
      </c>
      <c r="E70" s="251" t="s">
        <v>139</v>
      </c>
      <c r="F70" s="239"/>
      <c r="G70" s="239"/>
      <c r="H70" s="239"/>
      <c r="I70" s="19"/>
      <c r="R70" s="9"/>
      <c r="S70" s="10"/>
      <c r="T70" s="10"/>
      <c r="U70" s="10"/>
      <c r="V70" s="10"/>
      <c r="W70" s="10"/>
      <c r="AN70" s="10"/>
      <c r="AO70" s="10"/>
      <c r="AP70" s="10"/>
      <c r="AQ70" s="10"/>
      <c r="AR70" s="10"/>
      <c r="AS70" s="10"/>
      <c r="AT70" s="10"/>
      <c r="AU70" s="10"/>
      <c r="AV70" s="10"/>
      <c r="AW70" s="10"/>
      <c r="AX70" s="10"/>
      <c r="AY70" s="10"/>
      <c r="AZ70" s="10"/>
      <c r="BA70" s="10"/>
      <c r="BB70" s="10"/>
      <c r="BC70" s="10"/>
      <c r="BD70" s="10"/>
      <c r="BE70" s="10"/>
      <c r="BF70" s="10"/>
      <c r="BG70" s="10"/>
      <c r="BH70" s="10"/>
      <c r="BR70" s="10"/>
    </row>
    <row r="71" spans="2:70">
      <c r="B71" s="17" t="s">
        <v>84</v>
      </c>
      <c r="C71" s="252" t="s">
        <v>196</v>
      </c>
      <c r="D71" s="252" t="s">
        <v>197</v>
      </c>
      <c r="E71" s="252" t="s">
        <v>139</v>
      </c>
      <c r="F71" s="241"/>
      <c r="G71" s="241"/>
      <c r="H71" s="241"/>
      <c r="I71" s="20"/>
      <c r="R71" s="9"/>
      <c r="S71" s="10"/>
      <c r="T71" s="10"/>
      <c r="U71" s="10"/>
      <c r="V71" s="10"/>
      <c r="W71" s="10"/>
      <c r="AN71" s="10"/>
      <c r="AO71" s="10"/>
      <c r="AP71" s="10"/>
      <c r="AQ71" s="10"/>
      <c r="AR71" s="10"/>
      <c r="AS71" s="10"/>
      <c r="AT71" s="10"/>
      <c r="AU71" s="10"/>
      <c r="AV71" s="10"/>
      <c r="AW71" s="10"/>
      <c r="AX71" s="10"/>
      <c r="AY71" s="10"/>
      <c r="AZ71" s="10"/>
      <c r="BA71" s="10"/>
      <c r="BB71" s="10"/>
      <c r="BC71" s="10"/>
      <c r="BD71" s="10"/>
      <c r="BE71" s="10"/>
      <c r="BF71" s="10"/>
      <c r="BG71" s="10"/>
      <c r="BH71" s="10"/>
      <c r="BR71" s="10"/>
    </row>
    <row r="72" spans="2:70">
      <c r="B72" s="18" t="s">
        <v>84</v>
      </c>
      <c r="C72" s="251" t="s">
        <v>198</v>
      </c>
      <c r="D72" s="251" t="s">
        <v>199</v>
      </c>
      <c r="E72" s="251" t="s">
        <v>139</v>
      </c>
      <c r="F72" s="239"/>
      <c r="G72" s="239"/>
      <c r="H72" s="239"/>
      <c r="I72" s="19"/>
      <c r="R72" s="9"/>
      <c r="S72" s="10"/>
      <c r="T72" s="10"/>
      <c r="U72" s="10"/>
      <c r="V72" s="10"/>
      <c r="W72" s="10"/>
      <c r="AN72" s="10"/>
      <c r="AV72" s="10"/>
      <c r="AW72" s="10"/>
      <c r="AX72" s="10"/>
      <c r="AY72" s="10"/>
      <c r="AZ72" s="10"/>
      <c r="BA72" s="10"/>
      <c r="BB72" s="10"/>
      <c r="BC72" s="10"/>
      <c r="BD72" s="10"/>
      <c r="BE72" s="10"/>
      <c r="BF72" s="10"/>
      <c r="BG72" s="10"/>
      <c r="BH72" s="10"/>
      <c r="BR72" s="10"/>
    </row>
    <row r="73" spans="2:70">
      <c r="B73" s="17" t="s">
        <v>84</v>
      </c>
      <c r="C73" s="252" t="s">
        <v>200</v>
      </c>
      <c r="D73" s="252" t="s">
        <v>201</v>
      </c>
      <c r="E73" s="252" t="s">
        <v>139</v>
      </c>
      <c r="F73" s="241"/>
      <c r="G73" s="241"/>
      <c r="H73" s="241"/>
      <c r="I73" s="20"/>
      <c r="AN73" s="10"/>
      <c r="AV73" s="10"/>
      <c r="AW73" s="10"/>
      <c r="AX73" s="10"/>
      <c r="AY73" s="10"/>
      <c r="AZ73" s="10"/>
      <c r="BA73" s="10"/>
      <c r="BB73" s="10"/>
      <c r="BC73" s="10"/>
      <c r="BD73" s="10"/>
      <c r="BE73" s="10"/>
      <c r="BF73" s="10"/>
      <c r="BG73" s="10"/>
      <c r="BH73" s="10"/>
      <c r="BR73" s="10"/>
    </row>
    <row r="74" spans="2:70">
      <c r="B74" s="18" t="s">
        <v>84</v>
      </c>
      <c r="C74" s="251" t="s">
        <v>202</v>
      </c>
      <c r="D74" s="251" t="s">
        <v>203</v>
      </c>
      <c r="E74" s="251" t="s">
        <v>139</v>
      </c>
      <c r="F74" s="239"/>
      <c r="G74" s="251" t="s">
        <v>204</v>
      </c>
      <c r="H74" s="239"/>
      <c r="I74" s="19"/>
      <c r="AN74" s="10"/>
      <c r="AV74" s="10"/>
      <c r="AW74" s="10"/>
      <c r="AX74" s="10"/>
      <c r="AY74" s="10"/>
      <c r="AZ74" s="10"/>
      <c r="BA74" s="10"/>
      <c r="BB74" s="10"/>
      <c r="BC74" s="10"/>
      <c r="BD74" s="10"/>
      <c r="BE74" s="10"/>
      <c r="BF74" s="10"/>
      <c r="BG74" s="10"/>
      <c r="BH74" s="10"/>
      <c r="BR74" s="10"/>
    </row>
    <row r="75" spans="2:70">
      <c r="B75" s="17" t="s">
        <v>84</v>
      </c>
      <c r="C75" s="252" t="s">
        <v>205</v>
      </c>
      <c r="D75" s="252" t="s">
        <v>214</v>
      </c>
      <c r="E75" s="252" t="s">
        <v>139</v>
      </c>
      <c r="F75" s="241"/>
      <c r="G75" s="252" t="s">
        <v>204</v>
      </c>
      <c r="H75" s="241"/>
      <c r="I75" s="20"/>
      <c r="AN75" s="10"/>
      <c r="AV75" s="10"/>
      <c r="AW75" s="10"/>
      <c r="AX75" s="10"/>
      <c r="AY75" s="10"/>
      <c r="AZ75" s="10"/>
      <c r="BA75" s="10"/>
      <c r="BB75" s="10"/>
      <c r="BC75" s="10"/>
      <c r="BD75" s="10"/>
      <c r="BE75" s="10"/>
      <c r="BF75" s="10"/>
      <c r="BG75" s="10"/>
      <c r="BH75" s="10"/>
      <c r="BR75" s="10"/>
    </row>
    <row r="76" spans="2:70">
      <c r="B76" s="18" t="s">
        <v>84</v>
      </c>
      <c r="C76" s="251" t="s">
        <v>206</v>
      </c>
      <c r="D76" s="251" t="s">
        <v>215</v>
      </c>
      <c r="E76" s="251" t="s">
        <v>139</v>
      </c>
      <c r="F76" s="239"/>
      <c r="G76" s="251" t="s">
        <v>204</v>
      </c>
      <c r="H76" s="239"/>
      <c r="I76" s="19"/>
      <c r="AN76" s="10"/>
      <c r="AV76" s="10"/>
      <c r="AW76" s="10"/>
      <c r="AX76" s="10"/>
      <c r="AY76" s="10"/>
      <c r="AZ76" s="10"/>
      <c r="BA76" s="10"/>
      <c r="BB76" s="10"/>
      <c r="BC76" s="10"/>
      <c r="BD76" s="10"/>
      <c r="BE76" s="10"/>
      <c r="BF76" s="10"/>
      <c r="BG76" s="10"/>
      <c r="BH76" s="10"/>
      <c r="BR76" s="10"/>
    </row>
    <row r="77" spans="2:70">
      <c r="B77" s="17" t="s">
        <v>84</v>
      </c>
      <c r="C77" s="252" t="s">
        <v>207</v>
      </c>
      <c r="D77" s="252" t="s">
        <v>208</v>
      </c>
      <c r="E77" s="252" t="s">
        <v>159</v>
      </c>
      <c r="F77" s="241"/>
      <c r="G77" s="252"/>
      <c r="H77" s="241"/>
      <c r="I77" s="20"/>
      <c r="AN77" s="10"/>
      <c r="AV77" s="10"/>
      <c r="AW77" s="10"/>
      <c r="AX77" s="10"/>
      <c r="AY77" s="10"/>
      <c r="AZ77" s="10"/>
      <c r="BA77" s="10"/>
      <c r="BB77" s="10"/>
      <c r="BC77" s="10"/>
      <c r="BD77" s="10"/>
      <c r="BE77" s="10"/>
      <c r="BF77" s="10"/>
      <c r="BG77" s="10"/>
      <c r="BH77" s="10"/>
      <c r="BR77" s="10"/>
    </row>
    <row r="78" spans="2:70">
      <c r="B78" s="18" t="s">
        <v>84</v>
      </c>
      <c r="C78" s="251" t="s">
        <v>209</v>
      </c>
      <c r="D78" s="251" t="s">
        <v>210</v>
      </c>
      <c r="E78" s="251" t="s">
        <v>159</v>
      </c>
      <c r="F78" s="239"/>
      <c r="G78" s="239"/>
      <c r="H78" s="239"/>
      <c r="I78" s="19"/>
      <c r="BR78" s="10"/>
    </row>
    <row r="79" spans="2:70">
      <c r="B79" s="17" t="s">
        <v>84</v>
      </c>
      <c r="C79" s="252" t="s">
        <v>211</v>
      </c>
      <c r="D79" s="252" t="s">
        <v>212</v>
      </c>
      <c r="E79" s="252" t="s">
        <v>159</v>
      </c>
      <c r="F79" s="168"/>
      <c r="G79" s="168"/>
      <c r="H79" s="168"/>
      <c r="I79" s="253"/>
      <c r="BR79" s="10"/>
    </row>
    <row r="80" spans="2:70" ht="13" thickBot="1">
      <c r="B80" s="259" t="s">
        <v>84</v>
      </c>
      <c r="C80" s="149" t="s">
        <v>213</v>
      </c>
      <c r="D80" s="183" t="s">
        <v>216</v>
      </c>
      <c r="E80" s="127" t="s">
        <v>139</v>
      </c>
      <c r="F80" s="150"/>
      <c r="G80" s="150"/>
      <c r="H80" s="150"/>
      <c r="I80" s="237"/>
      <c r="BR80" s="10"/>
    </row>
    <row r="81" spans="2:70">
      <c r="B81" s="251"/>
      <c r="E81" s="251"/>
      <c r="F81" s="168"/>
      <c r="G81" s="168"/>
      <c r="H81" s="168"/>
      <c r="I81" s="168"/>
      <c r="BR81" s="10"/>
    </row>
    <row r="82" spans="2:70" ht="15.5">
      <c r="C82" s="1"/>
      <c r="BR82" s="10"/>
    </row>
    <row r="83" spans="2:70">
      <c r="BR83" s="10"/>
    </row>
    <row r="84" spans="2:70">
      <c r="BR84" s="10"/>
    </row>
    <row r="85" spans="2:70">
      <c r="BR85" s="10"/>
    </row>
    <row r="86" spans="2:70">
      <c r="BR86" s="10"/>
    </row>
    <row r="95" spans="2:70" ht="15.5">
      <c r="J95" s="1"/>
    </row>
    <row r="96" spans="2:70"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2:56" ht="15.75" customHeight="1"/>
    <row r="114" spans="42:56" ht="15.75" customHeight="1"/>
    <row r="115" spans="42:56" ht="15.75" customHeight="1"/>
    <row r="119" spans="42:56" ht="14">
      <c r="AP119" s="4"/>
      <c r="AQ119" s="4"/>
      <c r="AR119" s="4"/>
      <c r="AS119" s="4"/>
      <c r="AT119" s="4"/>
      <c r="AU119" s="4"/>
    </row>
    <row r="120" spans="42:56" ht="18.75" customHeight="1"/>
    <row r="123" spans="42:56" ht="18.75" customHeight="1"/>
    <row r="124" spans="42:56" ht="18.75" customHeight="1"/>
    <row r="125" spans="42:56" ht="15.75" customHeight="1">
      <c r="AV125" s="4"/>
      <c r="AW125" s="4"/>
      <c r="AX125" s="4"/>
      <c r="AY125" s="4"/>
      <c r="AZ125" s="4"/>
      <c r="BA125" s="4"/>
      <c r="BB125" s="4"/>
      <c r="BC125" s="4"/>
      <c r="BD125" s="4"/>
    </row>
    <row r="126" spans="42:56" ht="15.75" customHeight="1"/>
    <row r="127" spans="42:56" ht="15.75" customHeight="1"/>
    <row r="128" spans="42:56" ht="15.75" customHeight="1"/>
    <row r="129" ht="15.75" customHeight="1"/>
    <row r="130" ht="15.75" customHeight="1"/>
    <row r="131" ht="15.75" customHeight="1"/>
  </sheetData>
  <mergeCells count="14">
    <mergeCell ref="AW37:AY37"/>
    <mergeCell ref="BI12:BI15"/>
    <mergeCell ref="AQ22:AR22"/>
    <mergeCell ref="AQ20:AU20"/>
    <mergeCell ref="AX20:BB20"/>
    <mergeCell ref="AX22:AY22"/>
    <mergeCell ref="AM5:AU5"/>
    <mergeCell ref="AM7:AO7"/>
    <mergeCell ref="AP7:AR7"/>
    <mergeCell ref="AS7:AT7"/>
    <mergeCell ref="AW5:BE5"/>
    <mergeCell ref="AW7:AY7"/>
    <mergeCell ref="AZ7:BB7"/>
    <mergeCell ref="BC7:BD7"/>
  </mergeCells>
  <phoneticPr fontId="82" type="noConversion"/>
  <hyperlinks>
    <hyperlink ref="AN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2.xml><?xml version="1.0" encoding="utf-8"?>
<ds:datastoreItem xmlns:ds="http://schemas.openxmlformats.org/officeDocument/2006/customXml" ds:itemID="{76B6E472-D1F5-4E7A-AF51-BA994FBF5849}">
  <ds:schemaRefs>
    <ds:schemaRef ds:uri="http://purl.org/dc/elements/1.1/"/>
    <ds:schemaRef ds:uri="http://purl.org/dc/dcmitype/"/>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http://schemas.openxmlformats.org/package/2006/metadata/core-propertie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6707EA8F-0514-4763-B28A-616106B1D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2025-09-03T12:05:00Z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