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<sst xmlns="http://schemas.openxmlformats.org/spreadsheetml/2006/main" count="60" uniqueCount="58">
  <si>
    <t xml:space="preserve">Discounted Cash Flow Analysis Model</t>
  </si>
  <si>
    <t xml:space="preserve">Ticker:</t>
  </si>
  <si>
    <t xml:space="preserve">AAPL</t>
  </si>
  <si>
    <t xml:space="preserve">Market Data</t>
  </si>
  <si>
    <t xml:space="preserve">Financial Status</t>
  </si>
  <si>
    <t xml:space="preserve">Financial Ratios</t>
  </si>
  <si>
    <t xml:space="preserve">Risk Free Rate</t>
  </si>
  <si>
    <t xml:space="preserve">Interest Expense</t>
  </si>
  <si>
    <t xml:space="preserve">P/E (Price-to-Earnings Ratio)</t>
  </si>
  <si>
    <t xml:space="preserve">DCF Value</t>
  </si>
  <si>
    <t xml:space="preserve">Beta</t>
  </si>
  <si>
    <t xml:space="preserve">Total Debt</t>
  </si>
  <si>
    <t xml:space="preserve">P/B (Price-to-Book Ratio)</t>
  </si>
  <si>
    <t xml:space="preserve">Worst Case</t>
  </si>
  <si>
    <t xml:space="preserve">Base Case</t>
  </si>
  <si>
    <t xml:space="preserve">Best Case</t>
  </si>
  <si>
    <t xml:space="preserve">Market Return</t>
  </si>
  <si>
    <t xml:space="preserve">Cost Of Debt</t>
  </si>
  <si>
    <t xml:space="preserve">ROE (Return on Equity)</t>
  </si>
  <si>
    <t xml:space="preserve">ERP</t>
  </si>
  <si>
    <t xml:space="preserve">Income Tax Expense</t>
  </si>
  <si>
    <t xml:space="preserve">Current Ratio</t>
  </si>
  <si>
    <t xml:space="preserve">Cost Of Equity</t>
  </si>
  <si>
    <t xml:space="preserve">Income Before Tax</t>
  </si>
  <si>
    <t xml:space="preserve">Equity Value</t>
  </si>
  <si>
    <t xml:space="preserve">Effective Tax Rate</t>
  </si>
  <si>
    <t xml:space="preserve">DCF Price per Share:</t>
  </si>
  <si>
    <t xml:space="preserve">Cost Of Debt After Tax</t>
  </si>
  <si>
    <t xml:space="preserve">Performance</t>
  </si>
  <si>
    <t xml:space="preserve">Revenue Growth (Last Year)</t>
  </si>
  <si>
    <t xml:space="preserve">Earnings &amp; Cash Flow</t>
  </si>
  <si>
    <t xml:space="preserve">Profit Growth (Last Year)</t>
  </si>
  <si>
    <t xml:space="preserve">EPS</t>
  </si>
  <si>
    <t xml:space="preserve">Company Structure</t>
  </si>
  <si>
    <t xml:space="preserve">Dividend Yield</t>
  </si>
  <si>
    <t xml:space="preserve">Sum Of FCF</t>
  </si>
  <si>
    <t xml:space="preserve">Shares Outstanding</t>
  </si>
  <si>
    <t xml:space="preserve">Cash &amp; Cash Equivalents</t>
  </si>
  <si>
    <t xml:space="preserve">Perpertual Growth Rate:</t>
  </si>
  <si>
    <t xml:space="preserve">User-GrowthRate:</t>
  </si>
  <si>
    <t xml:space="preserve">Discount Rate (WACC)</t>
  </si>
  <si>
    <t xml:space="preserve">Weight Of Debt And Equity</t>
  </si>
  <si>
    <t xml:space="preserve">Growth Rate:</t>
  </si>
  <si>
    <t xml:space="preserve">User-Discount Rate:</t>
  </si>
  <si>
    <t xml:space="preserve">Years</t>
  </si>
  <si>
    <t xml:space="preserve">Average Growth Rate:</t>
  </si>
  <si>
    <t xml:space="preserve">Growth Stage</t>
  </si>
  <si>
    <t xml:space="preserve">Market Cap</t>
  </si>
  <si>
    <t xml:space="preserve">Terminal Stage</t>
  </si>
  <si>
    <t xml:space="preserve">Total</t>
  </si>
  <si>
    <t xml:space="preserve">WACC</t>
  </si>
  <si>
    <t xml:space="preserve">DCF Analysis</t>
  </si>
  <si>
    <t xml:space="preserve">Year</t>
  </si>
  <si>
    <t xml:space="preserve">Free Cash Flow</t>
  </si>
  <si>
    <t xml:space="preserve">Growth</t>
  </si>
  <si>
    <t xml:space="preserve">Terminal Value</t>
  </si>
  <si>
    <t xml:space="preserve">Future Free Cash Flows</t>
  </si>
  <si>
    <t xml:space="preserve">PV of FFCF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</si>
</sst>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\ %"/>
    <numFmt numFmtId="166" formatCode="[$$-409]#\ ##0;[RED]\-[$$-409]#\ ##0"/>
    <numFmt numFmtId="167" formatCode="[$-409]0.00%"/>
    <numFmt numFmtId="168" formatCode="[$$-409]#,##0;[RED]\-[$$-409]#,##0"/>
    <numFmt numFmtId="169" formatCode="[$-409]General"/>
    <numFmt numFmtId="170" formatCode="[$$-409]#,##0;\-[$$-409]#,##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36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7E1C0"/>
        <bgColor rgb="FFA2C4B0"/>
      </patternFill>
    </fill>
    <fill>
      <patternFill patternType="solid">
        <fgColor rgb="FFA2C4B0"/>
        <bgColor rgb="FFB7E1C0"/>
      </patternFill>
    </fill>
    <fill>
      <patternFill patternType="solid">
        <fgColor rgb="FFFFB66C"/>
        <bgColor rgb="FFFBBC04"/>
      </patternFill>
    </fill>
    <fill>
      <patternFill patternType="solid">
        <fgColor rgb="FFFFFFFF"/>
        <bgColor rgb="FFFFFFCC"/>
      </patternFill>
    </fill>
    <fill>
      <patternFill patternType="solid">
        <fgColor rgb="FFFBBC04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0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B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0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4.1015625" defaultRowHeight="15.65" zeroHeight="false" outlineLevelRow="0" outlineLevelCol="0"/>
  <cols>
    <col collapsed="false" customWidth="false" hidden="false" outlineLevel="0" max="16384" min="1" style="1" width="14.1"/>
  </cols>
  <sheetData>
    <row r="1" customFormat="false" ht="1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5.6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5.6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5" customFormat="false" ht="16.65" hidden="false" customHeight="true" outlineLevel="0" collapsed="false">
      <c r="L5" s="3"/>
      <c r="M5" s="4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customFormat="false" ht="16.65" hidden="false" customHeight="true" outlineLevel="0" collapsed="false">
      <c r="A6" s="6" t="s">
        <v>1</v>
      </c>
      <c r="B6" s="6"/>
      <c r="C6" s="6"/>
      <c r="D6" s="7"/>
      <c r="E6" s="8" t="s">
        <v>2</v>
      </c>
      <c r="F6" s="8"/>
      <c r="G6" s="8"/>
      <c r="H6" s="8"/>
      <c r="I6" s="8"/>
      <c r="J6" s="8"/>
      <c r="K6" s="8"/>
      <c r="L6" s="9"/>
      <c r="M6" s="9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customFormat="false" ht="16.65" hidden="false" customHeight="true" outlineLevel="0" collapsed="false">
      <c r="A7" s="6"/>
      <c r="B7" s="6"/>
      <c r="C7" s="6"/>
      <c r="D7" s="7"/>
      <c r="E7" s="7"/>
      <c r="F7" s="8"/>
      <c r="G7" s="8"/>
      <c r="H7" s="8"/>
      <c r="I7" s="8"/>
      <c r="J7" s="8"/>
      <c r="K7" s="8"/>
      <c r="L7" s="10"/>
      <c r="M7" s="10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customFormat="false" ht="16.65" hidden="false" customHeight="true" outlineLevel="0" collapsed="false">
      <c r="A8" s="5"/>
      <c r="B8" s="5"/>
      <c r="C8" s="5"/>
      <c r="D8" s="5"/>
      <c r="L8" s="5"/>
      <c r="M8" s="5"/>
      <c r="N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customFormat="false" ht="16.65" hidden="false" customHeight="true" outlineLevel="0" collapsed="false">
      <c r="I9" s="5"/>
      <c r="J9" s="5"/>
      <c r="K9" s="5"/>
      <c r="M9" s="3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customFormat="false" ht="16.65" hidden="false" customHeight="true" outlineLevel="0" collapsed="false">
      <c r="A10" s="11" t="s">
        <v>3</v>
      </c>
      <c r="B10" s="11"/>
      <c r="C10" s="11"/>
      <c r="E10" s="11" t="s">
        <v>4</v>
      </c>
      <c r="F10" s="11"/>
      <c r="G10" s="11"/>
      <c r="H10" s="12"/>
      <c r="I10" s="13" t="s">
        <v>5</v>
      </c>
      <c r="J10" s="13"/>
      <c r="K10" s="1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customFormat="false" ht="16.65" hidden="false" customHeight="true" outlineLevel="0" collapsed="false">
      <c r="A11" s="14" t="s">
        <v>6</v>
      </c>
      <c r="B11" s="14"/>
      <c r="C11" s="15" t="n">
        <v>0.0492</v>
      </c>
      <c r="E11" s="14" t="s">
        <v>7</v>
      </c>
      <c r="F11" s="14"/>
      <c r="G11" s="16" t="n">
        <v>2931</v>
      </c>
      <c r="H11" s="17"/>
      <c r="I11" s="18" t="s">
        <v>8</v>
      </c>
      <c r="J11" s="18"/>
      <c r="K11" s="19"/>
      <c r="M11" s="13" t="s">
        <v>9</v>
      </c>
      <c r="N11" s="13"/>
      <c r="O11" s="1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customFormat="false" ht="16.65" hidden="false" customHeight="true" outlineLevel="0" collapsed="false">
      <c r="A12" s="14" t="s">
        <v>10</v>
      </c>
      <c r="B12" s="14"/>
      <c r="C12" s="20" t="n">
        <v>1.31</v>
      </c>
      <c r="E12" s="14" t="s">
        <v>11</v>
      </c>
      <c r="F12" s="14"/>
      <c r="G12" s="16" t="n">
        <v>120069</v>
      </c>
      <c r="H12" s="21"/>
      <c r="I12" s="18" t="s">
        <v>12</v>
      </c>
      <c r="J12" s="18"/>
      <c r="K12" s="22"/>
      <c r="L12" s="5"/>
      <c r="M12" s="23" t="s">
        <v>13</v>
      </c>
      <c r="N12" s="23" t="s">
        <v>14</v>
      </c>
      <c r="O12" s="23" t="s">
        <v>15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customFormat="false" ht="16.65" hidden="false" customHeight="true" outlineLevel="0" collapsed="false">
      <c r="A13" s="14" t="s">
        <v>16</v>
      </c>
      <c r="B13" s="14"/>
      <c r="C13" s="15" t="n">
        <v>0.1002</v>
      </c>
      <c r="E13" s="14" t="s">
        <v>17</v>
      </c>
      <c r="F13" s="14"/>
      <c r="G13" s="22" t="n">
        <f aca="false">G11/G12</f>
        <v>0.0244109636958749</v>
      </c>
      <c r="H13" s="24"/>
      <c r="I13" s="18" t="s">
        <v>18</v>
      </c>
      <c r="J13" s="18"/>
      <c r="K13" s="19"/>
      <c r="M13" s="25" t="n">
        <f aca="false">N13 * 0.8</f>
        <v>128.301100191592</v>
      </c>
      <c r="N13" s="25" t="n">
        <f aca="false">M18</f>
        <v>160.37637523949</v>
      </c>
      <c r="O13" s="25" t="n">
        <f aca="false">N13 * 1.2</f>
        <v>192.451650287388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customFormat="false" ht="16.65" hidden="false" customHeight="true" outlineLevel="0" collapsed="false">
      <c r="A14" s="14" t="s">
        <v>19</v>
      </c>
      <c r="B14" s="14"/>
      <c r="C14" s="22" t="n">
        <f aca="false">C13-C11</f>
        <v>0.051</v>
      </c>
      <c r="E14" s="14" t="s">
        <v>20</v>
      </c>
      <c r="F14" s="14"/>
      <c r="G14" s="16" t="n">
        <v>19300</v>
      </c>
      <c r="H14" s="17"/>
      <c r="I14" s="18" t="s">
        <v>21</v>
      </c>
      <c r="J14" s="18"/>
      <c r="K14" s="2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customFormat="false" ht="16.65" hidden="false" customHeight="true" outlineLevel="0" collapsed="false">
      <c r="A15" s="14" t="s">
        <v>22</v>
      </c>
      <c r="B15" s="14"/>
      <c r="C15" s="22" t="n">
        <f aca="false">C11+C12* C14</f>
        <v>0.11601</v>
      </c>
      <c r="E15" s="14" t="s">
        <v>23</v>
      </c>
      <c r="F15" s="14"/>
      <c r="G15" s="16" t="n">
        <v>119103</v>
      </c>
      <c r="H15" s="17"/>
      <c r="M15" s="5"/>
      <c r="N15" s="5"/>
      <c r="O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customFormat="false" ht="16.65" hidden="false" customHeight="true" outlineLevel="0" collapsed="false">
      <c r="A16" s="14" t="s">
        <v>24</v>
      </c>
      <c r="B16" s="14"/>
      <c r="C16" s="27" t="n">
        <f aca="false">C21+C22-G12</f>
        <v>1595754.33584886</v>
      </c>
      <c r="E16" s="14" t="s">
        <v>25</v>
      </c>
      <c r="F16" s="14"/>
      <c r="G16" s="22" t="n">
        <f aca="false">G14/G15</f>
        <v>0.162044616844244</v>
      </c>
      <c r="H16" s="24"/>
      <c r="L16" s="28"/>
      <c r="M16" s="29" t="s">
        <v>26</v>
      </c>
      <c r="N16" s="29"/>
      <c r="O16" s="29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customFormat="false" ht="16.65" hidden="false" customHeight="true" outlineLevel="0" collapsed="false">
      <c r="E17" s="14" t="s">
        <v>27</v>
      </c>
      <c r="F17" s="14"/>
      <c r="G17" s="22" t="n">
        <f aca="false">G13 * (1 - G16)</f>
        <v>0.0204552984369781</v>
      </c>
      <c r="H17" s="24"/>
      <c r="I17" s="30" t="s">
        <v>28</v>
      </c>
      <c r="J17" s="30"/>
      <c r="K17" s="30"/>
      <c r="L17" s="28"/>
      <c r="M17" s="29"/>
      <c r="N17" s="29"/>
      <c r="O17" s="29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customFormat="false" ht="16.65" hidden="false" customHeight="true" outlineLevel="0" collapsed="false">
      <c r="I18" s="18" t="s">
        <v>29</v>
      </c>
      <c r="J18" s="18"/>
      <c r="K18" s="26"/>
      <c r="M18" s="31" t="n">
        <f aca="false">IF(ISBLANK(G24), C20*(1+G25)^(O26-1)*(1-(1+G25)^O26/(1+K24)^O26)/(K24-G25)+C20*(1+G25)^O27*(1+K23)*(1-(1+K23)^O26/(1+K24)^O26)/(K24-K23), C20*(1+G24)^(O26-1)*(1-(1+G24)^O26/(1+K24)^O26)/(K24-G24)+C20*(1+G24)^O27*(1+K23)*(1-(1+K23)^O26/(1+K24)^O26)/(K24-K23))</f>
        <v>160.37637523949</v>
      </c>
      <c r="N18" s="31"/>
      <c r="O18" s="31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customFormat="false" ht="16.65" hidden="false" customHeight="true" outlineLevel="0" collapsed="false">
      <c r="A19" s="32" t="s">
        <v>30</v>
      </c>
      <c r="B19" s="32"/>
      <c r="C19" s="32"/>
      <c r="D19" s="5"/>
      <c r="E19" s="5"/>
      <c r="I19" s="18" t="s">
        <v>31</v>
      </c>
      <c r="J19" s="18"/>
      <c r="K19" s="26"/>
      <c r="M19" s="31"/>
      <c r="N19" s="31"/>
      <c r="O19" s="3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customFormat="false" ht="16.65" hidden="false" customHeight="true" outlineLevel="0" collapsed="false">
      <c r="A20" s="33" t="s">
        <v>32</v>
      </c>
      <c r="B20" s="33"/>
      <c r="C20" s="34" t="n">
        <v>5.96</v>
      </c>
      <c r="E20" s="13" t="s">
        <v>33</v>
      </c>
      <c r="F20" s="13"/>
      <c r="G20" s="13"/>
      <c r="I20" s="18" t="s">
        <v>34</v>
      </c>
      <c r="J20" s="18"/>
      <c r="K20" s="26"/>
      <c r="M20" s="31"/>
      <c r="N20" s="31"/>
      <c r="O20" s="3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customFormat="false" ht="16.65" hidden="false" customHeight="true" outlineLevel="0" collapsed="false">
      <c r="A21" s="14" t="s">
        <v>35</v>
      </c>
      <c r="B21" s="14"/>
      <c r="C21" s="27" t="n">
        <f aca="false">SUM(C42:L42)</f>
        <v>1667519.33584886</v>
      </c>
      <c r="D21" s="5"/>
      <c r="E21" s="18" t="s">
        <v>36</v>
      </c>
      <c r="F21" s="18"/>
      <c r="G21" s="35" t="n">
        <v>15630</v>
      </c>
      <c r="M21" s="31"/>
      <c r="N21" s="31"/>
      <c r="O21" s="31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customFormat="false" ht="16.65" hidden="false" customHeight="true" outlineLevel="0" collapsed="false">
      <c r="A22" s="14" t="s">
        <v>37</v>
      </c>
      <c r="B22" s="14"/>
      <c r="C22" s="16" t="n">
        <v>48304</v>
      </c>
      <c r="D22" s="5"/>
      <c r="E22" s="5"/>
      <c r="M22" s="31"/>
      <c r="N22" s="31"/>
      <c r="O22" s="3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customFormat="false" ht="16.6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36" t="s">
        <v>38</v>
      </c>
      <c r="J23" s="36"/>
      <c r="K23" s="15" t="n">
        <v>0.025</v>
      </c>
      <c r="L23" s="5"/>
      <c r="M23" s="5"/>
      <c r="N23" s="5"/>
      <c r="O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customFormat="false" ht="16.65" hidden="false" customHeight="true" outlineLevel="0" collapsed="false">
      <c r="E24" s="36" t="s">
        <v>39</v>
      </c>
      <c r="F24" s="36"/>
      <c r="G24" s="15"/>
      <c r="I24" s="36" t="s">
        <v>40</v>
      </c>
      <c r="J24" s="36"/>
      <c r="K24" s="22" t="n">
        <f aca="false">IF(ISBLANK(K25),K28,K25)</f>
        <v>0.111945927367709</v>
      </c>
      <c r="M24" s="5"/>
      <c r="N24" s="5"/>
      <c r="O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customFormat="false" ht="16.65" hidden="false" customHeight="true" outlineLevel="0" collapsed="false">
      <c r="A25" s="37" t="s">
        <v>41</v>
      </c>
      <c r="B25" s="37"/>
      <c r="C25" s="37"/>
      <c r="E25" s="36" t="s">
        <v>42</v>
      </c>
      <c r="F25" s="36"/>
      <c r="G25" s="22" t="n">
        <v>0.07</v>
      </c>
      <c r="I25" s="36" t="s">
        <v>43</v>
      </c>
      <c r="J25" s="36"/>
      <c r="K25" s="15"/>
      <c r="M25" s="5"/>
      <c r="O25" s="38" t="s">
        <v>44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customFormat="false" ht="16.65" hidden="false" customHeight="true" outlineLevel="0" collapsed="false">
      <c r="A26" s="23" t="s">
        <v>11</v>
      </c>
      <c r="B26" s="39" t="n">
        <f aca="false">G12</f>
        <v>120069</v>
      </c>
      <c r="C26" s="22" t="n">
        <f aca="false">B26/(B26 + B27)</f>
        <v>0.0425313727719726</v>
      </c>
      <c r="E26" s="36" t="s">
        <v>45</v>
      </c>
      <c r="F26" s="36"/>
      <c r="G26" s="22" t="n">
        <f aca="false">AVERAGE(C37:L37)</f>
        <v>0.122090453128703</v>
      </c>
      <c r="M26" s="36" t="s">
        <v>46</v>
      </c>
      <c r="N26" s="36"/>
      <c r="O26" s="40" t="n">
        <v>10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customFormat="false" ht="16.65" hidden="false" customHeight="true" outlineLevel="0" collapsed="false">
      <c r="A27" s="23" t="s">
        <v>47</v>
      </c>
      <c r="B27" s="41" t="n">
        <v>2703000</v>
      </c>
      <c r="C27" s="22" t="n">
        <f aca="false">B27/(B26 + B27)</f>
        <v>0.957468627228027</v>
      </c>
      <c r="M27" s="36" t="s">
        <v>48</v>
      </c>
      <c r="N27" s="36"/>
      <c r="O27" s="40" t="n">
        <v>10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customFormat="false" ht="16.65" hidden="false" customHeight="true" outlineLevel="0" collapsed="false">
      <c r="A28" s="23" t="s">
        <v>49</v>
      </c>
      <c r="B28" s="39" t="n">
        <f aca="false">B26+B27</f>
        <v>2823069</v>
      </c>
      <c r="C28" s="42"/>
      <c r="I28" s="36" t="s">
        <v>50</v>
      </c>
      <c r="J28" s="36"/>
      <c r="K28" s="43" t="n">
        <f aca="false">C15 * C27 + G17 * C26</f>
        <v>0.111945927367709</v>
      </c>
      <c r="Y28" s="5"/>
      <c r="Z28" s="5"/>
      <c r="AA28" s="5"/>
      <c r="AB28" s="5"/>
      <c r="AC28" s="5"/>
      <c r="AD28" s="5"/>
      <c r="AE28" s="5"/>
      <c r="AF28" s="5"/>
      <c r="AG28" s="5"/>
    </row>
    <row r="29" customFormat="false" ht="16.65" hidden="false" customHeight="true" outlineLevel="0" collapsed="false">
      <c r="Y29" s="5"/>
      <c r="Z29" s="5"/>
      <c r="AA29" s="5"/>
      <c r="AB29" s="5"/>
      <c r="AC29" s="5"/>
      <c r="AD29" s="5"/>
      <c r="AE29" s="5"/>
      <c r="AF29" s="5"/>
      <c r="AG29" s="5"/>
    </row>
    <row r="30" customFormat="false" ht="16.65" hidden="false" customHeight="true" outlineLevel="0" collapsed="false">
      <c r="A30" s="5"/>
      <c r="B30" s="5"/>
      <c r="C30" s="5"/>
      <c r="D30" s="5"/>
      <c r="E30" s="5"/>
      <c r="F30" s="5"/>
      <c r="G30" s="5"/>
      <c r="L30" s="5"/>
      <c r="Y30" s="5"/>
      <c r="Z30" s="5"/>
      <c r="AA30" s="5"/>
      <c r="AB30" s="5"/>
      <c r="AC30" s="5"/>
      <c r="AD30" s="5"/>
      <c r="AE30" s="5"/>
      <c r="AF30" s="5"/>
      <c r="AG30" s="5"/>
    </row>
    <row r="31" customFormat="false" ht="16.65" hidden="false" customHeight="true" outlineLevel="0" collapsed="false">
      <c r="A31" s="6" t="s">
        <v>51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Y31" s="5"/>
      <c r="Z31" s="5"/>
      <c r="AA31" s="5"/>
      <c r="AB31" s="5"/>
      <c r="AC31" s="5"/>
      <c r="AD31" s="5"/>
      <c r="AE31" s="5"/>
      <c r="AF31" s="5"/>
      <c r="AG31" s="5"/>
    </row>
    <row r="32" customFormat="false" ht="16.6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Y32" s="5"/>
      <c r="Z32" s="5"/>
      <c r="AA32" s="5"/>
      <c r="AB32" s="5"/>
      <c r="AC32" s="5"/>
      <c r="AD32" s="5"/>
      <c r="AE32" s="5"/>
      <c r="AF32" s="5"/>
      <c r="AG32" s="5"/>
    </row>
    <row r="33" customFormat="false" ht="16.65" hidden="false" customHeight="true" outlineLevel="0" collapsed="false">
      <c r="A33" s="5"/>
      <c r="B33" s="5"/>
      <c r="C33" s="5"/>
      <c r="D33" s="5"/>
      <c r="E33" s="5"/>
      <c r="F33" s="5"/>
      <c r="G33" s="5"/>
      <c r="M33" s="5"/>
      <c r="Y33" s="5"/>
      <c r="Z33" s="5"/>
      <c r="AA33" s="5"/>
      <c r="AB33" s="5"/>
      <c r="AC33" s="5"/>
      <c r="AD33" s="5"/>
      <c r="AE33" s="5"/>
      <c r="AF33" s="5"/>
      <c r="AG33" s="5"/>
    </row>
    <row r="34" customFormat="false" ht="16.6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M34" s="5"/>
      <c r="Y34" s="5"/>
      <c r="Z34" s="5"/>
      <c r="AA34" s="5"/>
      <c r="AB34" s="5"/>
      <c r="AC34" s="5"/>
      <c r="AD34" s="5"/>
      <c r="AE34" s="5"/>
      <c r="AF34" s="5"/>
      <c r="AG34" s="5"/>
    </row>
    <row r="35" customFormat="false" ht="16.65" hidden="false" customHeight="true" outlineLevel="0" collapsed="false">
      <c r="A35" s="36" t="s">
        <v>52</v>
      </c>
      <c r="B35" s="36"/>
      <c r="C35" s="23" t="n">
        <v>2013</v>
      </c>
      <c r="D35" s="23" t="n">
        <v>2014</v>
      </c>
      <c r="E35" s="23" t="n">
        <v>2015</v>
      </c>
      <c r="F35" s="23" t="n">
        <v>2016</v>
      </c>
      <c r="G35" s="23" t="n">
        <v>2017</v>
      </c>
      <c r="H35" s="23" t="n">
        <v>2018</v>
      </c>
      <c r="I35" s="23" t="n">
        <v>2019</v>
      </c>
      <c r="J35" s="23" t="n">
        <v>2020</v>
      </c>
      <c r="K35" s="23" t="n">
        <v>2021</v>
      </c>
      <c r="L35" s="23" t="n">
        <v>2022</v>
      </c>
      <c r="M35" s="5"/>
      <c r="Y35" s="5"/>
      <c r="Z35" s="5"/>
      <c r="AA35" s="5"/>
      <c r="AB35" s="5"/>
      <c r="AC35" s="5"/>
      <c r="AD35" s="5"/>
      <c r="AE35" s="5"/>
      <c r="AF35" s="5"/>
      <c r="AG35" s="5"/>
    </row>
    <row r="36" customFormat="false" ht="16.65" hidden="false" customHeight="true" outlineLevel="0" collapsed="false">
      <c r="A36" s="36" t="s">
        <v>53</v>
      </c>
      <c r="B36" s="36"/>
      <c r="C36" s="27" t="n">
        <v>45501</v>
      </c>
      <c r="D36" s="27" t="n">
        <v>50142</v>
      </c>
      <c r="E36" s="27" t="n">
        <v>70019</v>
      </c>
      <c r="F36" s="27" t="n">
        <v>53497</v>
      </c>
      <c r="G36" s="27" t="n">
        <v>51774</v>
      </c>
      <c r="H36" s="27" t="n">
        <v>64121</v>
      </c>
      <c r="I36" s="27" t="n">
        <v>58896</v>
      </c>
      <c r="J36" s="27" t="n">
        <v>73365</v>
      </c>
      <c r="K36" s="27" t="n">
        <v>92953</v>
      </c>
      <c r="L36" s="27" t="n">
        <v>111443</v>
      </c>
      <c r="M36" s="5"/>
      <c r="Y36" s="5"/>
      <c r="Z36" s="5"/>
      <c r="AA36" s="5"/>
      <c r="AB36" s="5"/>
      <c r="AC36" s="5"/>
      <c r="AD36" s="5"/>
      <c r="AE36" s="5"/>
      <c r="AF36" s="5"/>
      <c r="AG36" s="5"/>
    </row>
    <row r="37" customFormat="false" ht="16.65" hidden="false" customHeight="true" outlineLevel="0" collapsed="false">
      <c r="A37" s="36" t="s">
        <v>54</v>
      </c>
      <c r="B37" s="36"/>
      <c r="C37" s="44"/>
      <c r="D37" s="22" t="n">
        <f aca="false">IF(C36=0, "0", IF(C36&gt;0, (D36-C36)/C36))</f>
        <v>0.101997758291027</v>
      </c>
      <c r="E37" s="22" t="n">
        <f aca="false">IF(D36=0, "0", IF(D36&gt;0, (E36-D36)/D36))</f>
        <v>0.39641418371824</v>
      </c>
      <c r="F37" s="22" t="n">
        <f aca="false">IF(E36=0, "0", IF(E36&gt;0, (F36-E36)/E36))</f>
        <v>-0.235964523914937</v>
      </c>
      <c r="G37" s="22" t="n">
        <f aca="false">IF(F36=0, "0", IF(F36&gt;0, (G36-F36)/F36))</f>
        <v>-0.0322074134998224</v>
      </c>
      <c r="H37" s="22" t="n">
        <f aca="false">IF(G36=0, "0", IF(G36&gt;0, (H36-G36)/G36))</f>
        <v>0.23847877312937</v>
      </c>
      <c r="I37" s="22" t="n">
        <f aca="false">IF(H36=0, "0", IF(H36&gt;0, (I36-H36)/H36))</f>
        <v>-0.0814865644640601</v>
      </c>
      <c r="J37" s="22" t="n">
        <f aca="false">IF(I36=0, "0", IF(I36&gt;0, (J36-I36)/I36))</f>
        <v>0.245670334148329</v>
      </c>
      <c r="K37" s="22" t="n">
        <f aca="false">IF(J36=0, "0", IF(J36&gt;0, (K36-J36)/J36))</f>
        <v>0.266993798132625</v>
      </c>
      <c r="L37" s="22" t="n">
        <f aca="false">IF(K36=0, "0", IF(K36&gt;0, (L36-K36)/K36))</f>
        <v>0.198917732617559</v>
      </c>
      <c r="M37" s="5"/>
      <c r="Y37" s="5"/>
      <c r="Z37" s="5"/>
      <c r="AA37" s="5"/>
      <c r="AB37" s="5"/>
      <c r="AC37" s="5"/>
      <c r="AD37" s="5"/>
      <c r="AE37" s="5"/>
      <c r="AF37" s="5"/>
      <c r="AG37" s="5"/>
    </row>
    <row r="38" customFormat="false" ht="16.65" hidden="false" customHeight="true" outlineLevel="0" collapsed="false">
      <c r="M38" s="5"/>
      <c r="Y38" s="5"/>
      <c r="Z38" s="5"/>
      <c r="AA38" s="5"/>
      <c r="AB38" s="5"/>
      <c r="AC38" s="5"/>
      <c r="AD38" s="5"/>
      <c r="AE38" s="5"/>
      <c r="AF38" s="5"/>
      <c r="AG38" s="5"/>
    </row>
    <row r="39" customFormat="false" ht="16.6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M39" s="5"/>
      <c r="Y39" s="5"/>
      <c r="Z39" s="5"/>
      <c r="AA39" s="5"/>
      <c r="AB39" s="5"/>
      <c r="AC39" s="5"/>
      <c r="AD39" s="5"/>
      <c r="AE39" s="5"/>
      <c r="AF39" s="5"/>
      <c r="AG39" s="5"/>
    </row>
    <row r="40" customFormat="false" ht="16.65" hidden="false" customHeight="true" outlineLevel="0" collapsed="false">
      <c r="A40" s="36" t="s">
        <v>52</v>
      </c>
      <c r="B40" s="36"/>
      <c r="C40" s="23" t="n">
        <v>2023</v>
      </c>
      <c r="D40" s="23" t="n">
        <v>2024</v>
      </c>
      <c r="E40" s="23" t="n">
        <v>2025</v>
      </c>
      <c r="F40" s="23" t="n">
        <v>2026</v>
      </c>
      <c r="G40" s="23" t="n">
        <v>2027</v>
      </c>
      <c r="H40" s="23" t="n">
        <v>2028</v>
      </c>
      <c r="I40" s="23" t="n">
        <v>2029</v>
      </c>
      <c r="J40" s="23" t="n">
        <v>2030</v>
      </c>
      <c r="K40" s="23" t="n">
        <v>2031</v>
      </c>
      <c r="L40" s="23" t="s">
        <v>55</v>
      </c>
      <c r="M40" s="23"/>
      <c r="Y40" s="5"/>
      <c r="Z40" s="5"/>
      <c r="AA40" s="5"/>
      <c r="AB40" s="5"/>
      <c r="AC40" s="5"/>
      <c r="AD40" s="5"/>
      <c r="AE40" s="5"/>
      <c r="AF40" s="5"/>
      <c r="AG40" s="5"/>
    </row>
    <row r="41" customFormat="false" ht="16.65" hidden="false" customHeight="true" outlineLevel="0" collapsed="false">
      <c r="A41" s="36" t="s">
        <v>56</v>
      </c>
      <c r="B41" s="36"/>
      <c r="C41" s="27" t="n">
        <f aca="false">IF(ISBLANK(G24), L36*(1 + G25), L36*(1 + G24))</f>
        <v>119244.01</v>
      </c>
      <c r="D41" s="27" t="n">
        <f aca="false">IF(ISBLANK(G24), C41*(1 + $G$25), C41*(1 + $G$24))</f>
        <v>127591.0907</v>
      </c>
      <c r="E41" s="27" t="n">
        <f aca="false">IF(ISBLANK(Q5), D41*(1 + $G$25), D41*(1 + $G$24))</f>
        <v>136522.467049</v>
      </c>
      <c r="F41" s="27" t="n">
        <f aca="false">IF(ISBLANK(R5), E41*(1 + $G$25), E41*(1 + $G$24))</f>
        <v>146079.03974243</v>
      </c>
      <c r="G41" s="27" t="n">
        <f aca="false">IF(ISBLANK(S5), F41*(1 + $G$25), F41*(1 + $G$24))</f>
        <v>156304.5725244</v>
      </c>
      <c r="H41" s="27" t="n">
        <f aca="false">IF(ISBLANK(T5), G41*(1 + $G$25), G41*(1 + $G$24))</f>
        <v>167245.892601108</v>
      </c>
      <c r="I41" s="27" t="n">
        <f aca="false">IF(ISBLANK(U5), H41*(1 + $G$25), H41*(1 + $G$24))</f>
        <v>178953.105083186</v>
      </c>
      <c r="J41" s="27" t="n">
        <f aca="false">IF(ISBLANK(V5), I41*(1 + $G$25), I41*(1 + $G$24))</f>
        <v>191479.822439009</v>
      </c>
      <c r="K41" s="27" t="n">
        <f aca="false">IF(ISBLANK(W5), J41*(1 + $G$25), J41*(1 + $G$24))</f>
        <v>204883.410009739</v>
      </c>
      <c r="L41" s="27" t="n">
        <f aca="false">K41*(1+K23)/(K24-K23)</f>
        <v>2415357.47122272</v>
      </c>
      <c r="M41" s="27"/>
      <c r="Y41" s="5"/>
      <c r="Z41" s="5"/>
      <c r="AA41" s="5"/>
      <c r="AB41" s="5"/>
      <c r="AC41" s="5"/>
      <c r="AD41" s="5"/>
      <c r="AE41" s="5"/>
      <c r="AF41" s="5"/>
      <c r="AG41" s="5"/>
    </row>
    <row r="42" customFormat="false" ht="16.65" hidden="false" customHeight="true" outlineLevel="0" collapsed="false">
      <c r="A42" s="36" t="s">
        <v>57</v>
      </c>
      <c r="B42" s="36"/>
      <c r="C42" s="27" t="n">
        <f aca="false">C41/(1+$K$24)^ROW(D1)</f>
        <v>107239.036598016</v>
      </c>
      <c r="D42" s="27" t="n">
        <f aca="false">D41/(1+$K$24)^ROW(D2)</f>
        <v>103193.659273983</v>
      </c>
      <c r="E42" s="27" t="n">
        <f aca="false">E41/(1+$K$24)^ROW(D3)</f>
        <v>99300.8856865468</v>
      </c>
      <c r="F42" s="27" t="n">
        <f aca="false">F41/(1+$K$24)^ROW(D4)</f>
        <v>95554.9591661651</v>
      </c>
      <c r="G42" s="27" t="n">
        <f aca="false">G41/(1+$K$24)^ROW(D5)</f>
        <v>91950.3402020967</v>
      </c>
      <c r="H42" s="27" t="n">
        <f aca="false">H41/(1+$K$24)^ROW(D6)</f>
        <v>88481.6982505193</v>
      </c>
      <c r="I42" s="27" t="n">
        <f aca="false">I41/(1+$K$24)^ROW(D7)</f>
        <v>85143.9038516731</v>
      </c>
      <c r="J42" s="27" t="n">
        <f aca="false">J41/(1+$K$24)^ROW(D8)</f>
        <v>81932.0210443679</v>
      </c>
      <c r="K42" s="27" t="n">
        <f aca="false">K41/(1+$K$24)^ROW(D9)</f>
        <v>78841.300066638</v>
      </c>
      <c r="L42" s="27" t="n">
        <f aca="false">L41/(1+$K$24)^ROW(C10)</f>
        <v>835881.531708855</v>
      </c>
      <c r="M42" s="27"/>
      <c r="Y42" s="5"/>
      <c r="Z42" s="5"/>
      <c r="AA42" s="5"/>
      <c r="AB42" s="5"/>
      <c r="AC42" s="5"/>
      <c r="AD42" s="5"/>
      <c r="AE42" s="5"/>
      <c r="AF42" s="5"/>
      <c r="AG42" s="5"/>
    </row>
    <row r="43" customFormat="false" ht="16.6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M43" s="5"/>
      <c r="N43" s="5"/>
      <c r="O43" s="5"/>
      <c r="P43" s="5"/>
      <c r="Q43" s="5"/>
      <c r="Y43" s="5"/>
      <c r="Z43" s="5"/>
      <c r="AA43" s="5"/>
      <c r="AB43" s="5"/>
      <c r="AC43" s="5"/>
      <c r="AD43" s="5"/>
      <c r="AE43" s="5"/>
      <c r="AF43" s="5"/>
      <c r="AG43" s="5"/>
    </row>
    <row r="44" customFormat="false" ht="16.65" hidden="false" customHeight="true" outlineLevel="0" collapsed="false">
      <c r="A44" s="5"/>
      <c r="B44" s="5"/>
      <c r="E44" s="5"/>
      <c r="F44" s="5"/>
      <c r="G44" s="5"/>
      <c r="H44" s="5"/>
      <c r="I44" s="5"/>
      <c r="M44" s="5"/>
      <c r="N44" s="5"/>
      <c r="O44" s="5"/>
      <c r="P44" s="5"/>
      <c r="Q44" s="5"/>
      <c r="Y44" s="5"/>
    </row>
    <row r="45" customFormat="false" ht="16.65" hidden="false" customHeight="true" outlineLevel="0" collapsed="false">
      <c r="A45" s="5"/>
      <c r="I45" s="5"/>
      <c r="M45" s="5"/>
      <c r="Q45" s="5"/>
      <c r="Y45" s="5"/>
    </row>
    <row r="46" customFormat="false" ht="16.65" hidden="false" customHeight="true" outlineLevel="0" collapsed="false">
      <c r="A46" s="5"/>
      <c r="I46" s="5"/>
      <c r="M46" s="5"/>
      <c r="N46" s="5"/>
      <c r="O46" s="5"/>
      <c r="P46" s="5"/>
      <c r="Q46" s="5"/>
      <c r="Y46" s="5"/>
    </row>
    <row r="47" customFormat="false" ht="16.65" hidden="false" customHeight="true" outlineLevel="0" collapsed="false">
      <c r="A47" s="5"/>
      <c r="I47" s="5"/>
      <c r="M47" s="5"/>
      <c r="N47" s="5"/>
      <c r="O47" s="5"/>
      <c r="P47" s="5"/>
      <c r="Q47" s="5"/>
      <c r="X47" s="5"/>
      <c r="Y47" s="5"/>
    </row>
    <row r="48" customFormat="false" ht="16.65" hidden="false" customHeight="true" outlineLevel="0" collapsed="false">
      <c r="A48" s="5"/>
      <c r="I48" s="5"/>
      <c r="M48" s="5"/>
      <c r="N48" s="5"/>
      <c r="O48" s="5"/>
      <c r="P48" s="5"/>
      <c r="Q48" s="5"/>
      <c r="X48" s="5"/>
      <c r="Y48" s="5"/>
    </row>
    <row r="49" customFormat="false" ht="16.6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X49" s="5"/>
      <c r="Y49" s="5"/>
    </row>
    <row r="50" customFormat="false" ht="16.65" hidden="false" customHeight="true" outlineLevel="0" collapsed="false">
      <c r="A50" s="5"/>
      <c r="B50" s="5"/>
      <c r="C50" s="5"/>
      <c r="D50" s="5"/>
      <c r="E50" s="5"/>
      <c r="F50" s="5"/>
      <c r="J50" s="24"/>
      <c r="K50" s="5"/>
      <c r="L50" s="5"/>
      <c r="M50" s="5"/>
      <c r="N50" s="5"/>
      <c r="X50" s="5"/>
      <c r="Y50" s="5"/>
    </row>
    <row r="51" customFormat="false" ht="16.6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X51" s="5"/>
      <c r="Y51" s="5"/>
    </row>
    <row r="52" customFormat="false" ht="16.6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X52" s="5"/>
      <c r="Y52" s="5"/>
    </row>
    <row r="53" customFormat="false" ht="16.6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X53" s="5"/>
      <c r="Y53" s="5"/>
    </row>
    <row r="54" customFormat="false" ht="16.6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X54" s="5"/>
      <c r="Y54" s="5"/>
    </row>
    <row r="55" customFormat="false" ht="16.6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X55" s="5"/>
      <c r="Y55" s="5"/>
    </row>
    <row r="56" customFormat="false" ht="16.6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X56" s="5"/>
      <c r="Y56" s="5"/>
    </row>
    <row r="57" customFormat="false" ht="16.6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X57" s="5"/>
      <c r="Y57" s="5"/>
    </row>
    <row r="58" customFormat="false" ht="16.65" hidden="false" customHeight="true" outlineLevel="0" collapsed="false">
      <c r="A58" s="5"/>
      <c r="B58" s="5"/>
      <c r="C58" s="5"/>
      <c r="D58" s="5"/>
      <c r="E58" s="5"/>
      <c r="I58" s="5"/>
      <c r="J58" s="5"/>
      <c r="K58" s="5"/>
      <c r="L58" s="5"/>
      <c r="M58" s="5"/>
      <c r="N58" s="5"/>
      <c r="O58" s="5"/>
      <c r="P58" s="5"/>
      <c r="Q58" s="5"/>
      <c r="X58" s="5"/>
      <c r="Y58" s="5"/>
    </row>
    <row r="59" customFormat="false" ht="16.65" hidden="false" customHeight="true" outlineLevel="0" collapsed="false">
      <c r="A59" s="5"/>
      <c r="B59" s="5"/>
      <c r="C59" s="5"/>
      <c r="D59" s="5"/>
      <c r="E59" s="5"/>
      <c r="I59" s="5"/>
      <c r="J59" s="5"/>
      <c r="K59" s="5"/>
      <c r="L59" s="5"/>
      <c r="M59" s="5"/>
      <c r="N59" s="5"/>
      <c r="O59" s="5"/>
      <c r="P59" s="5"/>
      <c r="Q59" s="5"/>
      <c r="X59" s="5"/>
      <c r="Y59" s="5"/>
    </row>
    <row r="60" customFormat="false" ht="16.65" hidden="false" customHeight="true" outlineLevel="0" collapsed="false">
      <c r="A60" s="5"/>
      <c r="B60" s="5"/>
      <c r="C60" s="5"/>
      <c r="D60" s="5"/>
      <c r="E60" s="5"/>
      <c r="F60" s="5"/>
      <c r="X60" s="5"/>
      <c r="Y60" s="5"/>
    </row>
    <row r="61" customFormat="false" ht="16.6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6.6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6.6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6.6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6.6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6.6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6.6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6.6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6.6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6.6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6.6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6.6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6.6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6.6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6.6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6.6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6.6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6.6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6.6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6.6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6.6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6.6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6.6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6.6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6.6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6.6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6.6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6.6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6.6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6.6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6.6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6.6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6.6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6.6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6.6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6.6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6.6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6.6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6.6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6.6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6.6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6.6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6.6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6.6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6.6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6.6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6.6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6.6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6.6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6.6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6.6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6.6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6.6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6.6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6.6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6.6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6.6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6.6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6.6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6.6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6.6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6.6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6.6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6.6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6.6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6.6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6.6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6.6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6.6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6.6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6.6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6.6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6.6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6.6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6.6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6.6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6.6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6.6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6.6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6.6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6.6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6.6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6.6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6.6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6.6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6.6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6.6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6.6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</sheetData>
  <mergeCells count="57">
    <mergeCell ref="A1:R3"/>
    <mergeCell ref="A6:C7"/>
    <mergeCell ref="D6:D7"/>
    <mergeCell ref="E6:K7"/>
    <mergeCell ref="A10:C10"/>
    <mergeCell ref="E10:G10"/>
    <mergeCell ref="I10:K10"/>
    <mergeCell ref="A11:B11"/>
    <mergeCell ref="E11:F11"/>
    <mergeCell ref="I11:J11"/>
    <mergeCell ref="M11:O11"/>
    <mergeCell ref="A12:B12"/>
    <mergeCell ref="E12:F12"/>
    <mergeCell ref="I12:J12"/>
    <mergeCell ref="A13:B13"/>
    <mergeCell ref="E13:F13"/>
    <mergeCell ref="I13:J13"/>
    <mergeCell ref="A14:B14"/>
    <mergeCell ref="E14:F14"/>
    <mergeCell ref="I14:J14"/>
    <mergeCell ref="A15:B15"/>
    <mergeCell ref="E15:F15"/>
    <mergeCell ref="A16:B16"/>
    <mergeCell ref="E16:F16"/>
    <mergeCell ref="M16:O17"/>
    <mergeCell ref="E17:F17"/>
    <mergeCell ref="I17:K17"/>
    <mergeCell ref="I18:J18"/>
    <mergeCell ref="M18:O22"/>
    <mergeCell ref="A19:C19"/>
    <mergeCell ref="I19:J19"/>
    <mergeCell ref="A20:B20"/>
    <mergeCell ref="E20:G20"/>
    <mergeCell ref="I20:J20"/>
    <mergeCell ref="A21:B21"/>
    <mergeCell ref="E21:F21"/>
    <mergeCell ref="A22:B22"/>
    <mergeCell ref="I23:J23"/>
    <mergeCell ref="E24:F24"/>
    <mergeCell ref="I24:J24"/>
    <mergeCell ref="A25:C25"/>
    <mergeCell ref="E25:F25"/>
    <mergeCell ref="I25:J25"/>
    <mergeCell ref="E26:F26"/>
    <mergeCell ref="M26:N26"/>
    <mergeCell ref="M27:N27"/>
    <mergeCell ref="I28:J28"/>
    <mergeCell ref="A31:M32"/>
    <mergeCell ref="A35:B35"/>
    <mergeCell ref="A36:B36"/>
    <mergeCell ref="A37:B37"/>
    <mergeCell ref="A40:B40"/>
    <mergeCell ref="L40:M40"/>
    <mergeCell ref="A41:B41"/>
    <mergeCell ref="L41:M41"/>
    <mergeCell ref="A42:B42"/>
    <mergeCell ref="L42:M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969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2023-09-24T17:28:37Z</dcterms:created>
  <dc:creator/>
  <dc:description/>
  <dc:language>cs-CZ</dc:language>
  <cp:lastModifiedBy/>
  <dcterms:modified xsi:type="dcterms:W3CDTF">2023-10-28T17:54:23Z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