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<sst xmlns="http://schemas.openxmlformats.org/spreadsheetml/2006/main" count="45" uniqueCount="39">
  <si>
    <t xml:space="preserve">Discounted Cash Flow Analysis Model</t>
  </si>
  <si>
    <t xml:space="preserve">AAPL</t>
  </si>
  <si>
    <t xml:space="preserve">Year</t>
  </si>
  <si>
    <t xml:space="preserve">User-GrowthRate:</t>
  </si>
  <si>
    <t xml:space="preserve">Free Cash flow</t>
  </si>
  <si>
    <t xml:space="preserve">Growth Rate:</t>
  </si>
  <si>
    <t xml:space="preserve">Growth</t>
  </si>
  <si>
    <t xml:space="preserve">Average Growth Rate:</t>
  </si>
  <si>
    <t xml:space="preserve">Terminal Value</t>
  </si>
  <si>
    <t xml:space="preserve">Perpertual Growth Rate:</t>
  </si>
  <si>
    <t xml:space="preserve">Future Free Cash Flows</t>
  </si>
  <si>
    <t xml:space="preserve">Discount Rate (WACC)</t>
  </si>
  <si>
    <t xml:space="preserve">PV of FFCF</t>
  </si>
  <si>
    <t xml:space="preserve">User-Discount Rate:</t>
  </si>
  <si>
    <t xml:space="preserve">Sum Of FCF</t>
  </si>
  <si>
    <t xml:space="preserve">EPS</t>
  </si>
  <si>
    <t xml:space="preserve">Cost Of Equity</t>
  </si>
  <si>
    <t xml:space="preserve">Cost Of Debt</t>
  </si>
  <si>
    <t xml:space="preserve">Cash &amp; Cash Equivalents</t>
  </si>
  <si>
    <t xml:space="preserve">Growth Stage</t>
  </si>
  <si>
    <t xml:space="preserve">Years</t>
  </si>
  <si>
    <t xml:space="preserve">Risk Free Rate</t>
  </si>
  <si>
    <t xml:space="preserve">Interest Expense</t>
  </si>
  <si>
    <t xml:space="preserve">Total Debt</t>
  </si>
  <si>
    <t xml:space="preserve">Terminal Stage</t>
  </si>
  <si>
    <t xml:space="preserve">Beta</t>
  </si>
  <si>
    <t xml:space="preserve">Equity Value</t>
  </si>
  <si>
    <t xml:space="preserve">Market Return</t>
  </si>
  <si>
    <t xml:space="preserve">Shares Outstanding</t>
  </si>
  <si>
    <t xml:space="preserve">ERP</t>
  </si>
  <si>
    <t xml:space="preserve">Income Tax Expense</t>
  </si>
  <si>
    <t xml:space="preserve">DCF Price per Share:</t>
  </si>
  <si>
    <t xml:space="preserve">Income Before Tax</t>
  </si>
  <si>
    <t xml:space="preserve">Effective Tax Rate</t>
  </si>
  <si>
    <t xml:space="preserve">Weight Of Debt And Equity</t>
  </si>
  <si>
    <t xml:space="preserve">Cost Of Debt After Tax</t>
  </si>
  <si>
    <t xml:space="preserve">Market Cap</t>
  </si>
  <si>
    <t xml:space="preserve">WACC</t>
  </si>
  <si>
    <t xml:space="preserve">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</si>
</sst>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\ %"/>
    <numFmt numFmtId="166" formatCode="[$-409]0.00%"/>
    <numFmt numFmtId="167" formatCode="[$$-409]#,##0;[RED]\-[$$-409]#,##0"/>
    <numFmt numFmtId="168" formatCode="[$$-409]#\ ##0;[RED]\-[$$-409]#\ ##0"/>
    <numFmt numFmtId="169" formatCode="[$-409]General"/>
    <numFmt numFmtId="170" formatCode="[$$-409]#,##0.00;[RED]\-[$$-409]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36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20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BF819E"/>
        <bgColor rgb="FFBE618C"/>
      </patternFill>
    </fill>
    <fill>
      <patternFill patternType="solid">
        <fgColor rgb="FFBE618C"/>
        <bgColor rgb="FFBF819E"/>
      </patternFill>
    </fill>
    <fill>
      <patternFill patternType="solid">
        <fgColor rgb="FF9FC5E8"/>
        <bgColor rgb="FFC0C0C0"/>
      </patternFill>
    </fill>
    <fill>
      <patternFill patternType="solid">
        <fgColor rgb="FFCFE2F3"/>
        <bgColor rgb="FFCCFFFF"/>
      </patternFill>
    </fill>
    <fill>
      <patternFill patternType="solid">
        <fgColor rgb="FFFFB66C"/>
        <bgColor rgb="FFFBBC04"/>
      </patternFill>
    </fill>
    <fill>
      <patternFill patternType="solid">
        <fgColor rgb="FFFBBC04"/>
        <bgColor rgb="FFFF9900"/>
      </patternFill>
    </fill>
    <fill>
      <patternFill patternType="solid">
        <fgColor rgb="FFCBFFD5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6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9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BE618C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BFFD5"/>
      <rgbColor rgb="FFFFFF99"/>
      <rgbColor rgb="FF9FC5E8"/>
      <rgbColor rgb="FFFF99CC"/>
      <rgbColor rgb="FFCC99FF"/>
      <rgbColor rgb="FFFFB66C"/>
      <rgbColor rgb="FF3366FF"/>
      <rgbColor rgb="FF33CCCC"/>
      <rgbColor rgb="FF99CC00"/>
      <rgbColor rgb="FFFBBC04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98"/>
    <col collapsed="false" customWidth="true" hidden="false" outlineLevel="0" max="13" min="2" style="1" width="14.87"/>
    <col collapsed="false" customWidth="false" hidden="false" outlineLevel="0" max="14" min="14" style="1" width="11.53"/>
    <col collapsed="false" customWidth="true" hidden="false" outlineLevel="0" max="15" min="15" style="1" width="12.51"/>
    <col collapsed="false" customWidth="false" hidden="false" outlineLevel="0" max="16384" min="16" style="1" width="11.53"/>
  </cols>
  <sheetData>
    <row r="1" customFormat="false" ht="17" hidden="false" customHeight="true" outlineLevel="0" collapsed="false">
      <c r="A1" s="2"/>
      <c r="B1" s="2"/>
      <c r="C1" s="2"/>
      <c r="D1" s="3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customFormat="false" ht="17" hidden="false" customHeight="true" outlineLevel="0" collapsed="false">
      <c r="A2" s="4" t="s">
        <v>1</v>
      </c>
      <c r="B2" s="4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7" hidden="false" customHeight="true" outlineLevel="0" collapsed="false">
      <c r="A3" s="4"/>
      <c r="B3" s="4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customFormat="false" ht="17" hidden="false" customHeight="true" outlineLevel="0" collapsed="false"/>
    <row r="5" customFormat="false" ht="17" hidden="false" customHeight="true" outlineLevel="0" collapsed="false">
      <c r="A5" s="5" t="s">
        <v>2</v>
      </c>
      <c r="B5" s="6" t="n">
        <v>2013</v>
      </c>
      <c r="C5" s="6" t="n">
        <v>2014</v>
      </c>
      <c r="D5" s="6" t="n">
        <v>2015</v>
      </c>
      <c r="E5" s="6" t="n">
        <v>2016</v>
      </c>
      <c r="F5" s="6" t="n">
        <v>2017</v>
      </c>
      <c r="G5" s="6" t="n">
        <v>2018</v>
      </c>
      <c r="H5" s="6" t="n">
        <v>2019</v>
      </c>
      <c r="I5" s="6" t="n">
        <v>2020</v>
      </c>
      <c r="J5" s="6" t="n">
        <v>2021</v>
      </c>
      <c r="K5" s="6" t="n">
        <v>2022</v>
      </c>
      <c r="L5" s="7"/>
      <c r="M5" s="8"/>
      <c r="N5" s="5" t="s">
        <v>3</v>
      </c>
      <c r="O5" s="5"/>
      <c r="P5" s="9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customFormat="false" ht="17" hidden="false" customHeight="true" outlineLevel="0" collapsed="false">
      <c r="A6" s="5" t="s">
        <v>4</v>
      </c>
      <c r="B6" s="11" t="n">
        <v>45501</v>
      </c>
      <c r="C6" s="11" t="n">
        <v>50142</v>
      </c>
      <c r="D6" s="11" t="n">
        <v>70019</v>
      </c>
      <c r="E6" s="11" t="n">
        <v>53497</v>
      </c>
      <c r="F6" s="11" t="n">
        <v>51774</v>
      </c>
      <c r="G6" s="11" t="n">
        <v>64121</v>
      </c>
      <c r="H6" s="11" t="n">
        <v>58896</v>
      </c>
      <c r="I6" s="11" t="n">
        <v>73365</v>
      </c>
      <c r="J6" s="11" t="n">
        <v>92953</v>
      </c>
      <c r="K6" s="11" t="n">
        <v>111443</v>
      </c>
      <c r="L6" s="12"/>
      <c r="M6" s="12"/>
      <c r="N6" s="5" t="s">
        <v>5</v>
      </c>
      <c r="O6" s="5"/>
      <c r="P6" s="13" t="n">
        <v>0.07</v>
      </c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customFormat="false" ht="17" hidden="false" customHeight="true" outlineLevel="0" collapsed="false">
      <c r="A7" s="5" t="s">
        <v>6</v>
      </c>
      <c r="B7" s="14"/>
      <c r="C7" s="13" t="n">
        <f aca="false">IF(B6=0, "0", IF(B6&gt;0, (C6-B6)/B6))</f>
        <v>0.101997758291027</v>
      </c>
      <c r="D7" s="13" t="n">
        <f aca="false">IF(C6=0, "0", IF(C6&gt;0, (D6-C6)/C6))</f>
        <v>0.39641418371824</v>
      </c>
      <c r="E7" s="13" t="n">
        <f aca="false">IF(D6=0, "0", IF(D6&gt;0, (E6-D6)/D6))</f>
        <v>-0.235964523914937</v>
      </c>
      <c r="F7" s="13" t="n">
        <f aca="false">IF(E6=0, "0", IF(E6&gt;0, (F6-E6)/E6))</f>
        <v>-0.0322074134998224</v>
      </c>
      <c r="G7" s="13" t="n">
        <f aca="false">IF(F6=0, "0", IF(F6&gt;0, (G6-F6)/F6))</f>
        <v>0.23847877312937</v>
      </c>
      <c r="H7" s="13" t="n">
        <f aca="false">IF(G6=0, "0", IF(G6&gt;0, (H6-G6)/G6))</f>
        <v>-0.0814865644640601</v>
      </c>
      <c r="I7" s="13" t="n">
        <f aca="false">IF(H6=0, "0", IF(H6&gt;0, (I6-H6)/H6))</f>
        <v>0.245670334148329</v>
      </c>
      <c r="J7" s="13" t="n">
        <f aca="false">IF(I6=0, "0", IF(I6&gt;0, (J6-I6)/I6))</f>
        <v>0.266993798132625</v>
      </c>
      <c r="K7" s="13" t="n">
        <f aca="false">IF(J6=0, "0", IF(J6&gt;0, (K6-J6)/J6))</f>
        <v>0.198917732617559</v>
      </c>
      <c r="L7" s="15"/>
      <c r="M7" s="15"/>
      <c r="N7" s="5" t="s">
        <v>7</v>
      </c>
      <c r="O7" s="5"/>
      <c r="P7" s="13" t="n">
        <f aca="false">AVERAGE(B7:K7)</f>
        <v>0.122090453128703</v>
      </c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customFormat="false" ht="17" hidden="false" customHeight="true" outlineLevel="0" collapsed="false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customFormat="false" ht="17" hidden="false" customHeight="true" outlineLevel="0" collapsed="false">
      <c r="A9" s="5" t="s">
        <v>2</v>
      </c>
      <c r="B9" s="6" t="n">
        <v>2023</v>
      </c>
      <c r="C9" s="6" t="n">
        <v>2024</v>
      </c>
      <c r="D9" s="6" t="n">
        <v>2025</v>
      </c>
      <c r="E9" s="6" t="n">
        <v>2026</v>
      </c>
      <c r="F9" s="6" t="n">
        <v>2027</v>
      </c>
      <c r="G9" s="6" t="n">
        <v>2028</v>
      </c>
      <c r="H9" s="6" t="n">
        <v>2029</v>
      </c>
      <c r="I9" s="6" t="n">
        <v>2030</v>
      </c>
      <c r="J9" s="6" t="n">
        <v>2031</v>
      </c>
      <c r="K9" s="6" t="s">
        <v>8</v>
      </c>
      <c r="L9" s="6"/>
      <c r="M9" s="7"/>
      <c r="N9" s="5" t="s">
        <v>9</v>
      </c>
      <c r="O9" s="5"/>
      <c r="P9" s="9" t="n">
        <v>0.025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customFormat="false" ht="17" hidden="false" customHeight="true" outlineLevel="0" collapsed="false">
      <c r="A10" s="5" t="s">
        <v>10</v>
      </c>
      <c r="B10" s="11" t="n">
        <f aca="false">IF(ISBLANK(P5), K6*(1 + P6), K6*(1 + P5))</f>
        <v>119244.01</v>
      </c>
      <c r="C10" s="11" t="n">
        <f aca="false">IF(ISBLANK(P5), B10*(1 + $P$6), B10*(1 + $P$5))</f>
        <v>127591.0907</v>
      </c>
      <c r="D10" s="11" t="n">
        <f aca="false">IF(ISBLANK(Q5), C10*(1 + $P$6), C10*(1 + $P$5))</f>
        <v>136522.467049</v>
      </c>
      <c r="E10" s="11" t="n">
        <f aca="false">IF(ISBLANK(R5), D10*(1 + $P$6), D10*(1 + $P$5))</f>
        <v>146079.03974243</v>
      </c>
      <c r="F10" s="11" t="n">
        <f aca="false">IF(ISBLANK(S5), E10*(1 + $P$6), E10*(1 + $P$5))</f>
        <v>156304.5725244</v>
      </c>
      <c r="G10" s="11" t="n">
        <f aca="false">IF(ISBLANK(T5), F10*(1 + $P$6), F10*(1 + $P$5))</f>
        <v>167245.892601108</v>
      </c>
      <c r="H10" s="11" t="n">
        <f aca="false">IF(ISBLANK(U5), G10*(1 + $P$6), G10*(1 + $P$5))</f>
        <v>178953.105083186</v>
      </c>
      <c r="I10" s="11" t="n">
        <f aca="false">IF(ISBLANK(V5), H10*(1 + $P$6), H10*(1 + $P$5))</f>
        <v>191479.822439009</v>
      </c>
      <c r="J10" s="11" t="n">
        <f aca="false">IF(ISBLANK(W5), I10*(1 + $P$6), I10*(1 + $P$5))</f>
        <v>204883.410009739</v>
      </c>
      <c r="K10" s="11" t="n">
        <f aca="false">J10*(1+P9)/(P10-P9)</f>
        <v>1990372.12780061</v>
      </c>
      <c r="L10" s="11"/>
      <c r="M10" s="10"/>
      <c r="N10" s="5" t="s">
        <v>11</v>
      </c>
      <c r="O10" s="5"/>
      <c r="P10" s="13" t="n">
        <f aca="false">IF(ISBLANK(P11),O22,P11)</f>
        <v>0.130510669249595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customFormat="false" ht="17" hidden="false" customHeight="true" outlineLevel="0" collapsed="false">
      <c r="A11" s="5" t="s">
        <v>12</v>
      </c>
      <c r="B11" s="11" t="n">
        <f aca="false">B10/(1+$P$10)^ROW(D1)</f>
        <v>105478.00497907</v>
      </c>
      <c r="C11" s="11" t="n">
        <f aca="false">C10/(1+$P$10)^ROW(D2)</f>
        <v>99832.2867687034</v>
      </c>
      <c r="D11" s="11" t="n">
        <f aca="false">D10/(1+$P$10)^ROW(D3)</f>
        <v>94488.7560534192</v>
      </c>
      <c r="E11" s="11" t="n">
        <f aca="false">E10/(1+$P$10)^ROW(D4)</f>
        <v>89431.2382246407</v>
      </c>
      <c r="F11" s="11" t="n">
        <f aca="false">F10/(1+$P$10)^ROW(D5)</f>
        <v>84644.4244209417</v>
      </c>
      <c r="G11" s="11" t="n">
        <f aca="false">G10/(1+$P$10)^ROW(D6)</f>
        <v>80113.8251888639</v>
      </c>
      <c r="H11" s="11" t="n">
        <f aca="false">H10/(1+$P$10)^ROW(D7)</f>
        <v>75825.7266240438</v>
      </c>
      <c r="I11" s="11" t="n">
        <f aca="false">I10/(1+$P$10)^ROW(D8)</f>
        <v>71767.1488598876</v>
      </c>
      <c r="J11" s="11" t="n">
        <f aca="false">J10/(1+$P$10)^ROW(D9)</f>
        <v>67925.8067781451</v>
      </c>
      <c r="K11" s="11" t="n">
        <f aca="false">K10/(1+$P$10)^ROW(D10)</f>
        <v>583697.223713068</v>
      </c>
      <c r="L11" s="11"/>
      <c r="M11" s="10"/>
      <c r="N11" s="5" t="s">
        <v>13</v>
      </c>
      <c r="O11" s="5"/>
      <c r="P11" s="9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customFormat="false" ht="17" hidden="false" customHeight="true" outlineLevel="0" collapsed="false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customFormat="false" ht="17" hidden="false" customHeight="true" outlineLevel="0" collapsed="false">
      <c r="A13" s="5" t="s">
        <v>14</v>
      </c>
      <c r="B13" s="11" t="n">
        <f aca="false">SUM(B11:K11)</f>
        <v>1353204.44161078</v>
      </c>
      <c r="C13" s="10"/>
      <c r="D13" s="16" t="s">
        <v>15</v>
      </c>
      <c r="E13" s="16"/>
      <c r="F13" s="17"/>
      <c r="H13" s="18"/>
      <c r="I13" s="6" t="s">
        <v>16</v>
      </c>
      <c r="J13" s="6"/>
      <c r="K13" s="6"/>
      <c r="M13" s="6" t="s">
        <v>17</v>
      </c>
      <c r="N13" s="6"/>
      <c r="O13" s="6"/>
      <c r="P13" s="6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customFormat="false" ht="17" hidden="false" customHeight="true" outlineLevel="0" collapsed="false">
      <c r="A14" s="5" t="s">
        <v>18</v>
      </c>
      <c r="B14" s="19" t="n">
        <v>48304</v>
      </c>
      <c r="C14" s="10"/>
      <c r="D14" s="16" t="s">
        <v>19</v>
      </c>
      <c r="E14" s="16"/>
      <c r="F14" s="20" t="n">
        <v>10</v>
      </c>
      <c r="G14" s="21" t="s">
        <v>20</v>
      </c>
      <c r="H14" s="10"/>
      <c r="I14" s="5" t="s">
        <v>21</v>
      </c>
      <c r="J14" s="5"/>
      <c r="K14" s="9" t="n">
        <v>0.048</v>
      </c>
      <c r="M14" s="5" t="s">
        <v>22</v>
      </c>
      <c r="N14" s="5"/>
      <c r="O14" s="19" t="n">
        <v>2931</v>
      </c>
      <c r="P14" s="19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customFormat="false" ht="17" hidden="false" customHeight="true" outlineLevel="0" collapsed="false">
      <c r="A15" s="5" t="s">
        <v>23</v>
      </c>
      <c r="B15" s="19" t="n">
        <v>120069</v>
      </c>
      <c r="C15" s="10"/>
      <c r="D15" s="16" t="s">
        <v>24</v>
      </c>
      <c r="E15" s="16"/>
      <c r="F15" s="20" t="n">
        <v>10</v>
      </c>
      <c r="G15" s="21" t="s">
        <v>20</v>
      </c>
      <c r="H15" s="10"/>
      <c r="I15" s="5" t="s">
        <v>25</v>
      </c>
      <c r="J15" s="5"/>
      <c r="K15" s="22" t="n">
        <v>1.27</v>
      </c>
      <c r="M15" s="5" t="s">
        <v>23</v>
      </c>
      <c r="N15" s="5"/>
      <c r="O15" s="23" t="n">
        <f aca="false">B15</f>
        <v>120069</v>
      </c>
      <c r="P15" s="23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customFormat="false" ht="17" hidden="false" customHeight="true" outlineLevel="0" collapsed="false">
      <c r="A16" s="5" t="s">
        <v>26</v>
      </c>
      <c r="B16" s="11" t="n">
        <f aca="false">B13+B14-B15</f>
        <v>1281439.44161078</v>
      </c>
      <c r="C16" s="10"/>
      <c r="G16" s="10"/>
      <c r="H16" s="10"/>
      <c r="I16" s="5" t="s">
        <v>27</v>
      </c>
      <c r="J16" s="5"/>
      <c r="K16" s="9" t="n">
        <v>0.1168</v>
      </c>
      <c r="L16" s="24"/>
      <c r="M16" s="5" t="s">
        <v>17</v>
      </c>
      <c r="N16" s="5"/>
      <c r="O16" s="13" t="n">
        <f aca="false">O14/O15</f>
        <v>0.0244109636958749</v>
      </c>
      <c r="P16" s="13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customFormat="false" ht="17" hidden="false" customHeight="true" outlineLevel="0" collapsed="false">
      <c r="A17" s="25" t="s">
        <v>28</v>
      </c>
      <c r="B17" s="26" t="n">
        <v>15630</v>
      </c>
      <c r="C17" s="10"/>
      <c r="G17" s="10"/>
      <c r="H17" s="10"/>
      <c r="I17" s="5" t="s">
        <v>29</v>
      </c>
      <c r="J17" s="5"/>
      <c r="K17" s="13" t="n">
        <f aca="false">K16-K14</f>
        <v>0.0688</v>
      </c>
      <c r="L17" s="24"/>
      <c r="M17" s="5" t="s">
        <v>30</v>
      </c>
      <c r="N17" s="5"/>
      <c r="O17" s="19" t="n">
        <v>19300</v>
      </c>
      <c r="P17" s="19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customFormat="false" ht="17" hidden="false" customHeight="true" outlineLevel="0" collapsed="false">
      <c r="A18" s="27" t="s">
        <v>31</v>
      </c>
      <c r="B18" s="27"/>
      <c r="C18" s="10"/>
      <c r="G18" s="10"/>
      <c r="H18" s="10"/>
      <c r="I18" s="5" t="s">
        <v>16</v>
      </c>
      <c r="J18" s="5"/>
      <c r="K18" s="13" t="n">
        <f aca="false">K14+K15* K17</f>
        <v>0.135376</v>
      </c>
      <c r="M18" s="5" t="s">
        <v>32</v>
      </c>
      <c r="N18" s="5"/>
      <c r="O18" s="19" t="n">
        <v>119103</v>
      </c>
      <c r="P18" s="19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customFormat="false" ht="17" hidden="false" customHeight="true" outlineLevel="0" collapsed="false">
      <c r="A19" s="28" t="n">
        <f aca="false">IF(ISBLANK(P5), F13*(1+P6)^(F14-1)*(1-(1+P6)^F14/(1+P10)^F14)/(P10-P6)+F13*(1+P6)^F15*(1+P9)*(1-(1+P9)^F14/(1+P10)^F14)/(P10-P9), F13*(1+P5)^(F14-1)*(1-(1+P5)^F14/(1+P10)^F14)/(P10-P5)+F13*(1+P5)^F15*(1+P9)*(1-(1+P9)^F14/(1+P10)^F14)/(P10-P9))</f>
        <v>0</v>
      </c>
      <c r="B19" s="28"/>
      <c r="C19" s="10"/>
      <c r="D19" s="10"/>
      <c r="E19" s="10"/>
      <c r="F19" s="10"/>
      <c r="G19" s="10"/>
      <c r="H19" s="10"/>
      <c r="M19" s="5" t="s">
        <v>33</v>
      </c>
      <c r="N19" s="5"/>
      <c r="O19" s="13" t="n">
        <f aca="false">O17/O18</f>
        <v>0.162044616844244</v>
      </c>
      <c r="P19" s="13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customFormat="false" ht="17" hidden="false" customHeight="true" outlineLevel="0" collapsed="false">
      <c r="A20" s="28"/>
      <c r="B20" s="28"/>
      <c r="C20" s="10"/>
      <c r="D20" s="10"/>
      <c r="E20" s="10"/>
      <c r="F20" s="10"/>
      <c r="G20" s="10"/>
      <c r="H20" s="10"/>
      <c r="I20" s="6" t="s">
        <v>34</v>
      </c>
      <c r="J20" s="6"/>
      <c r="K20" s="6"/>
      <c r="M20" s="5" t="s">
        <v>35</v>
      </c>
      <c r="N20" s="5"/>
      <c r="O20" s="13" t="n">
        <f aca="false">O16 * (1 - O19)</f>
        <v>0.0204552984369781</v>
      </c>
      <c r="P20" s="13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customFormat="false" ht="17" hidden="false" customHeight="true" outlineLevel="0" collapsed="false">
      <c r="A21" s="10"/>
      <c r="B21" s="10"/>
      <c r="C21" s="10"/>
      <c r="D21" s="10"/>
      <c r="E21" s="10"/>
      <c r="F21" s="10"/>
      <c r="G21" s="10"/>
      <c r="H21" s="10"/>
      <c r="I21" s="5" t="s">
        <v>23</v>
      </c>
      <c r="J21" s="23" t="n">
        <f aca="false">B15</f>
        <v>120069</v>
      </c>
      <c r="K21" s="13" t="n">
        <f aca="false">J21/(J21 + J22)</f>
        <v>0.0423364170617852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customFormat="false" ht="17" hidden="false" customHeight="true" outlineLevel="0" collapsed="false">
      <c r="A22" s="10"/>
      <c r="B22" s="10"/>
      <c r="C22" s="10"/>
      <c r="D22" s="10"/>
      <c r="E22" s="10"/>
      <c r="F22" s="10"/>
      <c r="G22" s="10"/>
      <c r="H22" s="10"/>
      <c r="I22" s="5" t="s">
        <v>36</v>
      </c>
      <c r="J22" s="29" t="n">
        <v>2716000</v>
      </c>
      <c r="K22" s="13" t="n">
        <f aca="false">J22/(J21 + J22)</f>
        <v>0.957663582938215</v>
      </c>
      <c r="M22" s="5" t="s">
        <v>37</v>
      </c>
      <c r="N22" s="5"/>
      <c r="O22" s="30" t="n">
        <f aca="false">K18 * K22 + O20 * K21</f>
        <v>0.130510669249595</v>
      </c>
      <c r="P22" s="3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customFormat="false" ht="17" hidden="false" customHeight="true" outlineLevel="0" collapsed="false">
      <c r="A23" s="10"/>
      <c r="B23" s="10"/>
      <c r="C23" s="10"/>
      <c r="D23" s="10"/>
      <c r="E23" s="10"/>
      <c r="F23" s="10"/>
      <c r="G23" s="10"/>
      <c r="H23" s="10"/>
      <c r="I23" s="5" t="s">
        <v>38</v>
      </c>
      <c r="J23" s="23" t="n">
        <f aca="false">J21+J22</f>
        <v>2836069</v>
      </c>
      <c r="K23" s="3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customFormat="false" ht="17" hidden="false" customHeight="true" outlineLevel="0" collapsed="false">
      <c r="A24" s="10"/>
      <c r="B24" s="10"/>
      <c r="C24" s="10"/>
      <c r="D24" s="10"/>
      <c r="E24" s="10"/>
      <c r="F24" s="10"/>
      <c r="G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customFormat="false" ht="17" hidden="false" customHeight="true" outlineLevel="0" collapsed="false">
      <c r="A25" s="10"/>
      <c r="B25" s="10"/>
      <c r="C25" s="10"/>
      <c r="D25" s="10"/>
      <c r="E25" s="10"/>
      <c r="F25" s="10"/>
      <c r="G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customFormat="false" ht="17" hidden="false" customHeight="true" outlineLevel="0" collapsed="false">
      <c r="A26" s="10"/>
      <c r="B26" s="10"/>
      <c r="C26" s="10"/>
      <c r="D26" s="10"/>
      <c r="E26" s="10"/>
      <c r="F26" s="10"/>
      <c r="G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customFormat="false" ht="17" hidden="false" customHeight="true" outlineLevel="0" collapsed="false">
      <c r="A27" s="10"/>
      <c r="B27" s="10"/>
      <c r="C27" s="10"/>
      <c r="D27" s="10"/>
      <c r="E27" s="10"/>
      <c r="F27" s="10"/>
      <c r="G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customFormat="false" ht="17" hidden="false" customHeight="tru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customFormat="false" ht="17" hidden="false" customHeight="tru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customFormat="false" ht="17" hidden="false" customHeight="tru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customFormat="false" ht="17" hidden="false" customHeight="tru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customFormat="false" ht="17" hidden="false" customHeight="tru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customFormat="false" ht="17" hidden="false" customHeight="tru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customFormat="false" ht="17" hidden="false" customHeight="tru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customFormat="false" ht="17" hidden="false" customHeight="true" outlineLevel="0" collapsed="false">
      <c r="A35" s="10"/>
      <c r="B35" s="10"/>
      <c r="C35" s="10"/>
      <c r="D35" s="10"/>
      <c r="E35" s="10"/>
      <c r="F35" s="10"/>
      <c r="G35" s="10"/>
      <c r="H35" s="10"/>
      <c r="I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customFormat="false" ht="17" hidden="false" customHeight="true" outlineLevel="0" collapsed="false">
      <c r="A36" s="10"/>
      <c r="B36" s="10"/>
      <c r="C36" s="10"/>
      <c r="D36" s="10"/>
      <c r="E36" s="10"/>
      <c r="F36" s="10"/>
      <c r="G36" s="10"/>
      <c r="H36" s="10"/>
      <c r="I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customFormat="false" ht="17" hidden="false" customHeight="true" outlineLevel="0" collapsed="false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customFormat="false" ht="17" hidden="false" customHeight="true" outlineLevel="0" collapsed="false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customFormat="false" ht="17" hidden="false" customHeight="true" outlineLevel="0" collapsed="false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customFormat="false" ht="17" hidden="false" customHeight="true" outlineLevel="0" collapsed="false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customFormat="false" ht="17" hidden="false" customHeight="true" outlineLevel="0" collapsed="false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customFormat="false" ht="17" hidden="false" customHeight="true" outlineLevel="0" collapsed="false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customFormat="false" ht="17" hidden="false" customHeight="true" outlineLevel="0" collapsed="false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customFormat="false" ht="17" hidden="false" customHeight="true" outlineLevel="0" collapsed="false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customFormat="false" ht="13.8" hidden="false" customHeight="true" outlineLevel="0" collapsed="false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customFormat="false" ht="13.8" hidden="false" customHeight="true" outlineLevel="0" collapsed="false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customFormat="false" ht="13.8" hidden="false" customHeight="true" outlineLevel="0" collapsed="false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customFormat="false" ht="13.8" hidden="false" customHeight="true" outlineLevel="0" collapsed="false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customFormat="false" ht="13.8" hidden="false" customHeight="true" outlineLevel="0" collapsed="false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customFormat="false" ht="13.8" hidden="false" customHeight="true" outlineLevel="0" collapsed="false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customFormat="false" ht="13.8" hidden="false" customHeight="true" outlineLevel="0" collapsed="false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customFormat="false" ht="13.8" hidden="false" customHeight="true" outlineLevel="0" collapsed="false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customFormat="false" ht="13.8" hidden="false" customHeight="true" outlineLevel="0" collapsed="false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customFormat="false" ht="13.8" hidden="false" customHeight="tru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customFormat="false" ht="13.8" hidden="false" customHeight="true" outlineLevel="0" collapsed="false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customFormat="false" ht="13.8" hidden="false" customHeight="true" outlineLevel="0" collapsed="false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customFormat="false" ht="13.8" hidden="false" customHeight="true" outlineLevel="0" collapsed="false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customFormat="false" ht="13.8" hidden="false" customHeight="true" outlineLevel="0" collapsed="false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customFormat="false" ht="13.8" hidden="false" customHeight="true" outlineLevel="0" collapsed="false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customFormat="false" ht="13.8" hidden="false" customHeight="tru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customFormat="false" ht="13.8" hidden="false" customHeight="true" outlineLevel="0" collapsed="false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customFormat="false" ht="13.8" hidden="false" customHeight="true" outlineLevel="0" collapsed="false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customFormat="false" ht="13.8" hidden="false" customHeight="true" outlineLevel="0" collapsed="false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customFormat="false" ht="13.8" hidden="false" customHeight="true" outlineLevel="0" collapsed="false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customFormat="false" ht="13.8" hidden="false" customHeight="true" outlineLevel="0" collapsed="false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customFormat="false" ht="13.8" hidden="false" customHeight="true" outlineLevel="0" collapsed="false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customFormat="false" ht="13.8" hidden="false" customHeight="true" outlineLevel="0" collapsed="false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customFormat="false" ht="13.8" hidden="false" customHeight="true" outlineLevel="0" collapsed="false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customFormat="false" ht="13.8" hidden="false" customHeight="true" outlineLevel="0" collapsed="false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customFormat="false" ht="13.8" hidden="false" customHeight="true" outlineLevel="0" collapsed="false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customFormat="false" ht="13.8" hidden="false" customHeight="true" outlineLevel="0" collapsed="false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customFormat="false" ht="13.8" hidden="false" customHeight="true" outlineLevel="0" collapsed="false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customFormat="false" ht="13.8" hidden="false" customHeight="true" outlineLevel="0" collapsed="false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customFormat="false" ht="13.8" hidden="false" customHeight="true" outlineLevel="0" collapsed="false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customFormat="false" ht="13.8" hidden="false" customHeight="true" outlineLevel="0" collapsed="false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customFormat="false" ht="13.8" hidden="false" customHeight="true" outlineLevel="0" collapsed="false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customFormat="false" ht="13.8" hidden="false" customHeight="true" outlineLevel="0" collapsed="false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customFormat="false" ht="13.8" hidden="false" customHeight="true" outlineLevel="0" collapsed="false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customFormat="false" ht="13.8" hidden="false" customHeight="true" outlineLevel="0" collapsed="false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customFormat="false" ht="13.8" hidden="false" customHeight="true" outlineLevel="0" collapsed="false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customFormat="false" ht="13.8" hidden="false" customHeight="true" outlineLevel="0" collapsed="false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customFormat="false" ht="13.8" hidden="false" customHeight="true" outlineLevel="0" collapsed="false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customFormat="false" ht="13.8" hidden="false" customHeight="true" outlineLevel="0" collapsed="false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customFormat="false" ht="13.8" hidden="false" customHeight="true" outlineLevel="0" collapsed="false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customFormat="false" ht="13.8" hidden="false" customHeight="true" outlineLevel="0" collapsed="false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customFormat="false" ht="13.8" hidden="false" customHeight="true" outlineLevel="0" collapsed="false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customFormat="false" ht="13.8" hidden="false" customHeight="true" outlineLevel="0" collapsed="false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customFormat="false" ht="13.8" hidden="false" customHeight="true" outlineLevel="0" collapsed="false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customFormat="false" ht="13.8" hidden="false" customHeight="true" outlineLevel="0" collapsed="false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customFormat="false" ht="13.8" hidden="false" customHeight="true" outlineLevel="0" collapsed="false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customFormat="false" ht="13.8" hidden="false" customHeight="true" outlineLevel="0" collapsed="false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customFormat="false" ht="13.8" hidden="false" customHeight="true" outlineLevel="0" collapsed="false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customFormat="false" ht="13.8" hidden="false" customHeight="true" outlineLevel="0" collapsed="false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customFormat="false" ht="13.8" hidden="false" customHeight="true" outlineLevel="0" collapsed="false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customFormat="false" ht="13.8" hidden="false" customHeight="true" outlineLevel="0" collapsed="false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customFormat="false" ht="13.8" hidden="false" customHeight="true" outlineLevel="0" collapsed="false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customFormat="false" ht="13.8" hidden="false" customHeight="true" outlineLevel="0" collapsed="false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customFormat="false" ht="13.8" hidden="false" customHeight="true" outlineLevel="0" collapsed="false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customFormat="false" ht="13.8" hidden="false" customHeight="true" outlineLevel="0" collapsed="false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customFormat="false" ht="13.8" hidden="false" customHeight="true" outlineLevel="0" collapsed="false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customFormat="false" ht="13.8" hidden="false" customHeight="true" outlineLevel="0" collapsed="false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customFormat="false" ht="13.8" hidden="false" customHeight="true" outlineLevel="0" collapsed="false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customFormat="false" ht="13.8" hidden="false" customHeight="true" outlineLevel="0" collapsed="false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customFormat="false" ht="13.8" hidden="false" customHeight="true" outlineLevel="0" collapsed="false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customFormat="false" ht="13.8" hidden="false" customHeight="true" outlineLevel="0" collapsed="false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customFormat="false" ht="13.8" hidden="false" customHeight="true" outlineLevel="0" collapsed="false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customFormat="false" ht="13.8" hidden="false" customHeight="true" outlineLevel="0" collapsed="false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customFormat="false" ht="13.8" hidden="false" customHeight="true" outlineLevel="0" collapsed="false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customFormat="false" ht="13.8" hidden="false" customHeight="true" outlineLevel="0" collapsed="false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customFormat="false" ht="13.8" hidden="false" customHeight="true" outlineLevel="0" collapsed="false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customFormat="false" ht="13.8" hidden="false" customHeight="true" outlineLevel="0" collapsed="false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customFormat="false" ht="13.8" hidden="false" customHeight="true" outlineLevel="0" collapsed="false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customFormat="false" ht="13.8" hidden="false" customHeight="true" outlineLevel="0" collapsed="false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customFormat="false" ht="13.8" hidden="false" customHeight="tru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customFormat="false" ht="13.8" hidden="false" customHeight="true" outlineLevel="0" collapsed="false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customFormat="false" ht="13.8" hidden="false" customHeight="tru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customFormat="false" ht="13.8" hidden="false" customHeight="true" outlineLevel="0" collapsed="false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customFormat="false" ht="13.8" hidden="false" customHeight="true" outlineLevel="0" collapsed="false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customFormat="false" ht="13.8" hidden="false" customHeight="true" outlineLevel="0" collapsed="false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customFormat="false" ht="13.8" hidden="false" customHeight="true" outlineLevel="0" collapsed="false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customFormat="false" ht="13.8" hidden="false" customHeight="true" outlineLevel="0" collapsed="false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customFormat="false" ht="13.8" hidden="false" customHeight="true" outlineLevel="0" collapsed="false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customFormat="false" ht="13.8" hidden="false" customHeight="true" outlineLevel="0" collapsed="false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customFormat="false" ht="13.8" hidden="false" customHeight="true" outlineLevel="0" collapsed="false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customFormat="false" ht="13.8" hidden="false" customHeight="true" outlineLevel="0" collapsed="false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customFormat="false" ht="13.8" hidden="false" customHeight="true" outlineLevel="0" collapsed="false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customFormat="false" ht="13.8" hidden="false" customHeight="true" outlineLevel="0" collapsed="false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customFormat="false" ht="13.8" hidden="false" customHeight="true" outlineLevel="0" collapsed="false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customFormat="false" ht="13.8" hidden="false" customHeight="true" outlineLevel="0" collapsed="false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customFormat="false" ht="13.8" hidden="false" customHeight="true" outlineLevel="0" collapsed="false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customFormat="false" ht="13.8" hidden="false" customHeight="true" outlineLevel="0" collapsed="false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customFormat="false" ht="13.8" hidden="false" customHeight="true" outlineLevel="0" collapsed="false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customFormat="false" ht="13.8" hidden="false" customHeight="true" outlineLevel="0" collapsed="false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customFormat="false" ht="13.8" hidden="false" customHeight="true" outlineLevel="0" collapsed="false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customFormat="false" ht="13.8" hidden="false" customHeight="true" outlineLevel="0" collapsed="false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customFormat="false" ht="13.8" hidden="false" customHeight="true" outlineLevel="0" collapsed="false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customFormat="false" ht="13.8" hidden="false" customHeight="true" outlineLevel="0" collapsed="false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customFormat="false" ht="13.8" hidden="false" customHeight="true" outlineLevel="0" collapsed="false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customFormat="false" ht="13.8" hidden="false" customHeight="true" outlineLevel="0" collapsed="false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customFormat="false" ht="13.8" hidden="false" customHeight="true" outlineLevel="0" collapsed="false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customFormat="false" ht="13.8" hidden="false" customHeight="true" outlineLevel="0" collapsed="false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customFormat="false" ht="13.8" hidden="false" customHeight="true" outlineLevel="0" collapsed="false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customFormat="false" ht="13.8" hidden="false" customHeight="true" outlineLevel="0" collapsed="false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customFormat="false" ht="13.8" hidden="false" customHeight="true" outlineLevel="0" collapsed="false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customFormat="false" ht="13.8" hidden="false" customHeight="true" outlineLevel="0" collapsed="false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customFormat="false" ht="13.8" hidden="false" customHeight="true" outlineLevel="0" collapsed="false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customFormat="false" ht="13.8" hidden="false" customHeight="true" outlineLevel="0" collapsed="false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customFormat="false" ht="13.8" hidden="false" customHeight="true" outlineLevel="0" collapsed="false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</sheetData>
  <mergeCells count="41">
    <mergeCell ref="A1:C1"/>
    <mergeCell ref="D1:P3"/>
    <mergeCell ref="A2:C3"/>
    <mergeCell ref="N5:O5"/>
    <mergeCell ref="N6:O6"/>
    <mergeCell ref="N7:O7"/>
    <mergeCell ref="K9:L9"/>
    <mergeCell ref="N9:O9"/>
    <mergeCell ref="K10:L10"/>
    <mergeCell ref="N10:O10"/>
    <mergeCell ref="K11:L11"/>
    <mergeCell ref="N11:O11"/>
    <mergeCell ref="D13:E13"/>
    <mergeCell ref="I13:K13"/>
    <mergeCell ref="M13:P13"/>
    <mergeCell ref="D14:E14"/>
    <mergeCell ref="I14:J14"/>
    <mergeCell ref="M14:N14"/>
    <mergeCell ref="O14:P14"/>
    <mergeCell ref="D15:E15"/>
    <mergeCell ref="I15:J15"/>
    <mergeCell ref="M15:N15"/>
    <mergeCell ref="O15:P15"/>
    <mergeCell ref="I16:J16"/>
    <mergeCell ref="M16:N16"/>
    <mergeCell ref="O16:P16"/>
    <mergeCell ref="I17:J17"/>
    <mergeCell ref="M17:N17"/>
    <mergeCell ref="O17:P17"/>
    <mergeCell ref="A18:B18"/>
    <mergeCell ref="I18:J18"/>
    <mergeCell ref="M18:N18"/>
    <mergeCell ref="O18:P18"/>
    <mergeCell ref="A19:B20"/>
    <mergeCell ref="M19:N19"/>
    <mergeCell ref="O19:P19"/>
    <mergeCell ref="I20:K20"/>
    <mergeCell ref="M20:N20"/>
    <mergeCell ref="O20:P20"/>
    <mergeCell ref="M22:N22"/>
    <mergeCell ref="O22:P2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LibreOffice/7.6.2.1$MacOSX_X86_64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2023-09-24T17:28:37Z</dcterms:created>
  <dc:creator/>
  <dc:description/>
  <dc:language>cs-CZ</dc:language>
  <cp:lastModifiedBy/>
  <dcterms:modified xsi:type="dcterms:W3CDTF">2023-10-11T19:32:40Z</dcterms:modified>
  <cp:revision>141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