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лан БДР" sheetId="1" r:id="rId4"/>
    <sheet state="visible" name="Маркетинг Ожидания" sheetId="2" r:id="rId5"/>
    <sheet state="hidden" name="Сводная таблица 1" sheetId="3" r:id="rId6"/>
    <sheet state="hidden" name="ПО и техническая часть" sheetId="4" r:id="rId7"/>
    <sheet state="hidden" name="Штатный персонал" sheetId="5" r:id="rId8"/>
    <sheet state="hidden" name="Командировочные расходы" sheetId="6" r:id="rId9"/>
    <sheet state="visible" name="k" sheetId="7" r:id="rId10"/>
    <sheet state="visible" name="Расчет коэффициентов" sheetId="8" r:id="rId11"/>
    <sheet state="visible" name="Планообразующие услуги" sheetId="9" r:id="rId12"/>
    <sheet state="hidden" name="Планирование доходов" sheetId="10" r:id="rId13"/>
  </sheets>
  <definedNames>
    <definedName hidden="1" localSheetId="8" name="_xlnm._FilterDatabase">'Планообразующие услуги'!$A$1:$D$117</definedName>
  </definedNames>
  <calcPr/>
  <pivotCaches>
    <pivotCache cacheId="0" r:id="rId14"/>
    <pivotCache cacheId="1" r:id="rId15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Редактируемое поле
Напишите любое количество клиентов
</t>
      </text>
    </comment>
    <comment authorId="0" ref="F19">
      <text>
        <t xml:space="preserve">Редактируемое поле
Напишите любое количество клиентов
</t>
      </text>
    </comment>
    <comment authorId="0" ref="F20">
      <text>
        <t xml:space="preserve">Редактируемое поле
Рассчитывается исходя из показателя CPC контекста (среднее)
</t>
      </text>
    </comment>
    <comment authorId="0" ref="A25">
      <text>
        <t xml:space="preserve">Без учета себестоимости
ROMI = ((Доход от маркетинга — Затраты на маркетинг) / Затраты на маркетинг) * 100</t>
      </text>
    </comment>
    <comment authorId="0" ref="A27">
      <text>
        <t xml:space="preserve">ROMI с учетом себестоимости
</t>
      </text>
    </comment>
  </commentList>
</comments>
</file>

<file path=xl/sharedStrings.xml><?xml version="1.0" encoding="utf-8"?>
<sst xmlns="http://schemas.openxmlformats.org/spreadsheetml/2006/main" count="512" uniqueCount="213">
  <si>
    <t>Управление по выручке</t>
  </si>
  <si>
    <t xml:space="preserve">Уменьшить динамику на </t>
  </si>
  <si>
    <t xml:space="preserve">Изменить кол-во клиентов на </t>
  </si>
  <si>
    <t>Изменить средний чек на</t>
  </si>
  <si>
    <t xml:space="preserve">Изменить цены на </t>
  </si>
  <si>
    <t>Показатель</t>
  </si>
  <si>
    <t>Статьи. Детализация</t>
  </si>
  <si>
    <t>Плановый годовой показатель 2017</t>
  </si>
  <si>
    <t>k в группе расходов</t>
  </si>
  <si>
    <t>k от общего</t>
  </si>
  <si>
    <t>k к пересчету</t>
  </si>
  <si>
    <t>Плановый годовой показатель 2020</t>
  </si>
  <si>
    <t>ИТОГО 2022 год</t>
  </si>
  <si>
    <t>динамика по рынку база</t>
  </si>
  <si>
    <t>Категория</t>
  </si>
  <si>
    <t>Конверсия ожидаемая в год</t>
  </si>
  <si>
    <t>%</t>
  </si>
  <si>
    <t>Источник: https://rosstat.gov.ru/storage/mediabank/Bul_chislen_nasel-pv_01-01-2021.pdf</t>
  </si>
  <si>
    <t>динамика по рынку динамический</t>
  </si>
  <si>
    <t>Беременные</t>
  </si>
  <si>
    <t>Средний чек месяца база</t>
  </si>
  <si>
    <t>Единовременные выплаты по рождению ребенка</t>
  </si>
  <si>
    <t>Средний чек месяца динамический</t>
  </si>
  <si>
    <t>от 1 до 3</t>
  </si>
  <si>
    <t xml:space="preserve">Кол-во клиентов база </t>
  </si>
  <si>
    <t>от 3 до 7</t>
  </si>
  <si>
    <t>кол-во клиентов динамический</t>
  </si>
  <si>
    <t>от 7 до 14</t>
  </si>
  <si>
    <t>Выручка потенциал</t>
  </si>
  <si>
    <t>Выручка</t>
  </si>
  <si>
    <t>от 14 до 18</t>
  </si>
  <si>
    <t>Скользящее среднее</t>
  </si>
  <si>
    <t>Total</t>
  </si>
  <si>
    <t>Погрешность</t>
  </si>
  <si>
    <t>Потеря в выручке, руб</t>
  </si>
  <si>
    <t>Потеря ЧП, руб</t>
  </si>
  <si>
    <t>Выручка прогноз до вычета НДС</t>
  </si>
  <si>
    <t>Выручка прогноз за вычетом НДС</t>
  </si>
  <si>
    <t>НДС</t>
  </si>
  <si>
    <t>1. Переменные производственные расходы</t>
  </si>
  <si>
    <t>Услуги внештатных сотрудников</t>
  </si>
  <si>
    <t>Услуги внештатных программистов</t>
  </si>
  <si>
    <t>Услуги внештатных дизайнеров</t>
  </si>
  <si>
    <t>Другие внештатные услуги</t>
  </si>
  <si>
    <t>Марж. Прибыль</t>
  </si>
  <si>
    <t xml:space="preserve">2. Постоянные расходы </t>
  </si>
  <si>
    <t>Оплата труда штатного персонала</t>
  </si>
  <si>
    <t>Услуги связи</t>
  </si>
  <si>
    <t>Обслуживание программного обеспечения</t>
  </si>
  <si>
    <t>Обслуживание технической части</t>
  </si>
  <si>
    <t>Расходы на персонал</t>
  </si>
  <si>
    <t>Услуги по доставке документации</t>
  </si>
  <si>
    <t>Командировочные расходы</t>
  </si>
  <si>
    <t>Комиссия на деньги</t>
  </si>
  <si>
    <t>Операционный доход</t>
  </si>
  <si>
    <t>3. Коммерческие расходы</t>
  </si>
  <si>
    <t>Расходы на маркетинг</t>
  </si>
  <si>
    <t>Итоговые расходы на маркетинг</t>
  </si>
  <si>
    <t xml:space="preserve">Операционный доход </t>
  </si>
  <si>
    <t xml:space="preserve">4. Операционные расходы </t>
  </si>
  <si>
    <t>4. Операционные расходы</t>
  </si>
  <si>
    <t>Штрафы, пени</t>
  </si>
  <si>
    <t>Нотариальные расходы</t>
  </si>
  <si>
    <t xml:space="preserve">4. Неоперационные расходы </t>
  </si>
  <si>
    <t>Внереализационные доходы</t>
  </si>
  <si>
    <t>Внереализационные расходы</t>
  </si>
  <si>
    <t>Прибыль по внереализационной деятельности</t>
  </si>
  <si>
    <t>5. Расходы по финансовой деятельности</t>
  </si>
  <si>
    <t>Банковские гарантии</t>
  </si>
  <si>
    <t>Налог на имущество</t>
  </si>
  <si>
    <t>Оперицонная прибыль EBITDA</t>
  </si>
  <si>
    <t>Амортизация</t>
  </si>
  <si>
    <t>Прибыль до процентов и налогов (EBIT)</t>
  </si>
  <si>
    <t>Налог на прибыль</t>
  </si>
  <si>
    <t>УСНО юр.лица</t>
  </si>
  <si>
    <t>Прибыль до процентов с учетом налогов NOPLAT</t>
  </si>
  <si>
    <t>Проценты к получению</t>
  </si>
  <si>
    <t>Проценты к уплате</t>
  </si>
  <si>
    <t>Чистая прибыль NPAT</t>
  </si>
  <si>
    <t>Стоимость привлечения клиента Динамически</t>
  </si>
  <si>
    <t>Стоимость привлечения клиента Основной</t>
  </si>
  <si>
    <t>Стоимость привлечения N новых клиентов</t>
  </si>
  <si>
    <t>Стоимость привлечения N новых клиентов c учетом представительских расходов</t>
  </si>
  <si>
    <t>Ожидаемое количество лидов</t>
  </si>
  <si>
    <t>Ожидаемое количество показов</t>
  </si>
  <si>
    <t>Ожидаемые затраты на РК</t>
  </si>
  <si>
    <t>Конверсия по продажам</t>
  </si>
  <si>
    <t>ROMI без себс</t>
  </si>
  <si>
    <t>ROAS</t>
  </si>
  <si>
    <t>ROMI с себес</t>
  </si>
  <si>
    <t>Себестоимость контекста</t>
  </si>
  <si>
    <t>Столбцы</t>
  </si>
  <si>
    <t>Строки</t>
  </si>
  <si>
    <t>Значения</t>
  </si>
  <si>
    <t>качество</t>
  </si>
  <si>
    <t>Отдел</t>
  </si>
  <si>
    <t>Тип расхода</t>
  </si>
  <si>
    <t>Детализация</t>
  </si>
  <si>
    <t>Стоимость годового обслуживания</t>
  </si>
  <si>
    <t>Отдел Аналитики</t>
  </si>
  <si>
    <t>Python+Anaconda</t>
  </si>
  <si>
    <t>SPSS</t>
  </si>
  <si>
    <t>SAP</t>
  </si>
  <si>
    <t>MS Excel</t>
  </si>
  <si>
    <t>Power Pivot</t>
  </si>
  <si>
    <t>Power Query</t>
  </si>
  <si>
    <t>SQL</t>
  </si>
  <si>
    <t>Прочее</t>
  </si>
  <si>
    <t>Отдел Маркетинга</t>
  </si>
  <si>
    <t>Графические редакторы (Creative Cloud)</t>
  </si>
  <si>
    <t>Сервисы для таргетинга</t>
  </si>
  <si>
    <t>Яндекс директ</t>
  </si>
  <si>
    <t>Google webmaster (analytics)</t>
  </si>
  <si>
    <t>Коммерческий отдел</t>
  </si>
  <si>
    <t xml:space="preserve">CRM </t>
  </si>
  <si>
    <t>ОБЩЕЕ</t>
  </si>
  <si>
    <t>Аренда серверов</t>
  </si>
  <si>
    <t>Таск мендежер</t>
  </si>
  <si>
    <t>1С управление нашей фирмой</t>
  </si>
  <si>
    <t>ИТОГО</t>
  </si>
  <si>
    <t>Обслуживание техническогоо обеспечения</t>
  </si>
  <si>
    <t>GPU+CPU</t>
  </si>
  <si>
    <t>Др. расходники</t>
  </si>
  <si>
    <t>Ставка в час</t>
  </si>
  <si>
    <t>Нагруженность в часах в день</t>
  </si>
  <si>
    <t>Нагруженность в часах в мес</t>
  </si>
  <si>
    <t>К выплате в мес на единицу</t>
  </si>
  <si>
    <t>ИТОГО к выплате в год на единицу</t>
  </si>
  <si>
    <t>Кол-во штатных единиц</t>
  </si>
  <si>
    <t>ИТОГО к выплате в мес</t>
  </si>
  <si>
    <t>ИТОГО к выплате в год</t>
  </si>
  <si>
    <t>Постоянные расходы</t>
  </si>
  <si>
    <t>ИТОГО ФОТ</t>
  </si>
  <si>
    <t>Возможные комиссии</t>
  </si>
  <si>
    <t>Продвижение (не более 2,5 % от ФОТ)</t>
  </si>
  <si>
    <t>Представительские расходы (не более 2,5 % от ФОТ)</t>
  </si>
  <si>
    <t>Операционные расходы</t>
  </si>
  <si>
    <t>Макс. Предел на 1 событие</t>
  </si>
  <si>
    <t>Кол-во человек</t>
  </si>
  <si>
    <t>Частота в год</t>
  </si>
  <si>
    <t>Итого план</t>
  </si>
  <si>
    <t>Компенсация ГСМ</t>
  </si>
  <si>
    <t>Условная стоимость перелета</t>
  </si>
  <si>
    <t>Условная стоимость транспортировки</t>
  </si>
  <si>
    <t>Условная стоимость Проживания</t>
  </si>
  <si>
    <t>Условная стоимость участия в конференциях</t>
  </si>
  <si>
    <t>ИТОГО Постоянные расходы на командировки</t>
  </si>
  <si>
    <t>ИТОГО Операционные расходы на командировки</t>
  </si>
  <si>
    <t xml:space="preserve"> k в группе</t>
  </si>
  <si>
    <t xml:space="preserve"> Расчетный предел</t>
  </si>
  <si>
    <t>1. Переменные расходы</t>
  </si>
  <si>
    <t>услуги внештатных seo</t>
  </si>
  <si>
    <t>Услуги внештатных smm</t>
  </si>
  <si>
    <t>Всего (1. Переменные расходы)</t>
  </si>
  <si>
    <t>2. Постоянные расходы</t>
  </si>
  <si>
    <t>Всего (2. Постоянные расходы)</t>
  </si>
  <si>
    <t>Представительские расходы</t>
  </si>
  <si>
    <t>Продвижение услуг</t>
  </si>
  <si>
    <t>Всего (3. Коммерческие расходы)</t>
  </si>
  <si>
    <t>Всего (4. Операционные расходы )</t>
  </si>
  <si>
    <t>Услуги банков (РКО)</t>
  </si>
  <si>
    <t>Всего (5. Расходы по финансовой деятельности)</t>
  </si>
  <si>
    <t>Итого</t>
  </si>
  <si>
    <t>Расчетный предел</t>
  </si>
  <si>
    <t>k</t>
  </si>
  <si>
    <t>другое</t>
  </si>
  <si>
    <t>Планируемые расходы</t>
  </si>
  <si>
    <t>Направление</t>
  </si>
  <si>
    <t>ЦА</t>
  </si>
  <si>
    <t>Кол-во пользователей</t>
  </si>
  <si>
    <t>Наименование услуги</t>
  </si>
  <si>
    <t>максимальная сумма пособия в месяц</t>
  </si>
  <si>
    <t>Кол-во часов</t>
  </si>
  <si>
    <t>Стоимость</t>
  </si>
  <si>
    <t>Изменение цен на %</t>
  </si>
  <si>
    <t>Дисконтирование часа работы</t>
  </si>
  <si>
    <t>Фикс</t>
  </si>
  <si>
    <t>Средняя сумма приходящих пособий</t>
  </si>
  <si>
    <t>мамы. Маткапитал</t>
  </si>
  <si>
    <t>мамы. Маткапитал для семей, не получивших маткапитал до 2020</t>
  </si>
  <si>
    <t>Выплата по постановке на учет по БИР</t>
  </si>
  <si>
    <t>Декретные выплаты для неработающих мам (Пособия по беременности и родам) первый ребенок</t>
  </si>
  <si>
    <t>Декретные выплаты для неработающих мам (Пособия по беременности и родам) второй и последубщий ребенок</t>
  </si>
  <si>
    <t>Декретные выплаты для самозанятых мам (Пособия по беременности и родам) первый ребенок</t>
  </si>
  <si>
    <t>Декретные выплаты для  самозанятых мам (Пособия по беременности и родам) первый ребенок</t>
  </si>
  <si>
    <t>Декретные выплаты для самозанятых мам (Пособия по беременности и родам) второй и последубщий ребенок</t>
  </si>
  <si>
    <t>Декретные выплаты для Самозанятых мам (Пособия по беременности и родам) второй и последубщий ребенок</t>
  </si>
  <si>
    <t>Налоговый вычет отцам-одиночкам. 1 и 2 ребенок</t>
  </si>
  <si>
    <t>Налоговый вычет отцам-одиночкам. 3 и др ребенок</t>
  </si>
  <si>
    <t>Декретные выплаты для работающих мам (Пособия по беременности и родам)</t>
  </si>
  <si>
    <t>родителям и усыновителям детей инвалидов</t>
  </si>
  <si>
    <t>опекунам и попечителям детей инвалидов</t>
  </si>
  <si>
    <t>пенсия по случаю потери кормильца макс</t>
  </si>
  <si>
    <t>пенсия по случаю потери кормильца минимум</t>
  </si>
  <si>
    <t>Ежемесячное пособие детям погибших военнослужащих и сотрудников некоторых федеральных органов исполнительной власти и детям лиц, умерших вследствие военной травмы после увольнения с военной службы</t>
  </si>
  <si>
    <t>Компенсационные выплаты в связи с расходами по оплате жилых помещений, коммунальных и других видов услуг членам семей погибших (умерших) военнослужащих и сотрудников некоторых федеральных органов исполнительной власти</t>
  </si>
  <si>
    <t>Пособие на проведение летнего оздоровительного отдыха детей отдельных категорий военнослужащих и сотрудников некоторых федеральных органов исполнительной власти, погибших (умерших), пропавших без вести, ставших инвалидами в связи с выполнением задач в условиях вооруженного конфликта немеждународного характера в Чеченской Республике и на непосредственно прилегающих к ней территориях Северного Кавказа, отнесенных к зоне вооруженного конфликта, а также в связи с выполнением за</t>
  </si>
  <si>
    <t>ЕВП беременной жене военнослужащего</t>
  </si>
  <si>
    <t>"Президентские выплаты" на 1-го и 2-го ребенка до 3 лет</t>
  </si>
  <si>
    <t>ЕДВ на третьего и последующих детей</t>
  </si>
  <si>
    <t>Ежемесячное пособие на ребенка от 8 до 17 лет в неполной семье</t>
  </si>
  <si>
    <t>ЕДВ на ребенка военнослужащего</t>
  </si>
  <si>
    <t>Единовременная выплата по рождению ребьенка</t>
  </si>
  <si>
    <t>Пособие от 3 до 7 лет</t>
  </si>
  <si>
    <t>ЕВ на ребенка одинокой матери при ррождение (допвыплата) 1 р</t>
  </si>
  <si>
    <t>ЕВ на ребенка одинокой матери при ррождение (допвыплата) 2 р</t>
  </si>
  <si>
    <t>Возмещение расходов в связи с ростом жизни</t>
  </si>
  <si>
    <t>ежемесячная компенсация на возмещение стоимости продуктов питания на детей до 3 лет</t>
  </si>
  <si>
    <t>Период</t>
  </si>
  <si>
    <t>Плановый показатель</t>
  </si>
  <si>
    <t>Доля в годовом доходе</t>
  </si>
  <si>
    <t>Доля в планируемых периодах</t>
  </si>
  <si>
    <t>2019+2020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</si>
</sst>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* #,##0\ &quot;₽&quot;_-;\-* #,##0\ &quot;₽&quot;_-;_-* &quot;-&quot;??\ &quot;₽&quot;_-;_-@"/>
    <numFmt numFmtId="165" formatCode="_-* #,##0.00\ &quot;₽&quot;_-;\-* #,##0.00\ &quot;₽&quot;_-;_-* &quot;-&quot;??\ &quot;₽&quot;_-;_-@"/>
    <numFmt numFmtId="166" formatCode="_-* #,##0\ _₽_-;\-* #,##0\ _₽_-;_-* &quot;-&quot;\ _₽_-;_-@"/>
    <numFmt numFmtId="167" formatCode="0.000%"/>
    <numFmt numFmtId="168" formatCode="[$р.-419]#,##0.00"/>
    <numFmt numFmtId="169" formatCode="0.0%"/>
    <numFmt numFmtId="170" formatCode="0.0"/>
    <numFmt numFmtId="171" formatCode="0.0000%"/>
  </numFmts>
  <fonts count="7">
    <font>
      <sz val="11.0"/>
      <color rgb="FF000000"/>
      <name val="Calibri"/>
    </font>
    <font>
      <b/>
      <sz val="11.0"/>
      <color rgb="FFFFFFFF"/>
      <name val="Calibri"/>
    </font>
    <font>
      <b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FF2CC"/>
        <bgColor rgb="FFFFF2CC"/>
      </patternFill>
    </fill>
  </fills>
  <borders count="84">
    <border/>
    <border>
      <left/>
      <right/>
      <top/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/>
      <top/>
      <bottom/>
    </border>
    <border>
      <left style="thick">
        <color rgb="FF000000"/>
      </left>
      <right style="thick">
        <color rgb="FF000000"/>
      </right>
      <bottom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ABABAB"/>
      </left>
      <top style="thin">
        <color rgb="FFABABAB"/>
      </top>
    </border>
    <border>
      <left style="thin">
        <color rgb="FFFFFFFF"/>
      </left>
      <top style="thin">
        <color rgb="FFABABAB"/>
      </top>
    </border>
    <border>
      <left style="thin">
        <color rgb="FFFFFFFF"/>
      </left>
      <right style="thin">
        <color rgb="FFABABAB"/>
      </right>
      <top style="thin">
        <color rgb="FFABABAB"/>
      </top>
    </border>
    <border>
      <left style="thin">
        <color rgb="FFABABAB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ABABAB"/>
      </right>
      <top style="thin">
        <color rgb="FFFFFFFF"/>
      </top>
    </border>
    <border>
      <left style="thin">
        <color rgb="FFABABAB"/>
      </left>
      <top style="thin">
        <color rgb="FFFFFFFF"/>
      </top>
      <bottom style="thin">
        <color rgb="FFABABAB"/>
      </bottom>
    </border>
    <border>
      <left style="thin">
        <color rgb="FFFFFFFF"/>
      </left>
      <top style="thin">
        <color rgb="FFFFFFFF"/>
      </top>
      <bottom style="thin">
        <color rgb="FFABABAB"/>
      </bottom>
    </border>
    <border>
      <left style="thin">
        <color rgb="FFFFFFFF"/>
      </left>
      <right style="thin">
        <color rgb="FFABABAB"/>
      </right>
      <top style="thin">
        <color rgb="FFFFFFFF"/>
      </top>
      <bottom style="thin">
        <color rgb="FFABABAB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0" xfId="0" applyBorder="1" applyFont="1" applyNumberFormat="1"/>
    <xf borderId="0" fillId="0" fontId="0" numFmtId="164" xfId="0" applyFont="1" applyNumberFormat="1"/>
    <xf borderId="0" fillId="0" fontId="2" numFmtId="0" xfId="0" applyFont="1"/>
    <xf borderId="1" fillId="3" fontId="0" numFmtId="0" xfId="0" applyBorder="1" applyFill="1" applyFont="1"/>
    <xf borderId="1" fillId="3" fontId="0" numFmtId="10" xfId="0" applyBorder="1" applyFont="1" applyNumberFormat="1"/>
    <xf borderId="1" fillId="4" fontId="0" numFmtId="9" xfId="0" applyAlignment="1" applyBorder="1" applyFill="1" applyFont="1" applyNumberFormat="1">
      <alignment readingOrder="0"/>
    </xf>
    <xf borderId="1" fillId="3" fontId="0" numFmtId="9" xfId="0" applyBorder="1" applyFont="1" applyNumberFormat="1"/>
    <xf borderId="1" fillId="4" fontId="0" numFmtId="0" xfId="0" applyAlignment="1" applyBorder="1" applyFont="1">
      <alignment readingOrder="0"/>
    </xf>
    <xf borderId="1" fillId="4" fontId="0" numFmtId="165" xfId="0" applyAlignment="1" applyBorder="1" applyFont="1" applyNumberFormat="1">
      <alignment readingOrder="0"/>
    </xf>
    <xf borderId="0" fillId="0" fontId="3" numFmtId="164" xfId="0" applyFont="1" applyNumberFormat="1"/>
    <xf borderId="0" fillId="0" fontId="0" numFmtId="10" xfId="0" applyFont="1" applyNumberFormat="1"/>
    <xf borderId="2" fillId="2" fontId="4" numFmtId="166" xfId="0" applyBorder="1" applyFont="1" applyNumberFormat="1"/>
    <xf borderId="3" fillId="2" fontId="4" numFmtId="166" xfId="0" applyBorder="1" applyFont="1" applyNumberFormat="1"/>
    <xf borderId="4" fillId="2" fontId="4" numFmtId="166" xfId="0" applyBorder="1" applyFont="1" applyNumberFormat="1"/>
    <xf borderId="5" fillId="2" fontId="4" numFmtId="166" xfId="0" applyBorder="1" applyFont="1" applyNumberFormat="1"/>
    <xf borderId="6" fillId="2" fontId="4" numFmtId="166" xfId="0" applyAlignment="1" applyBorder="1" applyFont="1" applyNumberFormat="1">
      <alignment readingOrder="0"/>
    </xf>
    <xf borderId="7" fillId="2" fontId="4" numFmtId="166" xfId="0" applyAlignment="1" applyBorder="1" applyFont="1" applyNumberFormat="1">
      <alignment readingOrder="0"/>
    </xf>
    <xf borderId="8" fillId="2" fontId="4" numFmtId="166" xfId="0" applyAlignment="1" applyBorder="1" applyFont="1" applyNumberFormat="1">
      <alignment readingOrder="0"/>
    </xf>
    <xf borderId="6" fillId="2" fontId="4" numFmtId="166" xfId="0" applyBorder="1" applyFont="1" applyNumberFormat="1"/>
    <xf borderId="9" fillId="2" fontId="4" numFmtId="166" xfId="0" applyAlignment="1" applyBorder="1" applyFont="1" applyNumberFormat="1">
      <alignment readingOrder="0"/>
    </xf>
    <xf borderId="1" fillId="2" fontId="4" numFmtId="166" xfId="0" applyBorder="1" applyFont="1" applyNumberFormat="1"/>
    <xf borderId="10" fillId="0" fontId="0" numFmtId="167" xfId="0" applyBorder="1" applyFont="1" applyNumberFormat="1"/>
    <xf borderId="11" fillId="0" fontId="0" numFmtId="167" xfId="0" applyBorder="1" applyFont="1" applyNumberFormat="1"/>
    <xf borderId="12" fillId="0" fontId="0" numFmtId="167" xfId="0" applyBorder="1" applyFont="1" applyNumberFormat="1"/>
    <xf borderId="13" fillId="0" fontId="0" numFmtId="167" xfId="0" applyBorder="1" applyFont="1" applyNumberFormat="1"/>
    <xf borderId="10" fillId="0" fontId="3" numFmtId="167" xfId="0" applyBorder="1" applyFont="1" applyNumberFormat="1"/>
    <xf borderId="1" fillId="5" fontId="0" numFmtId="10" xfId="0" applyAlignment="1" applyBorder="1" applyFill="1" applyFont="1" applyNumberFormat="1">
      <alignment horizontal="center" readingOrder="0"/>
    </xf>
    <xf borderId="1" fillId="5" fontId="0" numFmtId="0" xfId="0" applyAlignment="1" applyBorder="1" applyFont="1">
      <alignment horizontal="center" readingOrder="0"/>
    </xf>
    <xf borderId="1" fillId="5" fontId="0" numFmtId="0" xfId="0" applyAlignment="1" applyBorder="1" applyFont="1">
      <alignment readingOrder="0"/>
    </xf>
    <xf borderId="1" fillId="5" fontId="0" numFmtId="167" xfId="0" applyBorder="1" applyFont="1" applyNumberFormat="1"/>
    <xf borderId="14" fillId="0" fontId="0" numFmtId="9" xfId="0" applyBorder="1" applyFont="1" applyNumberFormat="1"/>
    <xf borderId="15" fillId="0" fontId="0" numFmtId="9" xfId="0" applyBorder="1" applyFont="1" applyNumberFormat="1"/>
    <xf borderId="16" fillId="0" fontId="0" numFmtId="9" xfId="0" applyBorder="1" applyFont="1" applyNumberFormat="1"/>
    <xf borderId="0" fillId="0" fontId="0" numFmtId="9" xfId="0" applyFont="1" applyNumberFormat="1"/>
    <xf borderId="17" fillId="5" fontId="3" numFmtId="164" xfId="0" applyBorder="1" applyFont="1" applyNumberFormat="1"/>
    <xf borderId="17" fillId="5" fontId="0" numFmtId="164" xfId="0" applyBorder="1" applyFont="1" applyNumberFormat="1"/>
    <xf borderId="1" fillId="5" fontId="0" numFmtId="3" xfId="0" applyBorder="1" applyFont="1" applyNumberFormat="1"/>
    <xf borderId="1" fillId="5" fontId="0" numFmtId="9" xfId="0" applyBorder="1" applyFont="1" applyNumberFormat="1"/>
    <xf borderId="14" fillId="0" fontId="0" numFmtId="166" xfId="0" applyBorder="1" applyFont="1" applyNumberFormat="1"/>
    <xf borderId="15" fillId="0" fontId="0" numFmtId="166" xfId="0" applyBorder="1" applyFont="1" applyNumberFormat="1"/>
    <xf borderId="16" fillId="0" fontId="0" numFmtId="166" xfId="0" applyBorder="1" applyFont="1" applyNumberFormat="1"/>
    <xf borderId="0" fillId="0" fontId="0" numFmtId="166" xfId="0" applyFont="1" applyNumberFormat="1"/>
    <xf borderId="1" fillId="5" fontId="0" numFmtId="164" xfId="0" applyAlignment="1" applyBorder="1" applyFont="1" applyNumberFormat="1">
      <alignment readingOrder="0"/>
    </xf>
    <xf borderId="1" fillId="5" fontId="0" numFmtId="164" xfId="0" applyBorder="1" applyFont="1" applyNumberFormat="1"/>
    <xf borderId="15" fillId="0" fontId="0" numFmtId="168" xfId="0" applyBorder="1" applyFont="1" applyNumberFormat="1"/>
    <xf borderId="17" fillId="5" fontId="3" numFmtId="3" xfId="0" applyBorder="1" applyFont="1" applyNumberFormat="1"/>
    <xf borderId="17" fillId="5" fontId="0" numFmtId="3" xfId="0" applyBorder="1" applyFont="1" applyNumberFormat="1"/>
    <xf borderId="1" fillId="5" fontId="0" numFmtId="169" xfId="0" applyBorder="1" applyFont="1" applyNumberFormat="1"/>
    <xf borderId="1" fillId="5" fontId="3" numFmtId="164" xfId="0" applyAlignment="1" applyBorder="1" applyFont="1" applyNumberFormat="1">
      <alignment readingOrder="0"/>
    </xf>
    <xf borderId="1" fillId="5" fontId="3" numFmtId="3" xfId="0" applyBorder="1" applyFont="1" applyNumberFormat="1"/>
    <xf borderId="1" fillId="5" fontId="3" numFmtId="164" xfId="0" applyBorder="1" applyFont="1" applyNumberForma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2" fillId="0" fontId="3" numFmtId="9" xfId="0" applyBorder="1" applyFont="1" applyNumberFormat="1"/>
    <xf borderId="13" fillId="0" fontId="3" numFmtId="10" xfId="0" applyBorder="1" applyFont="1" applyNumberFormat="1"/>
    <xf borderId="11" fillId="0" fontId="3" numFmtId="164" xfId="0" applyBorder="1" applyFont="1" applyNumberFormat="1"/>
    <xf borderId="13" fillId="0" fontId="3" numFmtId="164" xfId="0" applyBorder="1" applyFont="1" applyNumberFormat="1"/>
    <xf borderId="10" fillId="0" fontId="3" numFmtId="164" xfId="0" applyBorder="1" applyFont="1" applyNumberFormat="1"/>
    <xf borderId="12" fillId="0" fontId="3" numFmtId="164" xfId="0" applyBorder="1" applyFont="1" applyNumberFormat="1"/>
    <xf borderId="18" fillId="0" fontId="3" numFmtId="164" xfId="0" applyBorder="1" applyFont="1" applyNumberFormat="1"/>
    <xf borderId="14" fillId="0" fontId="0" numFmtId="0" xfId="0" applyBorder="1" applyFont="1"/>
    <xf borderId="15" fillId="0" fontId="0" numFmtId="0" xfId="0" applyBorder="1" applyFont="1"/>
    <xf borderId="19" fillId="6" fontId="0" numFmtId="168" xfId="0" applyBorder="1" applyFill="1" applyFont="1" applyNumberFormat="1"/>
    <xf borderId="16" fillId="0" fontId="0" numFmtId="10" xfId="0" applyBorder="1" applyFont="1" applyNumberFormat="1"/>
    <xf borderId="0" fillId="0" fontId="0" numFmtId="10" xfId="0" applyFont="1" applyNumberFormat="1"/>
    <xf borderId="15" fillId="0" fontId="0" numFmtId="164" xfId="0" applyBorder="1" applyFont="1" applyNumberFormat="1"/>
    <xf borderId="0" fillId="0" fontId="0" numFmtId="164" xfId="0" applyFont="1" applyNumberFormat="1"/>
    <xf borderId="14" fillId="0" fontId="0" numFmtId="164" xfId="0" applyBorder="1" applyFont="1" applyNumberFormat="1"/>
    <xf borderId="16" fillId="0" fontId="0" numFmtId="164" xfId="0" applyBorder="1" applyFont="1" applyNumberFormat="1"/>
    <xf borderId="20" fillId="5" fontId="3" numFmtId="164" xfId="0" applyBorder="1" applyFont="1" applyNumberFormat="1"/>
    <xf borderId="20" fillId="5" fontId="0" numFmtId="164" xfId="0" applyBorder="1" applyFont="1" applyNumberFormat="1"/>
    <xf borderId="19" fillId="6" fontId="0" numFmtId="9" xfId="0" applyBorder="1" applyFont="1" applyNumberFormat="1"/>
    <xf borderId="16" fillId="0" fontId="0" numFmtId="167" xfId="0" applyBorder="1" applyFont="1" applyNumberFormat="1"/>
    <xf borderId="21" fillId="5" fontId="3" numFmtId="164" xfId="0" applyBorder="1" applyFont="1" applyNumberFormat="1"/>
    <xf borderId="21" fillId="5" fontId="0" numFmtId="164" xfId="0" applyBorder="1" applyFont="1" applyNumberFormat="1"/>
    <xf borderId="12" fillId="0" fontId="3" numFmtId="10" xfId="0" applyBorder="1" applyFont="1" applyNumberFormat="1"/>
    <xf borderId="22" fillId="5" fontId="3" numFmtId="164" xfId="0" applyBorder="1" applyFont="1" applyNumberFormat="1"/>
    <xf borderId="16" fillId="0" fontId="0" numFmtId="0" xfId="0" applyBorder="1" applyFont="1"/>
    <xf borderId="1" fillId="7" fontId="0" numFmtId="10" xfId="0" applyBorder="1" applyFill="1" applyFont="1" applyNumberFormat="1"/>
    <xf borderId="14" fillId="0" fontId="0" numFmtId="10" xfId="0" applyBorder="1" applyFont="1" applyNumberFormat="1"/>
    <xf borderId="1" fillId="7" fontId="0" numFmtId="10" xfId="0" applyAlignment="1" applyBorder="1" applyFont="1" applyNumberFormat="1">
      <alignment readingOrder="0"/>
    </xf>
    <xf borderId="0" fillId="0" fontId="0" numFmtId="10" xfId="0" applyAlignment="1" applyFont="1" applyNumberFormat="1">
      <alignment readingOrder="0"/>
    </xf>
    <xf borderId="16" fillId="0" fontId="0" numFmtId="10" xfId="0" applyAlignment="1" applyBorder="1" applyFont="1" applyNumberFormat="1">
      <alignment readingOrder="0"/>
    </xf>
    <xf borderId="3" fillId="0" fontId="0" numFmtId="164" xfId="0" applyBorder="1" applyFont="1" applyNumberFormat="1"/>
    <xf borderId="15" fillId="0" fontId="0" numFmtId="0" xfId="0" applyAlignment="1" applyBorder="1" applyFont="1">
      <alignment readingOrder="0"/>
    </xf>
    <xf borderId="23" fillId="0" fontId="0" numFmtId="164" xfId="0" applyBorder="1" applyFont="1" applyNumberFormat="1"/>
    <xf borderId="24" fillId="0" fontId="0" numFmtId="164" xfId="0" applyBorder="1" applyFont="1" applyNumberFormat="1"/>
    <xf borderId="18" fillId="0" fontId="0" numFmtId="164" xfId="0" applyBorder="1" applyFont="1" applyNumberFormat="1"/>
    <xf borderId="25" fillId="5" fontId="3" numFmtId="164" xfId="0" applyBorder="1" applyFont="1" applyNumberFormat="1"/>
    <xf borderId="25" fillId="5" fontId="0" numFmtId="164" xfId="0" applyBorder="1" applyFont="1" applyNumberFormat="1"/>
    <xf borderId="26" fillId="5" fontId="0" numFmtId="164" xfId="0" applyBorder="1" applyFont="1" applyNumberFormat="1"/>
    <xf borderId="27" fillId="5" fontId="3" numFmtId="164" xfId="0" applyBorder="1" applyFont="1" applyNumberFormat="1"/>
    <xf borderId="27" fillId="5" fontId="0" numFmtId="164" xfId="0" applyBorder="1" applyFont="1" applyNumberFormat="1"/>
    <xf borderId="4" fillId="0" fontId="0" numFmtId="164" xfId="0" applyBorder="1" applyFont="1" applyNumberFormat="1"/>
    <xf borderId="5" fillId="0" fontId="0" numFmtId="164" xfId="0" applyBorder="1" applyFont="1" applyNumberFormat="1"/>
    <xf borderId="2" fillId="0" fontId="0" numFmtId="164" xfId="0" applyBorder="1" applyFont="1" applyNumberFormat="1"/>
    <xf borderId="14" fillId="0" fontId="0" numFmtId="0" xfId="0" applyAlignment="1" applyBorder="1" applyFont="1">
      <alignment readingOrder="0"/>
    </xf>
    <xf borderId="16" fillId="0" fontId="0" numFmtId="9" xfId="0" applyAlignment="1" applyBorder="1" applyFont="1" applyNumberForma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10" xfId="0" applyBorder="1" applyFont="1" applyNumberFormat="1"/>
    <xf borderId="10" fillId="0" fontId="3" numFmtId="0" xfId="0" applyBorder="1" applyFont="1"/>
    <xf borderId="11" fillId="0" fontId="3" numFmtId="164" xfId="0" applyBorder="1" applyFont="1" applyNumberFormat="1"/>
    <xf borderId="12" fillId="0" fontId="3" numFmtId="164" xfId="0" applyBorder="1" applyFont="1" applyNumberFormat="1"/>
    <xf borderId="13" fillId="0" fontId="3" numFmtId="164" xfId="0" applyBorder="1" applyFont="1" applyNumberFormat="1"/>
    <xf borderId="10" fillId="0" fontId="3" numFmtId="164" xfId="0" applyBorder="1" applyFont="1" applyNumberFormat="1"/>
    <xf borderId="28" fillId="5" fontId="3" numFmtId="164" xfId="0" applyBorder="1" applyFont="1" applyNumberFormat="1"/>
    <xf borderId="1" fillId="5" fontId="3" numFmtId="164" xfId="0" applyBorder="1" applyFont="1" applyNumberFormat="1"/>
    <xf borderId="12" fillId="2" fontId="4" numFmtId="166" xfId="0" applyBorder="1" applyFont="1" applyNumberFormat="1"/>
    <xf borderId="13" fillId="2" fontId="4" numFmtId="166" xfId="0" applyBorder="1" applyFont="1" applyNumberFormat="1"/>
    <xf borderId="10" fillId="2" fontId="4" numFmtId="166" xfId="0" applyBorder="1" applyFont="1" applyNumberFormat="1"/>
    <xf borderId="11" fillId="2" fontId="4" numFmtId="166" xfId="0" applyBorder="1" applyFont="1" applyNumberFormat="1"/>
    <xf borderId="10" fillId="2" fontId="4" numFmtId="166" xfId="0" applyAlignment="1" applyBorder="1" applyFont="1" applyNumberFormat="1">
      <alignment readingOrder="0"/>
    </xf>
    <xf borderId="18" fillId="0" fontId="0" numFmtId="167" xfId="0" applyBorder="1" applyFont="1" applyNumberFormat="1"/>
    <xf borderId="11" fillId="5" fontId="0" numFmtId="167" xfId="0" applyBorder="1" applyFont="1" applyNumberFormat="1"/>
    <xf borderId="29" fillId="0" fontId="0" numFmtId="9" xfId="0" applyBorder="1" applyFont="1" applyNumberFormat="1"/>
    <xf borderId="17" fillId="5" fontId="0" numFmtId="9" xfId="0" applyBorder="1" applyFont="1" applyNumberFormat="1"/>
    <xf borderId="3" fillId="0" fontId="0" numFmtId="166" xfId="0" applyBorder="1" applyFont="1" applyNumberFormat="1"/>
    <xf borderId="2" fillId="0" fontId="3" numFmtId="164" xfId="0" applyBorder="1" applyFont="1" applyNumberFormat="1"/>
    <xf borderId="11" fillId="5" fontId="3" numFmtId="164" xfId="0" applyBorder="1" applyFont="1" applyNumberFormat="1"/>
    <xf borderId="29" fillId="0" fontId="0" numFmtId="10" xfId="0" applyBorder="1" applyFont="1" applyNumberFormat="1"/>
    <xf borderId="15" fillId="0" fontId="0" numFmtId="167" xfId="0" applyBorder="1" applyFont="1" applyNumberFormat="1"/>
    <xf borderId="15" fillId="0" fontId="0" numFmtId="3" xfId="0" applyBorder="1" applyFont="1" applyNumberFormat="1"/>
    <xf borderId="16" fillId="0" fontId="0" numFmtId="3" xfId="0" applyBorder="1" applyFont="1" applyNumberFormat="1"/>
    <xf borderId="0" fillId="0" fontId="0" numFmtId="3" xfId="0" applyFont="1" applyNumberFormat="1"/>
    <xf borderId="11" fillId="8" fontId="0" numFmtId="4" xfId="0" applyBorder="1" applyFill="1" applyFont="1" applyNumberFormat="1"/>
    <xf borderId="14" fillId="0" fontId="0" numFmtId="3" xfId="0" applyBorder="1" applyFont="1" applyNumberFormat="1"/>
    <xf borderId="11" fillId="8" fontId="0" numFmtId="4" xfId="0" applyAlignment="1" applyBorder="1" applyFont="1" applyNumberFormat="1">
      <alignment readingOrder="0"/>
    </xf>
    <xf borderId="15" fillId="0" fontId="0" numFmtId="10" xfId="0" applyBorder="1" applyFont="1" applyNumberFormat="1"/>
    <xf borderId="17" fillId="5" fontId="0" numFmtId="10" xfId="0" applyBorder="1" applyFont="1" applyNumberFormat="1"/>
    <xf borderId="3" fillId="0" fontId="0" numFmtId="10" xfId="0" applyBorder="1" applyFont="1" applyNumberFormat="1"/>
    <xf borderId="3" fillId="0" fontId="0" numFmtId="168" xfId="0" applyBorder="1" applyFont="1" applyNumberFormat="1"/>
    <xf borderId="4" fillId="0" fontId="0" numFmtId="168" xfId="0" applyBorder="1" applyFont="1" applyNumberFormat="1"/>
    <xf borderId="2" fillId="0" fontId="0" numFmtId="9" xfId="0" applyBorder="1" applyFont="1" applyNumberFormat="1"/>
    <xf borderId="30" fillId="5" fontId="3" numFmtId="164" xfId="0" applyBorder="1" applyFont="1" applyNumberFormat="1"/>
    <xf borderId="23" fillId="0" fontId="0" numFmtId="0" xfId="0" applyBorder="1" applyFont="1"/>
    <xf borderId="24" fillId="0" fontId="0" numFmtId="0" xfId="0" applyBorder="1" applyFont="1"/>
    <xf borderId="18" fillId="0" fontId="0" numFmtId="0" xfId="0" applyBorder="1" applyFont="1"/>
    <xf borderId="23" fillId="0" fontId="0" numFmtId="3" xfId="0" applyBorder="1" applyFont="1" applyNumberFormat="1"/>
    <xf borderId="24" fillId="0" fontId="0" numFmtId="3" xfId="0" applyBorder="1" applyFont="1" applyNumberFormat="1"/>
    <xf borderId="18" fillId="0" fontId="0" numFmtId="3" xfId="0" applyBorder="1" applyFont="1" applyNumberFormat="1"/>
    <xf borderId="0" fillId="0" fontId="0" numFmtId="0" xfId="0" applyFont="1"/>
    <xf borderId="0" fillId="5" fontId="0" numFmtId="10" xfId="0" applyFont="1" applyNumberFormat="1"/>
    <xf borderId="31" fillId="0" fontId="0" numFmtId="0" xfId="0" applyBorder="1" applyFont="1"/>
    <xf borderId="32" fillId="0" fontId="0" numFmtId="0" xfId="0" applyBorder="1" applyFont="1"/>
    <xf borderId="33" fillId="0" fontId="0" numFmtId="0" xfId="0" applyBorder="1" applyFont="1"/>
    <xf borderId="0" fillId="0" fontId="5" numFmtId="0" xfId="0" applyFont="1"/>
    <xf borderId="34" fillId="0" fontId="0" numFmtId="0" xfId="0" applyBorder="1" applyFont="1"/>
    <xf borderId="35" fillId="0" fontId="0" numFmtId="0" xfId="0" applyBorder="1" applyFont="1"/>
    <xf borderId="36" fillId="0" fontId="0" numFmtId="0" xfId="0" applyBorder="1" applyFont="1"/>
    <xf borderId="37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0" fillId="0" fontId="6" numFmtId="9" xfId="0" applyFont="1" applyNumberFormat="1"/>
    <xf borderId="40" fillId="0" fontId="4" numFmtId="0" xfId="0" applyAlignment="1" applyBorder="1" applyFont="1">
      <alignment horizontal="center" shrinkToFit="0" vertical="center" wrapText="1"/>
    </xf>
    <xf borderId="41" fillId="0" fontId="4" numFmtId="0" xfId="0" applyAlignment="1" applyBorder="1" applyFont="1">
      <alignment horizontal="center" shrinkToFit="0" vertical="center" wrapText="1"/>
    </xf>
    <xf borderId="42" fillId="0" fontId="4" numFmtId="0" xfId="0" applyAlignment="1" applyBorder="1" applyFont="1">
      <alignment horizontal="center" shrinkToFit="0" vertical="center" wrapText="1"/>
    </xf>
    <xf borderId="43" fillId="0" fontId="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44" fillId="0" fontId="4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47" fillId="0" fontId="4" numFmtId="0" xfId="0" applyAlignment="1" applyBorder="1" applyFont="1">
      <alignment horizontal="center" shrinkToFit="0" vertical="center" wrapText="1"/>
    </xf>
    <xf borderId="48" fillId="0" fontId="4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46" fillId="0" fontId="0" numFmtId="0" xfId="0" applyBorder="1" applyFont="1"/>
    <xf borderId="50" fillId="0" fontId="0" numFmtId="0" xfId="0" applyBorder="1" applyFont="1"/>
    <xf borderId="51" fillId="0" fontId="0" numFmtId="0" xfId="0" applyBorder="1" applyFont="1"/>
    <xf borderId="52" fillId="0" fontId="0" numFmtId="0" xfId="0" applyBorder="1" applyFont="1"/>
    <xf borderId="53" fillId="0" fontId="0" numFmtId="0" xfId="0" applyBorder="1" applyFont="1"/>
    <xf borderId="54" fillId="0" fontId="0" numFmtId="0" xfId="0" applyBorder="1" applyFont="1"/>
    <xf borderId="55" fillId="0" fontId="0" numFmtId="0" xfId="0" applyBorder="1" applyFont="1"/>
    <xf borderId="56" fillId="0" fontId="0" numFmtId="0" xfId="0" applyBorder="1" applyFont="1"/>
    <xf borderId="57" fillId="0" fontId="0" numFmtId="0" xfId="0" applyBorder="1" applyFont="1"/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60" fillId="0" fontId="0" numFmtId="0" xfId="0" applyBorder="1" applyFont="1"/>
    <xf borderId="61" fillId="0" fontId="3" numFmtId="0" xfId="0" applyBorder="1" applyFont="1"/>
    <xf borderId="44" fillId="0" fontId="0" numFmtId="0" xfId="0" applyBorder="1" applyFont="1"/>
    <xf borderId="0" fillId="0" fontId="0" numFmtId="0" xfId="0" applyFont="1"/>
    <xf borderId="0" fillId="0" fontId="3" numFmtId="0" xfId="0" applyFont="1"/>
    <xf borderId="47" fillId="0" fontId="0" numFmtId="0" xfId="0" applyBorder="1" applyFont="1"/>
    <xf borderId="48" fillId="0" fontId="0" numFmtId="0" xfId="0" applyBorder="1" applyFont="1"/>
    <xf borderId="62" fillId="0" fontId="0" numFmtId="0" xfId="0" applyBorder="1" applyFont="1"/>
    <xf borderId="40" fillId="0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2" fillId="0" fontId="4" numFmtId="0" xfId="0" applyAlignment="1" applyBorder="1" applyFont="1">
      <alignment shrinkToFit="0" vertical="top" wrapText="1"/>
    </xf>
    <xf borderId="42" fillId="0" fontId="4" numFmtId="1" xfId="0" applyAlignment="1" applyBorder="1" applyFont="1" applyNumberFormat="1">
      <alignment shrinkToFit="0" vertical="top" wrapText="1"/>
    </xf>
    <xf borderId="43" fillId="0" fontId="4" numFmtId="0" xfId="0" applyAlignment="1" applyBorder="1" applyFont="1">
      <alignment shrinkToFit="0" vertical="top" wrapText="1"/>
    </xf>
    <xf borderId="0" fillId="0" fontId="3" numFmtId="0" xfId="0" applyFont="1"/>
    <xf borderId="45" fillId="0" fontId="6" numFmtId="0" xfId="0" applyBorder="1" applyFont="1"/>
    <xf borderId="45" fillId="0" fontId="6" numFmtId="1" xfId="0" applyAlignment="1" applyBorder="1" applyFont="1" applyNumberFormat="1">
      <alignment readingOrder="0"/>
    </xf>
    <xf borderId="46" fillId="0" fontId="6" numFmtId="164" xfId="0" applyBorder="1" applyFont="1" applyNumberFormat="1"/>
    <xf borderId="46" fillId="0" fontId="6" numFmtId="1" xfId="0" applyBorder="1" applyFont="1" applyNumberFormat="1"/>
    <xf borderId="46" fillId="0" fontId="6" numFmtId="0" xfId="0" applyAlignment="1" applyBorder="1" applyFont="1">
      <alignment readingOrder="0"/>
    </xf>
    <xf borderId="63" fillId="0" fontId="6" numFmtId="164" xfId="0" applyBorder="1" applyFont="1" applyNumberFormat="1"/>
    <xf borderId="0" fillId="0" fontId="0" numFmtId="0" xfId="0" applyFont="1"/>
    <xf borderId="41" fillId="0" fontId="6" numFmtId="0" xfId="0" applyBorder="1" applyFont="1"/>
    <xf borderId="55" fillId="0" fontId="6" numFmtId="164" xfId="0" applyBorder="1" applyFont="1" applyNumberFormat="1"/>
    <xf borderId="55" fillId="0" fontId="6" numFmtId="1" xfId="0" applyBorder="1" applyFont="1" applyNumberFormat="1"/>
    <xf borderId="64" fillId="0" fontId="6" numFmtId="164" xfId="0" applyBorder="1" applyFont="1" applyNumberFormat="1"/>
    <xf borderId="12" fillId="0" fontId="4" numFmtId="0" xfId="0" applyBorder="1" applyFont="1"/>
    <xf borderId="60" fillId="0" fontId="4" numFmtId="164" xfId="0" applyBorder="1" applyFont="1" applyNumberFormat="1"/>
    <xf borderId="60" fillId="0" fontId="4" numFmtId="1" xfId="0" applyBorder="1" applyFont="1" applyNumberFormat="1"/>
    <xf borderId="60" fillId="0" fontId="6" numFmtId="1" xfId="0" applyBorder="1" applyFont="1" applyNumberFormat="1"/>
    <xf borderId="61" fillId="0" fontId="4" numFmtId="164" xfId="0" applyBorder="1" applyFont="1" applyNumberFormat="1"/>
    <xf borderId="4" fillId="0" fontId="6" numFmtId="0" xfId="0" applyBorder="1" applyFont="1"/>
    <xf borderId="65" fillId="0" fontId="6" numFmtId="164" xfId="0" applyBorder="1" applyFont="1" applyNumberFormat="1"/>
    <xf borderId="50" fillId="0" fontId="6" numFmtId="1" xfId="0" applyBorder="1" applyFont="1" applyNumberFormat="1"/>
    <xf borderId="43" fillId="0" fontId="6" numFmtId="164" xfId="0" applyBorder="1" applyFont="1" applyNumberFormat="1"/>
    <xf borderId="12" fillId="0" fontId="6" numFmtId="0" xfId="0" applyBorder="1" applyFont="1"/>
    <xf borderId="61" fillId="0" fontId="6" numFmtId="164" xfId="0" applyBorder="1" applyFont="1" applyNumberFormat="1"/>
    <xf borderId="66" fillId="0" fontId="6" numFmtId="164" xfId="0" applyBorder="1" applyFont="1" applyNumberFormat="1"/>
    <xf borderId="23" fillId="0" fontId="6" numFmtId="0" xfId="0" applyBorder="1" applyFont="1"/>
    <xf borderId="67" fillId="0" fontId="6" numFmtId="164" xfId="0" applyBorder="1" applyFont="1" applyNumberFormat="1"/>
    <xf borderId="68" fillId="0" fontId="6" numFmtId="164" xfId="0" applyBorder="1" applyFont="1" applyNumberFormat="1"/>
    <xf borderId="58" fillId="0" fontId="6" numFmtId="0" xfId="0" applyBorder="1" applyFont="1"/>
    <xf borderId="0" fillId="0" fontId="0" numFmtId="1" xfId="0" applyFont="1" applyNumberFormat="1"/>
    <xf borderId="50" fillId="0" fontId="6" numFmtId="1" xfId="0" applyBorder="1" applyFont="1" applyNumberFormat="1"/>
    <xf borderId="46" fillId="0" fontId="6" numFmtId="0" xfId="0" applyBorder="1" applyFont="1"/>
    <xf borderId="69" fillId="0" fontId="4" numFmtId="0" xfId="0" applyAlignment="1" applyBorder="1" applyFont="1">
      <alignment shrinkToFit="0" vertical="top" wrapText="1"/>
    </xf>
    <xf borderId="46" fillId="0" fontId="6" numFmtId="0" xfId="0" applyBorder="1" applyFont="1"/>
    <xf borderId="49" fillId="0" fontId="6" numFmtId="0" xfId="0" applyBorder="1" applyFont="1"/>
    <xf borderId="50" fillId="0" fontId="6" numFmtId="164" xfId="0" applyBorder="1" applyFont="1" applyNumberFormat="1"/>
    <xf borderId="70" fillId="0" fontId="6" numFmtId="164" xfId="0" applyBorder="1" applyFont="1" applyNumberFormat="1"/>
    <xf borderId="52" fillId="0" fontId="6" numFmtId="0" xfId="0" applyBorder="1" applyFont="1"/>
    <xf borderId="71" fillId="0" fontId="6" numFmtId="0" xfId="0" applyBorder="1" applyFont="1"/>
    <xf borderId="54" fillId="0" fontId="6" numFmtId="0" xfId="0" applyBorder="1" applyFont="1"/>
    <xf borderId="72" fillId="0" fontId="6" numFmtId="164" xfId="0" applyBorder="1" applyFont="1" applyNumberFormat="1"/>
    <xf borderId="73" fillId="0" fontId="6" numFmtId="164" xfId="0" applyBorder="1" applyFont="1" applyNumberFormat="1"/>
    <xf borderId="11" fillId="0" fontId="4" numFmtId="164" xfId="0" applyBorder="1" applyFont="1" applyNumberFormat="1"/>
    <xf borderId="5" fillId="0" fontId="4" numFmtId="0" xfId="0" applyBorder="1" applyFont="1"/>
    <xf borderId="3" fillId="0" fontId="4" numFmtId="0" xfId="0" applyBorder="1" applyFont="1"/>
    <xf borderId="40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74" fillId="0" fontId="6" numFmtId="0" xfId="0" applyBorder="1" applyFont="1"/>
    <xf borderId="75" fillId="0" fontId="6" numFmtId="0" xfId="0" applyBorder="1" applyFont="1"/>
    <xf borderId="45" fillId="0" fontId="6" numFmtId="164" xfId="0" applyBorder="1" applyFont="1" applyNumberFormat="1"/>
    <xf borderId="50" fillId="0" fontId="6" numFmtId="0" xfId="0" applyAlignment="1" applyBorder="1" applyFont="1">
      <alignment readingOrder="0"/>
    </xf>
    <xf borderId="50" fillId="0" fontId="6" numFmtId="0" xfId="0" applyBorder="1" applyFont="1"/>
    <xf borderId="76" fillId="0" fontId="6" numFmtId="0" xfId="0" applyBorder="1" applyFont="1"/>
    <xf borderId="77" fillId="0" fontId="6" numFmtId="0" xfId="0" applyBorder="1" applyFont="1"/>
    <xf borderId="62" fillId="0" fontId="6" numFmtId="164" xfId="0" applyBorder="1" applyFont="1" applyNumberFormat="1"/>
    <xf borderId="78" fillId="0" fontId="6" numFmtId="0" xfId="0" applyBorder="1" applyFont="1"/>
    <xf borderId="79" fillId="0" fontId="6" numFmtId="0" xfId="0" applyBorder="1" applyFont="1"/>
    <xf borderId="57" fillId="0" fontId="6" numFmtId="164" xfId="0" applyBorder="1" applyFont="1" applyNumberFormat="1"/>
    <xf borderId="55" fillId="0" fontId="6" numFmtId="0" xfId="0" applyBorder="1" applyFont="1"/>
    <xf borderId="24" fillId="0" fontId="4" numFmtId="0" xfId="0" applyBorder="1" applyFont="1"/>
    <xf borderId="29" fillId="0" fontId="4" numFmtId="0" xfId="0" applyBorder="1" applyFont="1"/>
    <xf borderId="18" fillId="0" fontId="4" numFmtId="164" xfId="0" applyBorder="1" applyFont="1" applyNumberFormat="1"/>
    <xf borderId="67" fillId="0" fontId="4" numFmtId="0" xfId="0" applyBorder="1" applyFont="1"/>
    <xf borderId="68" fillId="0" fontId="4" numFmtId="164" xfId="0" applyBorder="1" applyFont="1" applyNumberFormat="1"/>
    <xf borderId="13" fillId="0" fontId="6" numFmtId="0" xfId="0" applyBorder="1" applyFont="1"/>
    <xf borderId="11" fillId="0" fontId="6" numFmtId="0" xfId="0" applyBorder="1" applyFont="1"/>
    <xf borderId="59" fillId="0" fontId="6" numFmtId="164" xfId="0" applyBorder="1" applyFont="1" applyNumberFormat="1"/>
    <xf borderId="60" fillId="0" fontId="6" numFmtId="0" xfId="0" applyBorder="1" applyFont="1"/>
    <xf borderId="0" fillId="0" fontId="0" numFmtId="165" xfId="0" applyFont="1" applyNumberFormat="1"/>
    <xf borderId="58" fillId="0" fontId="3" numFmtId="0" xfId="0" applyBorder="1" applyFont="1"/>
    <xf borderId="60" fillId="0" fontId="3" numFmtId="0" xfId="0" applyBorder="1" applyFont="1"/>
    <xf borderId="61" fillId="0" fontId="3" numFmtId="0" xfId="0" applyBorder="1" applyFont="1"/>
    <xf borderId="0" fillId="0" fontId="6" numFmtId="0" xfId="0" applyFont="1"/>
    <xf borderId="49" fillId="0" fontId="0" numFmtId="0" xfId="0" applyBorder="1" applyFont="1"/>
    <xf borderId="50" fillId="0" fontId="0" numFmtId="0" xfId="0" applyBorder="1" applyFont="1"/>
    <xf borderId="50" fillId="0" fontId="0" numFmtId="0" xfId="0" applyAlignment="1" applyBorder="1" applyFont="1">
      <alignment readingOrder="0"/>
    </xf>
    <xf borderId="51" fillId="0" fontId="0" numFmtId="10" xfId="0" applyBorder="1" applyFont="1" applyNumberFormat="1"/>
    <xf borderId="52" fillId="0" fontId="0" numFmtId="0" xfId="0" applyBorder="1" applyFont="1"/>
    <xf borderId="46" fillId="0" fontId="0" numFmtId="0" xfId="0" applyBorder="1" applyFont="1"/>
    <xf borderId="53" fillId="0" fontId="0" numFmtId="10" xfId="0" applyBorder="1" applyFont="1" applyNumberFormat="1"/>
    <xf borderId="46" fillId="0" fontId="0" numFmtId="0" xfId="0" applyAlignment="1" applyBorder="1" applyFont="1">
      <alignment readingOrder="0"/>
    </xf>
    <xf borderId="52" fillId="7" fontId="0" numFmtId="0" xfId="0" applyBorder="1" applyFont="1"/>
    <xf borderId="46" fillId="7" fontId="0" numFmtId="0" xfId="0" applyBorder="1" applyFont="1"/>
    <xf borderId="46" fillId="7" fontId="0" numFmtId="164" xfId="0" applyBorder="1" applyFont="1" applyNumberFormat="1"/>
    <xf borderId="53" fillId="7" fontId="0" numFmtId="10" xfId="0" applyBorder="1" applyFont="1" applyNumberFormat="1"/>
    <xf borderId="46" fillId="0" fontId="0" numFmtId="1" xfId="0" applyAlignment="1" applyBorder="1" applyFont="1" applyNumberFormat="1">
      <alignment readingOrder="0"/>
    </xf>
    <xf borderId="46" fillId="0" fontId="0" numFmtId="164" xfId="0" applyBorder="1" applyFont="1" applyNumberFormat="1"/>
    <xf borderId="46" fillId="0" fontId="0" numFmtId="165" xfId="0" applyBorder="1" applyFont="1" applyNumberFormat="1"/>
    <xf borderId="54" fillId="0" fontId="0" numFmtId="0" xfId="0" applyBorder="1" applyFont="1"/>
    <xf borderId="55" fillId="0" fontId="0" numFmtId="0" xfId="0" applyBorder="1" applyFont="1"/>
    <xf borderId="55" fillId="0" fontId="0" numFmtId="165" xfId="0" applyBorder="1" applyFont="1" applyNumberFormat="1"/>
    <xf borderId="56" fillId="0" fontId="0" numFmtId="10" xfId="0" applyBorder="1" applyFont="1" applyNumberFormat="1"/>
    <xf borderId="58" fillId="0" fontId="0" numFmtId="0" xfId="0" applyBorder="1" applyFont="1"/>
    <xf borderId="60" fillId="0" fontId="0" numFmtId="0" xfId="0" applyBorder="1" applyFont="1"/>
    <xf borderId="60" fillId="0" fontId="0" numFmtId="165" xfId="0" applyBorder="1" applyFont="1" applyNumberFormat="1"/>
    <xf borderId="80" fillId="2" fontId="4" numFmtId="0" xfId="0" applyBorder="1" applyFont="1"/>
    <xf borderId="80" fillId="2" fontId="4" numFmtId="0" xfId="0" applyAlignment="1" applyBorder="1" applyFont="1">
      <alignment readingOrder="0"/>
    </xf>
    <xf borderId="81" fillId="2" fontId="4" numFmtId="0" xfId="0" applyBorder="1" applyFont="1"/>
    <xf borderId="81" fillId="2" fontId="4" numFmtId="165" xfId="0" applyBorder="1" applyFont="1" applyNumberFormat="1"/>
    <xf borderId="0" fillId="2" fontId="5" numFmtId="0" xfId="0" applyFont="1"/>
    <xf borderId="1" fillId="2" fontId="0" numFmtId="0" xfId="0" applyAlignment="1" applyBorder="1" applyFont="1">
      <alignment readingOrder="0"/>
    </xf>
    <xf borderId="82" fillId="9" fontId="6" numFmtId="0" xfId="0" applyBorder="1" applyFill="1" applyFont="1"/>
    <xf borderId="82" fillId="9" fontId="6" numFmtId="0" xfId="0" applyAlignment="1" applyBorder="1" applyFont="1">
      <alignment readingOrder="0"/>
    </xf>
    <xf borderId="46" fillId="9" fontId="6" numFmtId="0" xfId="0" applyAlignment="1" applyBorder="1" applyFont="1">
      <alignment readingOrder="0"/>
    </xf>
    <xf borderId="46" fillId="9" fontId="6" numFmtId="0" xfId="0" applyBorder="1" applyFont="1"/>
    <xf borderId="83" fillId="9" fontId="6" numFmtId="9" xfId="0" applyBorder="1" applyFont="1" applyNumberFormat="1"/>
    <xf borderId="83" fillId="9" fontId="6" numFmtId="165" xfId="0" applyBorder="1" applyFont="1" applyNumberFormat="1"/>
    <xf borderId="0" fillId="0" fontId="6" numFmtId="165" xfId="0" applyFont="1" applyNumberFormat="1"/>
    <xf borderId="82" fillId="10" fontId="6" numFmtId="0" xfId="0" applyBorder="1" applyFill="1" applyFont="1"/>
    <xf borderId="46" fillId="10" fontId="6" numFmtId="0" xfId="0" applyAlignment="1" applyBorder="1" applyFont="1">
      <alignment readingOrder="0"/>
    </xf>
    <xf borderId="46" fillId="10" fontId="6" numFmtId="0" xfId="0" applyBorder="1" applyFont="1"/>
    <xf borderId="83" fillId="10" fontId="6" numFmtId="9" xfId="0" applyBorder="1" applyFont="1" applyNumberFormat="1"/>
    <xf borderId="83" fillId="10" fontId="6" numFmtId="165" xfId="0" applyBorder="1" applyFont="1" applyNumberFormat="1"/>
    <xf borderId="82" fillId="10" fontId="6" numFmtId="0" xfId="0" applyAlignment="1" applyBorder="1" applyFont="1">
      <alignment readingOrder="0"/>
    </xf>
    <xf borderId="82" fillId="11" fontId="6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62" fillId="0" fontId="6" numFmtId="0" xfId="0" applyBorder="1" applyFont="1"/>
    <xf borderId="63" fillId="0" fontId="6" numFmtId="9" xfId="0" applyBorder="1" applyFont="1" applyNumberFormat="1"/>
    <xf borderId="63" fillId="0" fontId="6" numFmtId="165" xfId="0" applyBorder="1" applyFont="1" applyNumberFormat="1"/>
    <xf borderId="0" fillId="0" fontId="5" numFmtId="0" xfId="0" applyFont="1"/>
    <xf borderId="0" fillId="0" fontId="6" numFmtId="0" xfId="0" applyFont="1"/>
    <xf borderId="46" fillId="0" fontId="6" numFmtId="170" xfId="0" applyBorder="1" applyFont="1" applyNumberFormat="1"/>
    <xf borderId="57" fillId="0" fontId="6" numFmtId="0" xfId="0" applyBorder="1" applyFont="1"/>
    <xf borderId="64" fillId="0" fontId="6" numFmtId="9" xfId="0" applyBorder="1" applyFont="1" applyNumberFormat="1"/>
    <xf borderId="61" fillId="0" fontId="3" numFmtId="164" xfId="0" applyBorder="1" applyFont="1" applyNumberFormat="1"/>
    <xf borderId="61" fillId="0" fontId="3" numFmtId="171" xfId="0" applyBorder="1" applyFont="1" applyNumberFormat="1"/>
    <xf borderId="50" fillId="0" fontId="0" numFmtId="164" xfId="0" applyBorder="1" applyFont="1" applyNumberFormat="1"/>
    <xf borderId="50" fillId="0" fontId="0" numFmtId="171" xfId="0" applyBorder="1" applyFont="1" applyNumberFormat="1"/>
    <xf borderId="51" fillId="0" fontId="0" numFmtId="171" xfId="0" applyBorder="1" applyFont="1" applyNumberFormat="1"/>
    <xf borderId="60" fillId="0" fontId="3" numFmtId="164" xfId="0" applyBorder="1" applyFont="1" applyNumberFormat="1"/>
    <xf borderId="60" fillId="0" fontId="3" numFmtId="171" xfId="0" applyBorder="1" applyFont="1" applyNumberFormat="1"/>
    <xf borderId="46" fillId="0" fontId="0" numFmtId="171" xfId="0" applyBorder="1" applyFont="1" applyNumberFormat="1"/>
    <xf borderId="53" fillId="0" fontId="0" numFmtId="171" xfId="0" applyBorder="1" applyFont="1" applyNumberFormat="1"/>
    <xf borderId="0" fillId="0" fontId="0" numFmtId="171" xfId="0" applyFont="1" applyNumberFormat="1"/>
    <xf borderId="55" fillId="0" fontId="0" numFmtId="171" xfId="0" applyBorder="1" applyFont="1" applyNumberFormat="1"/>
    <xf borderId="56" fillId="0" fontId="0" numFmtId="171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BB59"/>
          <bgColor rgb="FF9BBB59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37">
    <tableStyle count="3" pivot="0" name="План БДР-style">
      <tableStyleElement dxfId="1" type="headerRow"/>
      <tableStyleElement dxfId="2" type="firstRowStripe"/>
      <tableStyleElement dxfId="3" type="secondRowStripe"/>
    </tableStyle>
    <tableStyle count="2" pivot="0" name="План БДР-style 2">
      <tableStyleElement dxfId="2" type="firstRowStripe"/>
      <tableStyleElement dxfId="3" type="secondRowStripe"/>
    </tableStyle>
    <tableStyle count="2" pivot="0" name="План БДР-style 3">
      <tableStyleElement dxfId="2" type="firstRowStripe"/>
      <tableStyleElement dxfId="3" type="secondRowStripe"/>
    </tableStyle>
    <tableStyle count="2" pivot="0" name="План БДР-style 4">
      <tableStyleElement dxfId="3" type="firstRowStripe"/>
      <tableStyleElement dxfId="2" type="secondRowStripe"/>
    </tableStyle>
    <tableStyle count="3" pivot="0" name="Маркетинг Ожидания-style">
      <tableStyleElement dxfId="1" type="headerRow"/>
      <tableStyleElement dxfId="2" type="firstRowStripe"/>
      <tableStyleElement dxfId="3" type="secondRowStripe"/>
    </tableStyle>
    <tableStyle count="2" pivot="0" name="Маркетинг Ожидания-style 2">
      <tableStyleElement dxfId="2" type="firstRowStripe"/>
      <tableStyleElement dxfId="3" type="secondRowStripe"/>
    </tableStyle>
    <tableStyle count="2" pivot="0" name="Маркетинг Ожидания-style 3">
      <tableStyleElement dxfId="3" type="firstRowStripe"/>
      <tableStyleElement dxfId="2" type="secondRowStripe"/>
    </tableStyle>
    <tableStyle count="3" pivot="0" name="ПО и техническая часть-style">
      <tableStyleElement dxfId="1" type="headerRow"/>
      <tableStyleElement dxfId="2" type="firstRowStripe"/>
      <tableStyleElement dxfId="3" type="secondRowStripe"/>
    </tableStyle>
    <tableStyle count="3" pivot="0" name="Штатный персонал-style">
      <tableStyleElement dxfId="1" type="headerRow"/>
      <tableStyleElement dxfId="2" type="firstRowStripe"/>
      <tableStyleElement dxfId="3" type="secondRowStripe"/>
    </tableStyle>
    <tableStyle count="3" pivot="0" name="Штатный персонал-style 2">
      <tableStyleElement dxfId="1" type="headerRow"/>
      <tableStyleElement dxfId="2" type="firstRowStripe"/>
      <tableStyleElement dxfId="3" type="secondRowStripe"/>
    </tableStyle>
    <tableStyle count="3" pivot="0" name="Командировочные расходы-style">
      <tableStyleElement dxfId="1" type="headerRow"/>
      <tableStyleElement dxfId="2" type="firstRowStripe"/>
      <tableStyleElement dxfId="3" type="secondRowStripe"/>
    </tableStyle>
    <tableStyle count="2" pivot="0" name="Планообразующие услуги-style">
      <tableStyleElement dxfId="2" type="firstRowStripe"/>
      <tableStyleElement dxfId="3" type="secondRowStripe"/>
    </tableStyle>
    <tableStyle count="2" pivot="0" name="Планообразующие услуги-style 2">
      <tableStyleElement dxfId="2" type="firstRowStripe"/>
      <tableStyleElement dxfId="3" type="secondRowStripe"/>
    </tableStyle>
    <tableStyle count="2" pivot="0" name="Планообразующие услуги-style 3">
      <tableStyleElement dxfId="2" type="firstRowStripe"/>
      <tableStyleElement dxfId="3" type="secondRowStripe"/>
    </tableStyle>
    <tableStyle count="2" pivot="0" name="Планообразующие услуги-style 4">
      <tableStyleElement dxfId="2" type="firstRowStripe"/>
      <tableStyleElement dxfId="3" type="secondRowStripe"/>
    </tableStyle>
    <tableStyle count="2" pivot="0" name="Планообразующие услуги-style 5">
      <tableStyleElement dxfId="2" type="firstRowStripe"/>
      <tableStyleElement dxfId="3" type="secondRowStripe"/>
    </tableStyle>
    <tableStyle count="2" pivot="0" name="Планообразующие услуги-style 6">
      <tableStyleElement dxfId="3" type="firstRowStripe"/>
      <tableStyleElement dxfId="2" type="secondRowStripe"/>
    </tableStyle>
    <tableStyle count="2" pivot="0" name="Планообразующие услуги-style 7">
      <tableStyleElement dxfId="2" type="firstRowStripe"/>
      <tableStyleElement dxfId="3" type="secondRowStripe"/>
    </tableStyle>
    <tableStyle count="2" pivot="0" name="Планообразующие услуги-style 8">
      <tableStyleElement dxfId="2" type="firstRowStripe"/>
      <tableStyleElement dxfId="3" type="secondRowStripe"/>
    </tableStyle>
    <tableStyle count="2" pivot="0" name="Планообразующие услуги-style 9">
      <tableStyleElement dxfId="2" type="firstRowStripe"/>
      <tableStyleElement dxfId="3" type="secondRowStripe"/>
    </tableStyle>
    <tableStyle count="2" pivot="0" name="Планообразующие услуги-style 10">
      <tableStyleElement dxfId="3" type="firstRowStripe"/>
      <tableStyleElement dxfId="2" type="secondRowStripe"/>
    </tableStyle>
    <tableStyle count="2" pivot="0" name="Планообразующие услуги-style 11">
      <tableStyleElement dxfId="3" type="firstRowStripe"/>
      <tableStyleElement dxfId="2" type="secondRowStripe"/>
    </tableStyle>
    <tableStyle count="2" pivot="0" name="Планообразующие услуги-style 12">
      <tableStyleElement dxfId="2" type="firstRowStripe"/>
      <tableStyleElement dxfId="3" type="secondRowStripe"/>
    </tableStyle>
    <tableStyle count="2" pivot="0" name="Планообразующие услуги-style 13">
      <tableStyleElement dxfId="2" type="firstRowStripe"/>
      <tableStyleElement dxfId="3" type="secondRowStripe"/>
    </tableStyle>
    <tableStyle count="2" pivot="0" name="Планообразующие услуги-style 14">
      <tableStyleElement dxfId="3" type="firstRowStripe"/>
      <tableStyleElement dxfId="2" type="secondRowStripe"/>
    </tableStyle>
    <tableStyle count="2" pivot="0" name="Планообразующие услуги-style 15">
      <tableStyleElement dxfId="2" type="firstRowStripe"/>
      <tableStyleElement dxfId="3" type="secondRowStripe"/>
    </tableStyle>
    <tableStyle count="2" pivot="0" name="Планообразующие услуги-style 16">
      <tableStyleElement dxfId="3" type="firstRowStripe"/>
      <tableStyleElement dxfId="2" type="secondRowStripe"/>
    </tableStyle>
    <tableStyle count="2" pivot="0" name="Планообразующие услуги-style 17">
      <tableStyleElement dxfId="2" type="firstRowStripe"/>
      <tableStyleElement dxfId="3" type="secondRowStripe"/>
    </tableStyle>
    <tableStyle count="2" pivot="0" name="Планообразующие услуги-style 18">
      <tableStyleElement dxfId="2" type="firstRowStripe"/>
      <tableStyleElement dxfId="3" type="secondRowStripe"/>
    </tableStyle>
    <tableStyle count="2" pivot="0" name="Планообразующие услуги-style 19">
      <tableStyleElement dxfId="2" type="firstRowStripe"/>
      <tableStyleElement dxfId="3" type="secondRowStripe"/>
    </tableStyle>
    <tableStyle count="2" pivot="0" name="Планообразующие услуги-style 20">
      <tableStyleElement dxfId="2" type="firstRowStripe"/>
      <tableStyleElement dxfId="3" type="secondRowStripe"/>
    </tableStyle>
    <tableStyle count="2" pivot="0" name="Планообразующие услуги-style 21">
      <tableStyleElement dxfId="3" type="firstRowStripe"/>
      <tableStyleElement dxfId="2" type="secondRowStripe"/>
    </tableStyle>
    <tableStyle count="2" pivot="0" name="Планообразующие услуги-style 22">
      <tableStyleElement dxfId="3" type="firstRowStripe"/>
      <tableStyleElement dxfId="2" type="secondRowStripe"/>
    </tableStyle>
    <tableStyle count="2" pivot="0" name="Планообразующие услуги-style 23">
      <tableStyleElement dxfId="2" type="firstRowStripe"/>
      <tableStyleElement dxfId="3" type="secondRowStripe"/>
    </tableStyle>
    <tableStyle count="2" pivot="0" name="Планообразующие услуги-style 24">
      <tableStyleElement dxfId="3" type="firstRowStripe"/>
      <tableStyleElement dxfId="2" type="secondRowStripe"/>
    </tableStyle>
    <tableStyle count="2" pivot="0" name="Планообразующие услуги-style 25">
      <tableStyleElement dxfId="3" type="firstRowStripe"/>
      <tableStyleElement dxfId="2" type="secondRowStripe"/>
    </tableStyle>
    <tableStyle count="2" pivot="0" name="Планообразующие услуги-style 2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'План БДР'!$AI$17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'План БДР'!$AH$18:$AH$23</c:f>
            </c:strRef>
          </c:cat>
          <c:val>
            <c:numRef>
              <c:f>'План БДР'!$AI$18:$AI$23</c:f>
              <c:numCache/>
            </c:numRef>
          </c:val>
        </c:ser>
        <c:axId val="659718347"/>
        <c:axId val="1515711506"/>
      </c:barChart>
      <c:catAx>
        <c:axId val="65971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711506"/>
      </c:catAx>
      <c:valAx>
        <c:axId val="1515711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1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 Выручка ожидаемая и  Потеря в выручке, руб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1'!$A$2</c:f>
            </c:strRef>
          </c:tx>
          <c:cat>
            <c:strRef>
              <c:f>'Сводная таблица 1'!$B$1:$E$1</c:f>
            </c:strRef>
          </c:cat>
          <c:val>
            <c:numRef>
              <c:f>'Сводная таблица 1'!$B$2:$E$2</c:f>
              <c:numCache/>
            </c:numRef>
          </c:val>
        </c:ser>
        <c:ser>
          <c:idx val="1"/>
          <c:order val="1"/>
          <c:tx>
            <c:strRef>
              <c:f>'Сводная таблица 1'!$A$8</c:f>
            </c:strRef>
          </c:tx>
          <c:cat>
            <c:strRef>
              <c:f>'Сводная таблица 1'!$B$1:$E$1</c:f>
            </c:strRef>
          </c:cat>
          <c:val>
            <c:numRef>
              <c:f>'Сводная таблица 1'!$B$8:$E$8</c:f>
              <c:numCache/>
            </c:numRef>
          </c:val>
        </c:ser>
        <c:axId val="1783656853"/>
        <c:axId val="1079931463"/>
      </c:barChart>
      <c:catAx>
        <c:axId val="1783656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 Показатель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79931463"/>
      </c:catAx>
      <c:valAx>
        <c:axId val="10799314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36568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Коммерческие расходы и Ожидаемые затраты на РК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1'!$A$4</c:f>
            </c:strRef>
          </c:tx>
          <c:cat>
            <c:strRef>
              <c:f>'Сводная таблица 1'!$B$1:$E$1</c:f>
            </c:strRef>
          </c:cat>
          <c:val>
            <c:numRef>
              <c:f>'Сводная таблица 1'!$B$4:$E$4</c:f>
              <c:numCache/>
            </c:numRef>
          </c:val>
        </c:ser>
        <c:ser>
          <c:idx val="1"/>
          <c:order val="1"/>
          <c:tx>
            <c:strRef>
              <c:f>'Сводная таблица 1'!$A$7</c:f>
            </c:strRef>
          </c:tx>
          <c:cat>
            <c:strRef>
              <c:f>'Сводная таблица 1'!$B$1:$E$1</c:f>
            </c:strRef>
          </c:cat>
          <c:val>
            <c:numRef>
              <c:f>'Сводная таблица 1'!$B$7:$E$7</c:f>
              <c:numCache/>
            </c:numRef>
          </c:val>
        </c:ser>
        <c:axId val="1150520947"/>
        <c:axId val="1256584855"/>
      </c:barChart>
      <c:catAx>
        <c:axId val="115052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 Показатель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56584855"/>
      </c:catAx>
      <c:valAx>
        <c:axId val="12565848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505209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1'!$B$12</c:f>
              <c:numCache/>
            </c:numRef>
          </c:val>
        </c:ser>
        <c:ser>
          <c:idx val="1"/>
          <c:order val="1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1'!$C$12</c:f>
              <c:numCache/>
            </c:numRef>
          </c:val>
        </c:ser>
        <c:ser>
          <c:idx val="2"/>
          <c:order val="2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1'!$D$12</c:f>
              <c:numCache/>
            </c:numRef>
          </c:val>
        </c:ser>
        <c:ser>
          <c:idx val="3"/>
          <c:order val="3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1'!$E$12</c:f>
              <c:numCache/>
            </c:numRef>
          </c:val>
        </c:ser>
        <c:axId val="320724773"/>
        <c:axId val="125393260"/>
      </c:barChart>
      <c:catAx>
        <c:axId val="320724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5393260"/>
      </c:catAx>
      <c:valAx>
        <c:axId val="12539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207247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1'!$A$11</c:f>
            </c:strRef>
          </c:cat>
          <c:val>
            <c:numRef>
              <c:f>'Сводная таблица 1'!$B$11</c:f>
              <c:numCache/>
            </c:numRef>
          </c:val>
        </c:ser>
        <c:ser>
          <c:idx val="1"/>
          <c:order val="1"/>
          <c:cat>
            <c:strRef>
              <c:f>'Сводная таблица 1'!$A$11</c:f>
            </c:strRef>
          </c:cat>
          <c:val>
            <c:numRef>
              <c:f>'Сводная таблица 1'!$C$11</c:f>
              <c:numCache/>
            </c:numRef>
          </c:val>
        </c:ser>
        <c:ser>
          <c:idx val="2"/>
          <c:order val="2"/>
          <c:cat>
            <c:strRef>
              <c:f>'Сводная таблица 1'!$A$11</c:f>
            </c:strRef>
          </c:cat>
          <c:val>
            <c:numRef>
              <c:f>'Сводная таблица 1'!$D$11</c:f>
              <c:numCache/>
            </c:numRef>
          </c:val>
        </c:ser>
        <c:ser>
          <c:idx val="3"/>
          <c:order val="3"/>
          <c:cat>
            <c:strRef>
              <c:f>'Сводная таблица 1'!$A$11</c:f>
            </c:strRef>
          </c:cat>
          <c:val>
            <c:numRef>
              <c:f>'Сводная таблица 1'!$E$11</c:f>
              <c:numCache/>
            </c:numRef>
          </c:val>
        </c:ser>
        <c:axId val="21119254"/>
        <c:axId val="545239406"/>
      </c:barChart>
      <c:catAx>
        <c:axId val="21119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45239406"/>
      </c:catAx>
      <c:valAx>
        <c:axId val="5452394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1192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'План БДР'!$AI$17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'План БДР'!$AH$18:$AH$23</c:f>
            </c:strRef>
          </c:cat>
          <c:val>
            <c:numRef>
              <c:f>'План БДР'!$AI$18:$AI$23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 Выручка ожидаемая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'Сводная таблица 1'!$A$2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'Сводная таблица 1'!$B$1:$E$1</c:f>
            </c:strRef>
          </c:cat>
          <c:val>
            <c:numRef>
              <c:f>'Сводная таблица 1'!$B$2:$E$2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1'!$A$4</c:f>
            </c:strRef>
          </c:cat>
          <c:val>
            <c:numRef>
              <c:f>'Сводная таблица 1'!$B$4</c:f>
              <c:numCache/>
            </c:numRef>
          </c:val>
        </c:ser>
        <c:ser>
          <c:idx val="1"/>
          <c:order val="1"/>
          <c:cat>
            <c:strRef>
              <c:f>'Сводная таблица 1'!$A$4</c:f>
            </c:strRef>
          </c:cat>
          <c:val>
            <c:numRef>
              <c:f>'Сводная таблица 1'!$C$4</c:f>
              <c:numCache/>
            </c:numRef>
          </c:val>
        </c:ser>
        <c:ser>
          <c:idx val="2"/>
          <c:order val="2"/>
          <c:cat>
            <c:strRef>
              <c:f>'Сводная таблица 1'!$A$4</c:f>
            </c:strRef>
          </c:cat>
          <c:val>
            <c:numRef>
              <c:f>'Сводная таблица 1'!$D$4</c:f>
              <c:numCache/>
            </c:numRef>
          </c:val>
        </c:ser>
        <c:ser>
          <c:idx val="3"/>
          <c:order val="3"/>
          <c:cat>
            <c:strRef>
              <c:f>'Сводная таблица 1'!$A$4</c:f>
            </c:strRef>
          </c:cat>
          <c:val>
            <c:numRef>
              <c:f>'Сводная таблица 1'!$E$4</c:f>
              <c:numCache/>
            </c:numRef>
          </c:val>
        </c:ser>
        <c:axId val="458840029"/>
        <c:axId val="1921140639"/>
      </c:barChart>
      <c:catAx>
        <c:axId val="458840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21140639"/>
      </c:catAx>
      <c:valAx>
        <c:axId val="19211406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588400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1'!$A$7</c:f>
            </c:strRef>
          </c:cat>
          <c:val>
            <c:numRef>
              <c:f>'Сводная таблица 1'!$B$7</c:f>
              <c:numCache/>
            </c:numRef>
          </c:val>
        </c:ser>
        <c:ser>
          <c:idx val="1"/>
          <c:order val="1"/>
          <c:cat>
            <c:strRef>
              <c:f>'Сводная таблица 1'!$A$7</c:f>
            </c:strRef>
          </c:cat>
          <c:val>
            <c:numRef>
              <c:f>'Сводная таблица 1'!$C$7</c:f>
              <c:numCache/>
            </c:numRef>
          </c:val>
        </c:ser>
        <c:ser>
          <c:idx val="2"/>
          <c:order val="2"/>
          <c:cat>
            <c:strRef>
              <c:f>'Сводная таблица 1'!$A$7</c:f>
            </c:strRef>
          </c:cat>
          <c:val>
            <c:numRef>
              <c:f>'Сводная таблица 1'!$D$7</c:f>
              <c:numCache/>
            </c:numRef>
          </c:val>
        </c:ser>
        <c:ser>
          <c:idx val="3"/>
          <c:order val="3"/>
          <c:cat>
            <c:strRef>
              <c:f>'Сводная таблица 1'!$A$7</c:f>
            </c:strRef>
          </c:cat>
          <c:val>
            <c:numRef>
              <c:f>'Сводная таблица 1'!$E$7</c:f>
              <c:numCache/>
            </c:numRef>
          </c:val>
        </c:ser>
        <c:axId val="1016472132"/>
        <c:axId val="1124192446"/>
      </c:barChart>
      <c:catAx>
        <c:axId val="1016472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24192446"/>
      </c:catAx>
      <c:valAx>
        <c:axId val="11241924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64721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1'!$A$6</c:f>
            </c:strRef>
          </c:cat>
          <c:val>
            <c:numRef>
              <c:f>'Сводная таблица 1'!$B$6</c:f>
              <c:numCache/>
            </c:numRef>
          </c:val>
        </c:ser>
        <c:ser>
          <c:idx val="1"/>
          <c:order val="1"/>
          <c:cat>
            <c:strRef>
              <c:f>'Сводная таблица 1'!$A$6</c:f>
            </c:strRef>
          </c:cat>
          <c:val>
            <c:numRef>
              <c:f>'Сводная таблица 1'!$C$6</c:f>
              <c:numCache/>
            </c:numRef>
          </c:val>
        </c:ser>
        <c:ser>
          <c:idx val="2"/>
          <c:order val="2"/>
          <c:cat>
            <c:strRef>
              <c:f>'Сводная таблица 1'!$A$6</c:f>
            </c:strRef>
          </c:cat>
          <c:val>
            <c:numRef>
              <c:f>'Сводная таблица 1'!$D$6</c:f>
              <c:numCache/>
            </c:numRef>
          </c:val>
        </c:ser>
        <c:ser>
          <c:idx val="3"/>
          <c:order val="3"/>
          <c:cat>
            <c:strRef>
              <c:f>'Сводная таблица 1'!$A$6</c:f>
            </c:strRef>
          </c:cat>
          <c:val>
            <c:numRef>
              <c:f>'Сводная таблица 1'!$E$6</c:f>
              <c:numCache/>
            </c:numRef>
          </c:val>
        </c:ser>
        <c:axId val="486196715"/>
        <c:axId val="1460440374"/>
      </c:barChart>
      <c:catAx>
        <c:axId val="48619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60440374"/>
      </c:catAx>
      <c:valAx>
        <c:axId val="14604403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861967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1'!$A$8</c:f>
            </c:strRef>
          </c:cat>
          <c:val>
            <c:numRef>
              <c:f>'Сводная таблица 1'!$B$8</c:f>
              <c:numCache/>
            </c:numRef>
          </c:val>
        </c:ser>
        <c:ser>
          <c:idx val="1"/>
          <c:order val="1"/>
          <c:cat>
            <c:strRef>
              <c:f>'Сводная таблица 1'!$A$8</c:f>
            </c:strRef>
          </c:cat>
          <c:val>
            <c:numRef>
              <c:f>'Сводная таблица 1'!$C$8</c:f>
              <c:numCache/>
            </c:numRef>
          </c:val>
        </c:ser>
        <c:ser>
          <c:idx val="2"/>
          <c:order val="2"/>
          <c:cat>
            <c:strRef>
              <c:f>'Сводная таблица 1'!$A$8</c:f>
            </c:strRef>
          </c:cat>
          <c:val>
            <c:numRef>
              <c:f>'Сводная таблица 1'!$D$8</c:f>
              <c:numCache/>
            </c:numRef>
          </c:val>
        </c:ser>
        <c:ser>
          <c:idx val="3"/>
          <c:order val="3"/>
          <c:cat>
            <c:strRef>
              <c:f>'Сводная таблица 1'!$A$8</c:f>
            </c:strRef>
          </c:cat>
          <c:val>
            <c:numRef>
              <c:f>'Сводная таблица 1'!$E$8</c:f>
              <c:numCache/>
            </c:numRef>
          </c:val>
        </c:ser>
        <c:axId val="605791911"/>
        <c:axId val="1800578732"/>
      </c:barChart>
      <c:catAx>
        <c:axId val="605791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00578732"/>
      </c:catAx>
      <c:valAx>
        <c:axId val="18005787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57919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'Сводная таблица 1'!$A$9</c:f>
            </c:strRef>
          </c:cat>
          <c:val>
            <c:numRef>
              <c:f>'Сводная таблица 1'!$B$9</c:f>
              <c:numCache/>
            </c:numRef>
          </c:val>
        </c:ser>
        <c:ser>
          <c:idx val="1"/>
          <c:order val="1"/>
          <c:cat>
            <c:strRef>
              <c:f>'Сводная таблица 1'!$A$9</c:f>
            </c:strRef>
          </c:cat>
          <c:val>
            <c:numRef>
              <c:f>'Сводная таблица 1'!$C$9</c:f>
              <c:numCache/>
            </c:numRef>
          </c:val>
        </c:ser>
        <c:ser>
          <c:idx val="2"/>
          <c:order val="2"/>
          <c:cat>
            <c:strRef>
              <c:f>'Сводная таблица 1'!$A$9</c:f>
            </c:strRef>
          </c:cat>
          <c:val>
            <c:numRef>
              <c:f>'Сводная таблица 1'!$D$9</c:f>
              <c:numCache/>
            </c:numRef>
          </c:val>
        </c:ser>
        <c:ser>
          <c:idx val="3"/>
          <c:order val="3"/>
          <c:cat>
            <c:strRef>
              <c:f>'Сводная таблица 1'!$A$9</c:f>
            </c:strRef>
          </c:cat>
          <c:val>
            <c:numRef>
              <c:f>'Сводная таблица 1'!$E$9</c:f>
              <c:numCache/>
            </c:numRef>
          </c:val>
        </c:ser>
        <c:axId val="1570670837"/>
        <c:axId val="429282650"/>
      </c:barChart>
      <c:catAx>
        <c:axId val="157067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29282650"/>
      </c:catAx>
      <c:valAx>
        <c:axId val="4292826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706708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'Сводная таблица 1'!$B$11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1'!$B$12</c:f>
              <c:numCache/>
            </c:numRef>
          </c:val>
        </c:ser>
        <c:ser>
          <c:idx val="1"/>
          <c:order val="1"/>
          <c:tx>
            <c:strRef>
              <c:f>'Сводная таблица 1'!$C$11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1'!$C$12</c:f>
              <c:numCache/>
            </c:numRef>
          </c:val>
        </c:ser>
        <c:ser>
          <c:idx val="2"/>
          <c:order val="2"/>
          <c:tx>
            <c:strRef>
              <c:f>'Сводная таблица 1'!$D$11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1'!$D$12</c:f>
              <c:numCache/>
            </c:numRef>
          </c:val>
        </c:ser>
        <c:ser>
          <c:idx val="3"/>
          <c:order val="3"/>
          <c:tx>
            <c:strRef>
              <c:f>'Сводная таблица 1'!$E$11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1'!$A$12</c:f>
            </c:strRef>
          </c:cat>
          <c:val>
            <c:numRef>
              <c:f>'Сводная таблица 1'!$E$12</c:f>
              <c:numCache/>
            </c:numRef>
          </c:val>
        </c:ser>
        <c:axId val="1816664170"/>
        <c:axId val="1937889888"/>
      </c:barChart>
      <c:catAx>
        <c:axId val="1816664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37889888"/>
      </c:catAx>
      <c:valAx>
        <c:axId val="193788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166641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9" Type="http://schemas.openxmlformats.org/officeDocument/2006/relationships/chart" Target="../charts/chart11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114300</xdr:colOff>
      <xdr:row>24</xdr:row>
      <xdr:rowOff>161925</xdr:rowOff>
    </xdr:from>
    <xdr:ext cx="5010150" cy="3095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33</xdr:col>
      <xdr:colOff>114300</xdr:colOff>
      <xdr:row>41</xdr:row>
      <xdr:rowOff>95250</xdr:rowOff>
    </xdr:from>
    <xdr:ext cx="5010150" cy="2114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1371600</xdr:colOff>
      <xdr:row>15</xdr:row>
      <xdr:rowOff>190500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619125</xdr:colOff>
      <xdr:row>15</xdr:row>
      <xdr:rowOff>190500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733425</xdr:colOff>
      <xdr:row>15</xdr:row>
      <xdr:rowOff>190500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657225</xdr:colOff>
      <xdr:row>34</xdr:row>
      <xdr:rowOff>142875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1371600</xdr:colOff>
      <xdr:row>34</xdr:row>
      <xdr:rowOff>142875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723900</xdr:colOff>
      <xdr:row>35</xdr:row>
      <xdr:rowOff>9525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200025</xdr:colOff>
      <xdr:row>29</xdr:row>
      <xdr:rowOff>28575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628650</xdr:colOff>
      <xdr:row>2</xdr:row>
      <xdr:rowOff>28575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647700</xdr:colOff>
      <xdr:row>2</xdr:row>
      <xdr:rowOff>66675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923925</xdr:colOff>
      <xdr:row>13</xdr:row>
      <xdr:rowOff>190500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190500</xdr:colOff>
      <xdr:row>11</xdr:row>
      <xdr:rowOff>180975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9" sheet="Маркетинг Ожидания"/>
  </cacheSource>
  <cacheFields>
    <cacheField name=" Показатель" numFmtId="167">
      <sharedItems containsBlank="1">
        <s v="динамика по рынку база"/>
        <s v="динамика по рынку динамический"/>
        <s v=" Средний чек месяца база"/>
        <s v=" Средний чек месяца динамический"/>
        <s v=" Кол-во клиентов база "/>
        <s v=" кол-во клиентов динамический"/>
        <s v=" Выручка потенциал"/>
        <s v=" Потеря в выручке, руб"/>
        <s v=" Потеря ЧП, руб"/>
        <s v="Выручка"/>
        <s v="Выручка прогноз до вычета НДС"/>
        <s v="Выручка прогноз за вычетом НДС"/>
        <s v="Расходы на маркетинг"/>
        <m/>
        <s v="Стоимость привлечения клиента Динамически"/>
        <s v="Стоимость привлечения клиента Основной"/>
        <s v="Стоимость привлечения N новых клиентов"/>
        <s v="Стоимость привлечения N новых клиентов c учетом представительских расходов"/>
        <s v="Ожидаемое количество лидов"/>
        <s v="Ожидаемое количество показов"/>
        <s v="Ожидаемые затраты на РК"/>
        <s v="Конверсия по продажам"/>
        <s v="ROMI без себс"/>
        <s v="ROAS"/>
        <s v="ROMI с себес"/>
        <s v="Себестоимость контекста"/>
      </sharedItems>
    </cacheField>
    <cacheField name=" Статьи. Детализация" numFmtId="0">
      <sharedItems containsBlank="1">
        <m/>
        <s v=" Выручка"/>
        <s v="Выручка"/>
        <s v="НДС"/>
        <s v="Расходы на маркетинг"/>
        <s v="Итоговые расходы на маркетинг"/>
      </sharedItems>
    </cacheField>
    <cacheField name=" Плановый годовой показатель 2017">
      <sharedItems containsBlank="1" containsMixedTypes="1" containsNumber="1" containsInteger="1">
        <m/>
        <n v="1.06415362E8"/>
        <e v="#REF!"/>
      </sharedItems>
    </cacheField>
    <cacheField name=" k в группе расходов" numFmtId="0">
      <sharedItems containsString="0" containsBlank="1" containsNumber="1">
        <m/>
        <n v="0.94"/>
        <n v="1.0"/>
        <n v="0.82"/>
        <n v="-0.18"/>
        <n v="0.03"/>
      </sharedItems>
    </cacheField>
    <cacheField name=" k от общего" numFmtId="0">
      <sharedItems containsString="0" containsBlank="1" containsNumber="1">
        <m/>
        <n v="0.03"/>
      </sharedItems>
    </cacheField>
    <cacheField name=" k к пересчету" numFmtId="0">
      <sharedItems containsString="0" containsBlank="1" containsNumber="1">
        <m/>
        <n v="0.0"/>
        <n v="-0.03"/>
        <n v="56.0"/>
        <n v="74.0"/>
        <n v="45.0"/>
      </sharedItems>
    </cacheField>
    <cacheField name="  1   " numFmtId="167">
      <sharedItems containsString="0" containsBlank="1" containsNumber="1">
        <n v="0.016160269119935143"/>
        <n v="14861.069314260558"/>
        <n v="139034.0"/>
        <n v="1719700.8884153196"/>
        <n v="1.6967013048705566E9"/>
        <n v="2.8575575811476994E9"/>
        <n v="1.6942790070519E9"/>
        <n v="2.0661939110389023E9"/>
        <n v="-3.719149039870024E8"/>
        <n v="-6.1985817331167065E7"/>
        <n v="2.860885166350627E8"/>
        <n v="-445.83207942781667"/>
        <n v="1611.8553684990407"/>
        <n v="-445.65257984878184"/>
        <n v="2.2410269930389562E8"/>
        <n v="45.72721211039708"/>
        <n v="6357637.208556948"/>
        <n v="2.5366972462142223E8"/>
        <n v="-2.860936743850627E8"/>
        <n v="0.02186881626602878"/>
        <n v="-7.219852850754954"/>
        <n v="-8.219852850754954"/>
        <m/>
      </sharedItems>
    </cacheField>
    <cacheField name="  2   " numFmtId="167">
      <sharedItems containsString="0" containsBlank="1" containsNumber="1">
        <n v="0.020610591765310347"/>
        <n v="14926.154080230619"/>
        <n v="140972.0"/>
        <n v="135888.0"/>
        <n v="2193283.58373972"/>
        <n v="1.705305268819547E9"/>
        <n v="2.795585396613197E9"/>
        <n v="1.6631938850365903E9"/>
        <n v="2.0282852256543784E9"/>
        <n v="-3.650913406177881E8"/>
        <n v="-6.084855676963135E7"/>
        <n v="2.853780503898945E8"/>
        <n v="-447.7846224069186"/>
        <n v="1592.7240417974003"/>
        <n v="-431.46436714433554"/>
        <n v="426794.316367507"/>
        <n v="45.927476629438964"/>
        <n v="6240992.944221202"/>
        <n v="2.4901561847442597E8"/>
        <n v="-2.853832081398945E8"/>
        <n v="0.02177345836063225"/>
        <n v="-7.033491293062497"/>
        <n v="-8.033491293062497"/>
        <m/>
      </sharedItems>
    </cacheField>
    <cacheField name="  3   " numFmtId="167">
      <sharedItems containsString="0" containsBlank="1" containsNumber="1">
        <n v="0.024876471872463363"/>
        <n v="14988.541423925557"/>
        <n v="135888.0"/>
        <n v="140972.0"/>
        <n v="2647238.7595910067"/>
        <n v="1.731557254458315E9"/>
        <n v="2.909499174871827E9"/>
        <n v="1.7326310225231795E9"/>
        <n v="2.1129646616136336E9"/>
        <n v="-3.8033363909045404E8"/>
        <n v="-6.3388939848409005E7"/>
        <n v="2.985946219446866E8"/>
        <n v="-449.6562427177667"/>
        <n v="1730.8789745693334"/>
        <n v="-466.28714653393314"/>
        <n v="2.347788877799101E8"/>
        <n v="46.119441234260854"/>
        <n v="6501549.869676221"/>
        <n v="2.5941183980008122E8"/>
        <n v="-2.985997796946866E8"/>
        <n v="0.02168282991375723"/>
        <n v="-6.983476261210076"/>
        <n v="-7.983476261210077"/>
        <m/>
      </sharedItems>
    </cacheField>
    <cacheField name="  4   " numFmtId="167">
      <sharedItems containsString="0" containsBlank="1" containsNumber="1">
        <n v="0.0203733590146297"/>
        <n v="14922.68461536507"/>
        <n v="140972.0"/>
        <n v="140569.333333333"/>
        <n v="2168038.374697783"/>
        <n v="1.771225617590494E9"/>
        <n v="2.886332833368308E9"/>
        <n v="1.720090898898871E9"/>
        <n v="2.0976718279254525E9"/>
        <n v="-3.775809290265814E8"/>
        <n v="-6.293015483776357E7"/>
        <n v="2.9767250484859306E8"/>
        <n v="-447.68053846095205"/>
        <n v="1665.1700338423905"/>
        <n v="-446.2245429117875"/>
        <n v="-36537.76908060908"/>
        <n v="45.916801155658334"/>
        <n v="6454494.127250106"/>
        <n v="2.5753431567727923E8"/>
        <n v="-2.9767766259859306E8"/>
        <n v="0.021778520603166405"/>
        <n v="-6.936060441708451"/>
        <n v="-7.936060441708451"/>
        <m/>
      </sharedItems>
    </cacheField>
    <cacheField name="  5   " numFmtId="167">
      <sharedItems containsString="0" containsBlank="1" containsNumber="1">
        <n v="0.02626582407626792"/>
        <n v="15008.860324427878"/>
        <n v="141538.333333333"/>
        <n v="2795087.177304366"/>
        <n v="1.8022662876577108E9"/>
        <n v="2.6280211801346073E9"/>
        <n v="1.7419498419528937E9"/>
        <n v="2.1243290755523095E9"/>
        <n v="-3.823792335994157E8"/>
        <n v="-6.372987226656929E7"/>
        <n v="3.001308369052935E8"/>
        <n v="-450.2658097328364"/>
        <n v="1670.2257195722582"/>
        <n v="-450.0877313821606"/>
        <n v="2.3643750240780485E8"/>
        <n v="46.181962083432055"/>
        <n v="6536517.943352152"/>
        <n v="2.6080706593975085E8"/>
        <n v="-3.001359946552935E8"/>
        <n v="0.021653475835292705"/>
        <n v="-6.986126933952149"/>
        <n v="-7.98612693395215"/>
        <m/>
      </sharedItems>
    </cacheField>
    <cacheField name="  6   " numFmtId="167">
      <sharedItems containsString="0" containsBlank="1" containsNumber="1">
        <n v="0.08346959133579625"/>
        <n v="15845.449961037988"/>
        <n v="142507.333333333"/>
        <n v="8882446.777990822"/>
        <n v="1.858989765307145E9"/>
        <n v="2.785523602769365E9"/>
        <n v="1.851636111919717E9"/>
        <n v="2.258092819414289E9"/>
        <n v="-4.06456707494572E8"/>
        <n v="-6.774278458242866E7"/>
        <n v="3.2087202392081946E8"/>
        <n v="-475.3634988311396"/>
        <n v="1776.2541296475367"/>
        <n v="-475.1767723053765"/>
        <n v="1.669173693058595E7"/>
        <n v="48.75613161011083"/>
        <n v="6948106.2994059175"/>
        <n v="2.772294413462961E8"/>
        <n v="-3.2087718167081946E8"/>
        <n v="0.02051024080410482"/>
        <n v="-6.920711117041688"/>
        <n v="-7.920711117041687"/>
        <m/>
      </sharedItems>
    </cacheField>
    <cacheField name="  7   " numFmtId="167">
      <sharedItems containsString="0" containsBlank="1" containsNumber="1">
        <n v="0.05382095751697525"/>
        <n v="15411.84670410665"/>
        <n v="143476.333333333"/>
        <n v="5727376.677355543"/>
        <n v="1.8922779100648537E9"/>
        <n v="2.6949345444332104E9"/>
        <n v="1.8132129091005208E9"/>
        <n v="2.211235255000635E9"/>
        <n v="-3.980223459001143E8"/>
        <n v="-6.633705765001905E7"/>
        <n v="3.3172797882460284E8"/>
        <n v="-462.35540112319944"/>
        <n v="1849.7191488578912"/>
        <n v="-462.1750103926818"/>
        <n v="2.4869918424399784E8"/>
        <n v="47.42194308826389"/>
        <n v="6803926.513846097"/>
        <n v="2.7147666790245926E8"/>
        <n v="-3.3173313657460284E8"/>
        <n v="0.02108728438517912"/>
        <n v="-6.331992839898257"/>
        <n v="-7.331992839898257"/>
        <m/>
      </sharedItems>
    </cacheField>
    <cacheField name="  8   " numFmtId="167">
      <sharedItems containsString="0" containsBlank="1" containsNumber="1">
        <n v="0.1038498152327481"/>
        <n v="16143.505227689046"/>
        <n v="144445.333333333"/>
        <n v="1.1051215681626003E7"/>
        <n v="1.9352052238764346E9"/>
        <n v="2.8574380061358786E9"/>
        <n v="1.9121202749011974E9"/>
        <n v="2.331853993781948E9"/>
        <n v="-4.1973371888075066E8"/>
        <n v="-6.995561981345844E7"/>
        <n v="3.402505063718507E8"/>
        <n v="-484.3051568306714"/>
        <n v="1871.260776107175"/>
        <n v="-484.1174693667782"/>
        <n v="2.1595702314394444E7"/>
        <n v="49.67324168547366"/>
        <n v="7175067.9530054545"/>
        <n v="2.862852113249176E8"/>
        <n v="-3.402556641218507E8"/>
        <n v="0.02013156311262927"/>
        <n v="-6.627074020796148"/>
        <n v="-7.627074020796147"/>
        <m/>
      </sharedItems>
    </cacheField>
    <cacheField name="  9   " numFmtId="167">
      <sharedItems containsString="0" containsBlank="1" containsNumber="1">
        <n v="0.11907645604746595"/>
        <n v="16366.190734540094"/>
        <n v="145414.333333333"/>
        <n v="1.2671564175968178E7"/>
        <n v="1.9348174325691319E9"/>
        <n v="2.882431385954327E9"/>
        <n v="1.951500546192842E9"/>
        <n v="2.3798787148693194E9"/>
        <n v="-4.283781686764775E8"/>
        <n v="-7.139636144607958E7"/>
        <n v="3.637439965140729E8"/>
        <n v="-490.98572203620284"/>
        <n v="2010.4457955863634"/>
        <n v="-490.7967130485695"/>
        <n v="2.707519327535988E8"/>
        <n v="50.358440522135965"/>
        <n v="7322839.056232703"/>
        <n v="2.9218127834368485E8"/>
        <n v="-3.637491542640729E8"/>
        <n v="0.0198576443120877"/>
        <n v="-6.140577960604384"/>
        <n v="-7.140577960604384"/>
        <m/>
      </sharedItems>
    </cacheField>
    <cacheField name="  10   " numFmtId="167">
      <sharedItems containsString="0" containsBlank="1" containsNumber="1">
        <n v="0.10625370913190217"/>
        <n v="16178.661526301661"/>
        <n v="146383.333333333"/>
        <n v="1.1307026921114076E7"/>
        <n v="1.971849079325105E9"/>
        <n v="2.859386742919295E9"/>
        <n v="1.9419948505352645E9"/>
        <n v="2.368286403091786E9"/>
        <n v="-4.262915525565215E8"/>
        <n v="-7.104859209275357E7"/>
        <n v="3.669653464524182E8"/>
        <n v="-485.3598457890498"/>
        <n v="2021.5194422839484"/>
        <n v="-485.174238884501"/>
        <n v="2.516482160606581E7"/>
        <n v="49.7814169109356"/>
        <n v="7287169.745479106"/>
        <n v="2.907580728446163E8"/>
        <n v="-3.669705042024182E8"/>
        <n v="0.020087817142471244"/>
        <n v="-6.003218365301856"/>
        <n v="-7.003218365301857"/>
        <m/>
      </sharedItems>
    </cacheField>
    <cacheField name="  11   " numFmtId="167">
      <sharedItems containsString="0" containsBlank="1" containsNumber="1">
        <n v="0.08141446190068095"/>
        <n v="15815.394248456865"/>
        <n v="147352.333333333"/>
        <n v="8663749.435196172"/>
        <n v="8.656571374331026E9"/>
        <n v="2.823720484411246E9"/>
        <n v="1.9109569009792886E9"/>
        <n v="2.3304352450966935E9"/>
        <n v="-4.194783441174048E8"/>
        <n v="-6.99130573529008E7"/>
        <n v="3.5696257253690904E8"/>
        <n v="-474.46182745370595"/>
        <n v="1948.048657869973"/>
        <n v="-474.2815807760821"/>
        <n v="2.6188469357794243E8"/>
        <n v="48.66365078553064"/>
        <n v="7170702.491766423"/>
        <n v="2.8611102942148024E8"/>
        <n v="-3.5696773028690904E8"/>
        <n v="0.020549218643853454"/>
        <n v="-6.118582759503382"/>
        <n v="-7.118582759503381"/>
        <m/>
      </sharedItems>
    </cacheField>
    <cacheField name="  12   " numFmtId="167">
      <sharedItems containsString="0" containsBlank="1" containsNumber="1">
        <n v="0.15960142501856414"/>
        <n v="16958.857453697823"/>
        <n v="148321.333333333"/>
        <n v="1.698404341906636E7"/>
        <n v="4.624771825964652E9"/>
        <n v="3.0595704746589003E9"/>
        <n v="2.0625954864607625E9"/>
        <n v="2.5153603493423934E9"/>
        <n v="-4.527648628816308E8"/>
        <n v="-7.54608104802718E7"/>
        <n v="3.7663754878640836E8"/>
        <n v="-508.76572361093463"/>
        <n v="2030.5692481153794"/>
        <n v="-508.5737072167715"/>
        <n v="3.929204472819412E7"/>
        <n v="52.18206412583539"/>
        <n v="7739713.327229388"/>
        <n v="3.0881456175645256E8"/>
        <n v="-3.7664270653640836E8"/>
        <n v="0.019163672743733016"/>
        <n v="-6.351774985973883"/>
        <n v="-7.351774985973883"/>
        <m/>
      </sharedItems>
    </cacheField>
    <cacheField name=" ИТОГО 2022 год" numFmtId="0">
      <sharedItems containsString="0" containsBlank="1" containsNumber="1">
        <m/>
        <n v="187427.21561403983"/>
        <n v="1715901.9999999972"/>
        <n v="8.681077187206535E7"/>
        <n v="2.190935096368096E10"/>
        <n v="3.4040001407417866E10"/>
        <n v="2.199616173555303E10"/>
        <n v="2.682458748238174E10"/>
        <n v="-4.828425746828713E9"/>
        <n v="-8.047376244714522E8"/>
        <n v="-3.925024504130612E9"/>
        <n v="-468.98810332492974"/>
        <n v="-2756.429055157038"/>
        <n v="-468.9727979772544"/>
        <n v="1.579789462193677E9"/>
        <n v="45.0"/>
        <n v="7.721558999999988E7"/>
        <n v="3.080902040999995E9"/>
        <n v="-2.470898879999996E9"/>
        <n v="0.02222222222222222"/>
        <n v="7.671445360891766"/>
        <n v="6.671445360891766"/>
        <n v="3.925024504130612E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0" sheet="Расчет коэффициентов"/>
  </cacheSource>
  <cacheFields>
    <cacheField name="Показатель" numFmtId="0">
      <sharedItems>
        <s v="1. Переменные расходы"/>
        <s v="2. Постоянные расходы"/>
        <s v="3. Коммерческие расходы"/>
        <s v="4. Операционные расходы "/>
        <s v="5. Расходы по финансовой деятельности"/>
      </sharedItems>
    </cacheField>
    <cacheField name="Детализация" numFmtId="0">
      <sharedItems>
        <s v="Услуги внештатных smm"/>
        <s v="услуги внештатных seo"/>
        <s v="Услуги внештатных дизайнеров"/>
        <s v="Услуги внештатных программистов"/>
        <s v="Оплата труда штатного персонала"/>
        <s v="Услуги связи"/>
        <s v="Обслуживание программного обеспечения"/>
        <s v="Обслуживание технической части"/>
        <s v="Расходы на персонал"/>
        <s v="Услуги по доставке документации"/>
        <s v="Командировочные расходы"/>
        <s v="Комиссия на деньги"/>
        <s v="Продвижение услуг"/>
        <s v="Представительские расходы"/>
        <s v="Штрафы, пени"/>
        <s v="Нотариальные расходы"/>
        <s v="Внереализационные расходы"/>
        <s v="Банковские гарантии"/>
        <s v="НДС"/>
        <s v="Налог на имущество"/>
        <s v="Услуги банков (РКО)"/>
      </sharedItems>
    </cacheField>
    <cacheField name="Расчетный предел" numFmtId="0">
      <sharedItems containsSemiMixedTypes="0" containsString="0" containsNumber="1">
        <n v="-500000.0"/>
        <n v="-3500000.0"/>
        <n v="-3.1123979991771435E10"/>
        <n v="956000.0"/>
        <n v="954666.0"/>
        <n v="444555.0"/>
        <n v="-790999.0"/>
        <n v="-1.0E7"/>
        <n v="-2.9812241371428573E8"/>
        <n v="-1000000.0"/>
        <n v="-5.664325860571429E8"/>
        <n v="-2.1786785994240003E9"/>
        <n v="-245000.00000000003"/>
        <n v="95600.0"/>
        <n v="95466.6"/>
        <n v="44455.5"/>
        <n v="-79099.90000000001"/>
        <n v="-2.9812241371428575E7"/>
        <n v="-100000.0"/>
        <n v="-5.664325860571429E7"/>
        <n v="-50000.0"/>
        <n v="-190281.97439999998"/>
        <n v="-69770.05728"/>
        <n v="-25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E10" firstHeaderRow="0" firstDataRow="0" firstDataCol="0"/>
  <pivotFields>
    <pivotField name=" Показатель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Статьи. Детализация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Плановый годовой показатель 2017" compact="0" outline="0" multipleItemSelectionAllowed="1" showAll="0">
      <items>
        <item x="0"/>
        <item x="1"/>
        <item x="2"/>
        <item t="default"/>
      </items>
    </pivotField>
    <pivotField name=" k в группе расходов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k от общего" compact="0" outline="0" multipleItemSelectionAllowed="1" showAll="0">
      <items>
        <item x="0"/>
        <item x="1"/>
        <item t="default"/>
      </items>
    </pivotField>
    <pivotField name=" k к пересчету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1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2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 3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 4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 5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6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7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8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9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10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11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 12  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ИТОГО 2022 г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k" cacheId="1" dataCaption="" compact="0" compactData="0">
  <location ref="A3:D38" firstHeaderRow="0" firstDataRow="3" firstDataCol="0"/>
  <pivotFields>
    <pivotField name="Показатель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Детализация" axis="axisRow" compact="0" outline="0" multipleItemSelectionAllowed="1" showAll="0" sortType="ascending">
      <items>
        <item x="17"/>
        <item x="16"/>
        <item x="10"/>
        <item x="11"/>
        <item x="19"/>
        <item x="18"/>
        <item x="15"/>
        <item x="6"/>
        <item x="7"/>
        <item x="4"/>
        <item x="13"/>
        <item x="12"/>
        <item x="8"/>
        <item x="20"/>
        <item x="2"/>
        <item x="3"/>
        <item x="1"/>
        <item x="0"/>
        <item x="9"/>
        <item x="5"/>
        <item x="14"/>
        <item t="default"/>
      </items>
    </pivotField>
    <pivotField name="Расчетный предел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  <field x="1"/>
  </rowFields>
  <colFields>
    <field x="-2"/>
  </colFields>
  <dataFields>
    <dataField name=" k в группе" fld="2" baseField="0"/>
    <dataField name=" Расчетный предел" fld="2" showDataAs="percentOfTotal" baseField="0" numFmtId="10"/>
  </dataFields>
</pivotTableDefinition>
</file>

<file path=xl/tables/table1.xml><?xml version="1.0" encoding="utf-8"?>
<table xmlns="http://schemas.openxmlformats.org/spreadsheetml/2006/main" headerRowCount="0" ref="A16:AM71" display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План БДР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J25" displayName="Table_10" id="10">
  <tableColumns count="10">
    <tableColumn name="Показатель" id="1"/>
    <tableColumn name="Детализация" id="2"/>
    <tableColumn name="Ставка в час" id="3"/>
    <tableColumn name="Нагруженность в часах в день" id="4"/>
    <tableColumn name="Нагруженность в часах в мес" id="5"/>
    <tableColumn name="К выплате в мес на единицу" id="6"/>
    <tableColumn name="ИТОГО к выплате в год на единицу" id="7"/>
    <tableColumn name="Кол-во штатных единиц" id="8"/>
    <tableColumn name="ИТОГО к выплате в мес" id="9"/>
    <tableColumn name="ИТОГО к выплате в год" id="10"/>
  </tableColumns>
  <tableStyleInfo name="Штатный персонал-style 2" showColumnStripes="0" showFirstColumn="1" showLastColumn="1" showRowStripes="1"/>
</table>
</file>

<file path=xl/tables/table11.xml><?xml version="1.0" encoding="utf-8"?>
<table xmlns="http://schemas.openxmlformats.org/spreadsheetml/2006/main" ref="A1:F9" displayName="Table_11" id="11">
  <tableColumns count="6">
    <tableColumn name="Показатель" id="1"/>
    <tableColumn name="Детализация" id="2"/>
    <tableColumn name="Макс. Предел на 1 событие" id="3"/>
    <tableColumn name="Кол-во человек" id="4"/>
    <tableColumn name="Частота в год" id="5"/>
    <tableColumn name="Итого план" id="6"/>
  </tableColumns>
  <tableStyleInfo name="Командировочные расходы-style" showColumnStripes="0" showFirstColumn="1" showLastColumn="1" showRowStripes="1"/>
</table>
</file>

<file path=xl/tables/table12.xml><?xml version="1.0" encoding="utf-8"?>
<table xmlns="http://schemas.openxmlformats.org/spreadsheetml/2006/main" headerRowCount="0" ref="A162:J165" displayName="Table_12" id="1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" showColumnStripes="0" showFirstColumn="1" showLastColumn="1" showRowStripes="1"/>
</table>
</file>

<file path=xl/tables/table13.xml><?xml version="1.0" encoding="utf-8"?>
<table xmlns="http://schemas.openxmlformats.org/spreadsheetml/2006/main" headerRowCount="0" ref="A173:J176" displayName="Table_13" id="1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2" showColumnStripes="0" showFirstColumn="1" showLastColumn="1" showRowStripes="1"/>
</table>
</file>

<file path=xl/tables/table14.xml><?xml version="1.0" encoding="utf-8"?>
<table xmlns="http://schemas.openxmlformats.org/spreadsheetml/2006/main" headerRowCount="0" ref="A168:J172" displayName="Table_14" id="1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3" showColumnStripes="0" showFirstColumn="1" showLastColumn="1" showRowStripes="1"/>
</table>
</file>

<file path=xl/tables/table15.xml><?xml version="1.0" encoding="utf-8"?>
<table xmlns="http://schemas.openxmlformats.org/spreadsheetml/2006/main" headerRowCount="0" ref="A166:J166" displayName="Table_15" id="1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4" showColumnStripes="0" showFirstColumn="1" showLastColumn="1" showRowStripes="1"/>
</table>
</file>

<file path=xl/tables/table16.xml><?xml version="1.0" encoding="utf-8"?>
<table xmlns="http://schemas.openxmlformats.org/spreadsheetml/2006/main" headerRowCount="0" ref="A133:J133" displayName="Table_16" id="1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5" showColumnStripes="0" showFirstColumn="1" showLastColumn="1" showRowStripes="1"/>
</table>
</file>

<file path=xl/tables/table17.xml><?xml version="1.0" encoding="utf-8"?>
<table xmlns="http://schemas.openxmlformats.org/spreadsheetml/2006/main" headerRowCount="0" ref="A134:AA134" displayName="Table_17" id="17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6" showColumnStripes="0" showFirstColumn="1" showLastColumn="1" showRowStripes="1"/>
</table>
</file>

<file path=xl/tables/table18.xml><?xml version="1.0" encoding="utf-8"?>
<table xmlns="http://schemas.openxmlformats.org/spreadsheetml/2006/main" headerRowCount="0" ref="A127:J132" displayName="Table_18" id="1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7" showColumnStripes="0" showFirstColumn="1" showLastColumn="1" showRowStripes="1"/>
</table>
</file>

<file path=xl/tables/table19.xml><?xml version="1.0" encoding="utf-8"?>
<table xmlns="http://schemas.openxmlformats.org/spreadsheetml/2006/main" headerRowCount="0" ref="A139:J139" displayName="Table_19" id="1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8" showColumnStripes="0" showFirstColumn="1" showLastColumn="1" showRowStripes="1"/>
</table>
</file>

<file path=xl/tables/table2.xml><?xml version="1.0" encoding="utf-8"?>
<table xmlns="http://schemas.openxmlformats.org/spreadsheetml/2006/main" headerRowCount="0" ref="A72:AM74" displayName="Table_2" id="2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План БДР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135:J138" displayName="Table_20" id="2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9" showColumnStripes="0" showFirstColumn="1" showLastColumn="1" showRowStripes="1"/>
</table>
</file>

<file path=xl/tables/table21.xml><?xml version="1.0" encoding="utf-8"?>
<table xmlns="http://schemas.openxmlformats.org/spreadsheetml/2006/main" headerRowCount="0" ref="A167:AA167" displayName="Table_21" id="2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10" showColumnStripes="0" showFirstColumn="1" showLastColumn="1" showRowStripes="1"/>
</table>
</file>

<file path=xl/tables/table22.xml><?xml version="1.0" encoding="utf-8"?>
<table xmlns="http://schemas.openxmlformats.org/spreadsheetml/2006/main" headerRowCount="0" ref="A178:AA178" displayName="Table_22" id="2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11" showColumnStripes="0" showFirstColumn="1" showLastColumn="1" showRowStripes="1"/>
</table>
</file>

<file path=xl/tables/table23.xml><?xml version="1.0" encoding="utf-8"?>
<table xmlns="http://schemas.openxmlformats.org/spreadsheetml/2006/main" headerRowCount="0" ref="A177:J177" displayName="Table_23" id="2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2" showColumnStripes="0" showFirstColumn="1" showLastColumn="1" showRowStripes="1"/>
</table>
</file>

<file path=xl/tables/table24.xml><?xml version="1.0" encoding="utf-8"?>
<table xmlns="http://schemas.openxmlformats.org/spreadsheetml/2006/main" headerRowCount="0" ref="A160:J160" displayName="Table_24" id="2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3" showColumnStripes="0" showFirstColumn="1" showLastColumn="1" showRowStripes="1"/>
</table>
</file>

<file path=xl/tables/table25.xml><?xml version="1.0" encoding="utf-8"?>
<table xmlns="http://schemas.openxmlformats.org/spreadsheetml/2006/main" headerRowCount="0" ref="A161:AA161" displayName="Table_25" id="2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14" showColumnStripes="0" showFirstColumn="1" showLastColumn="1" showRowStripes="1"/>
</table>
</file>

<file path=xl/tables/table26.xml><?xml version="1.0" encoding="utf-8"?>
<table xmlns="http://schemas.openxmlformats.org/spreadsheetml/2006/main" headerRowCount="0" ref="A123:J123" displayName="Table_26" id="2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5" showColumnStripes="0" showFirstColumn="1" showLastColumn="1" showRowStripes="1"/>
</table>
</file>

<file path=xl/tables/table27.xml><?xml version="1.0" encoding="utf-8"?>
<table xmlns="http://schemas.openxmlformats.org/spreadsheetml/2006/main" headerRowCount="0" ref="A124:AA124" displayName="Table_27" id="27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16" showColumnStripes="0" showFirstColumn="1" showLastColumn="1" showRowStripes="1"/>
</table>
</file>

<file path=xl/tables/table28.xml><?xml version="1.0" encoding="utf-8"?>
<table xmlns="http://schemas.openxmlformats.org/spreadsheetml/2006/main" headerRowCount="0" ref="A146:J149" displayName="Table_28" id="2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7" showColumnStripes="0" showFirstColumn="1" showLastColumn="1" showRowStripes="1"/>
</table>
</file>

<file path=xl/tables/table29.xml><?xml version="1.0" encoding="utf-8"?>
<table xmlns="http://schemas.openxmlformats.org/spreadsheetml/2006/main" headerRowCount="0" ref="A141:J145" displayName="Table_29" id="2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8" showColumnStripes="0" showFirstColumn="1" showLastColumn="1" showRowStripes="1"/>
</table>
</file>

<file path=xl/tables/table3.xml><?xml version="1.0" encoding="utf-8"?>
<table xmlns="http://schemas.openxmlformats.org/spreadsheetml/2006/main" headerRowCount="0" ref="A76:AM77" displayName="Table_3" id="3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План БДР-style 3" showColumnStripes="0" showFirstColumn="1" showLastColumn="1" showRowStripes="1"/>
</table>
</file>

<file path=xl/tables/table30.xml><?xml version="1.0" encoding="utf-8"?>
<table xmlns="http://schemas.openxmlformats.org/spreadsheetml/2006/main" headerRowCount="0" ref="A154:J159" displayName="Table_30" id="3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19" showColumnStripes="0" showFirstColumn="1" showLastColumn="1" showRowStripes="1"/>
</table>
</file>

<file path=xl/tables/table31.xml><?xml version="1.0" encoding="utf-8"?>
<table xmlns="http://schemas.openxmlformats.org/spreadsheetml/2006/main" headerRowCount="0" ref="A119:J122" displayName="Table_31" id="3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20" showColumnStripes="0" showFirstColumn="1" showLastColumn="1" showRowStripes="1"/>
</table>
</file>

<file path=xl/tables/table32.xml><?xml version="1.0" encoding="utf-8"?>
<table xmlns="http://schemas.openxmlformats.org/spreadsheetml/2006/main" headerRowCount="0" ref="A151:AA151" displayName="Table_32" id="3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21" showColumnStripes="0" showFirstColumn="1" showLastColumn="1" showRowStripes="1"/>
</table>
</file>

<file path=xl/tables/table33.xml><?xml version="1.0" encoding="utf-8"?>
<table xmlns="http://schemas.openxmlformats.org/spreadsheetml/2006/main" headerRowCount="0" ref="A152:J153" displayName="Table_33" id="3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22" showColumnStripes="0" showFirstColumn="1" showLastColumn="1" showRowStripes="1"/>
</table>
</file>

<file path=xl/tables/table34.xml><?xml version="1.0" encoding="utf-8"?>
<table xmlns="http://schemas.openxmlformats.org/spreadsheetml/2006/main" headerRowCount="0" ref="A118:J118" displayName="Table_34" id="3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23" showColumnStripes="0" showFirstColumn="1" showLastColumn="1" showRowStripes="1"/>
</table>
</file>

<file path=xl/tables/table35.xml><?xml version="1.0" encoding="utf-8"?>
<table xmlns="http://schemas.openxmlformats.org/spreadsheetml/2006/main" headerRowCount="0" ref="A140:AA140" displayName="Table_35" id="3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24" showColumnStripes="0" showFirstColumn="1" showLastColumn="1" showRowStripes="1"/>
</table>
</file>

<file path=xl/tables/table36.xml><?xml version="1.0" encoding="utf-8"?>
<table xmlns="http://schemas.openxmlformats.org/spreadsheetml/2006/main" headerRowCount="0" ref="A125:AA126" displayName="Table_36" id="36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Планообразующие услуги-style 25" showColumnStripes="0" showFirstColumn="1" showLastColumn="1" showRowStripes="1"/>
</table>
</file>

<file path=xl/tables/table37.xml><?xml version="1.0" encoding="utf-8"?>
<table xmlns="http://schemas.openxmlformats.org/spreadsheetml/2006/main" headerRowCount="0" ref="A150:J150" displayName="Table_37" id="3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Планообразующие услуги-style 26" showColumnStripes="0" showFirstColumn="1" showLastColumn="1" showRowStripes="1"/>
</table>
</file>

<file path=xl/tables/table4.xml><?xml version="1.0" encoding="utf-8"?>
<table xmlns="http://schemas.openxmlformats.org/spreadsheetml/2006/main" headerRowCount="0" ref="A75:AM75" displayName="Table_4" id="4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План БДР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:AF14" displayName="Table_5" id="5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Маркетинг Ожидания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7:AF30" displayName="Table_6" id="6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Маркетинг Ожидания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5:AF16" displayName="Table_7" id="7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Маркетинг Ожидания-style 3" showColumnStripes="0" showFirstColumn="1" showLastColumn="1" showRowStripes="1"/>
</table>
</file>

<file path=xl/tables/table8.xml><?xml version="1.0" encoding="utf-8"?>
<table xmlns="http://schemas.openxmlformats.org/spreadsheetml/2006/main" ref="A1:E27" displayName="Table_8" id="8">
  <tableColumns count="5">
    <tableColumn name="Отдел" id="1"/>
    <tableColumn name="Показатель" id="2"/>
    <tableColumn name="Тип расхода" id="3"/>
    <tableColumn name="Детализация" id="4"/>
    <tableColumn name="Стоимость годового обслуживания" id="5"/>
  </tableColumns>
  <tableStyleInfo name="ПО и техническая часть-style" showColumnStripes="0" showFirstColumn="1" showLastColumn="1" showRowStripes="1"/>
</table>
</file>

<file path=xl/tables/table9.xml><?xml version="1.0" encoding="utf-8"?>
<table xmlns="http://schemas.openxmlformats.org/spreadsheetml/2006/main" ref="A29:J55" displayName="Table_9" id="9">
  <tableColumns count="10">
    <tableColumn name="Показатель" id="1"/>
    <tableColumn name="Детализация" id="2"/>
    <tableColumn name="Ставка в час" id="3"/>
    <tableColumn name="Нагруженность в часах в день" id="4"/>
    <tableColumn name="Нагруженность в часах в мес" id="5"/>
    <tableColumn name="К выплате в мес на единицу" id="6"/>
    <tableColumn name="ИТОГО к выплате в год на единицу" id="7"/>
    <tableColumn name="Кол-во штатных единиц" id="8"/>
    <tableColumn name="ИТОГО к выплате в мес" id="9"/>
    <tableColumn name="ИТОГО к выплате в год" id="10"/>
  </tableColumns>
  <tableStyleInfo name="Штатный персонал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4.xml"/><Relationship Id="rId42" Type="http://schemas.openxmlformats.org/officeDocument/2006/relationships/table" Target="../tables/table26.xml"/><Relationship Id="rId41" Type="http://schemas.openxmlformats.org/officeDocument/2006/relationships/table" Target="../tables/table25.xml"/><Relationship Id="rId44" Type="http://schemas.openxmlformats.org/officeDocument/2006/relationships/table" Target="../tables/table28.xml"/><Relationship Id="rId43" Type="http://schemas.openxmlformats.org/officeDocument/2006/relationships/table" Target="../tables/table27.xml"/><Relationship Id="rId46" Type="http://schemas.openxmlformats.org/officeDocument/2006/relationships/table" Target="../tables/table30.xml"/><Relationship Id="rId45" Type="http://schemas.openxmlformats.org/officeDocument/2006/relationships/table" Target="../tables/table29.xml"/><Relationship Id="rId1" Type="http://schemas.openxmlformats.org/officeDocument/2006/relationships/drawing" Target="../drawings/drawing9.xml"/><Relationship Id="rId48" Type="http://schemas.openxmlformats.org/officeDocument/2006/relationships/table" Target="../tables/table32.xml"/><Relationship Id="rId47" Type="http://schemas.openxmlformats.org/officeDocument/2006/relationships/table" Target="../tables/table31.xml"/><Relationship Id="rId28" Type="http://schemas.openxmlformats.org/officeDocument/2006/relationships/table" Target="../tables/table12.xml"/><Relationship Id="rId49" Type="http://schemas.openxmlformats.org/officeDocument/2006/relationships/table" Target="../tables/table33.xml"/><Relationship Id="rId29" Type="http://schemas.openxmlformats.org/officeDocument/2006/relationships/table" Target="../tables/table13.xml"/><Relationship Id="rId51" Type="http://schemas.openxmlformats.org/officeDocument/2006/relationships/table" Target="../tables/table35.xml"/><Relationship Id="rId50" Type="http://schemas.openxmlformats.org/officeDocument/2006/relationships/table" Target="../tables/table34.xml"/><Relationship Id="rId31" Type="http://schemas.openxmlformats.org/officeDocument/2006/relationships/table" Target="../tables/table15.xml"/><Relationship Id="rId53" Type="http://schemas.openxmlformats.org/officeDocument/2006/relationships/table" Target="../tables/table37.xml"/><Relationship Id="rId30" Type="http://schemas.openxmlformats.org/officeDocument/2006/relationships/table" Target="../tables/table14.xml"/><Relationship Id="rId52" Type="http://schemas.openxmlformats.org/officeDocument/2006/relationships/table" Target="../tables/table36.xml"/><Relationship Id="rId33" Type="http://schemas.openxmlformats.org/officeDocument/2006/relationships/table" Target="../tables/table17.xml"/><Relationship Id="rId32" Type="http://schemas.openxmlformats.org/officeDocument/2006/relationships/table" Target="../tables/table16.xml"/><Relationship Id="rId35" Type="http://schemas.openxmlformats.org/officeDocument/2006/relationships/table" Target="../tables/table19.xml"/><Relationship Id="rId34" Type="http://schemas.openxmlformats.org/officeDocument/2006/relationships/table" Target="../tables/table18.xml"/><Relationship Id="rId37" Type="http://schemas.openxmlformats.org/officeDocument/2006/relationships/table" Target="../tables/table21.xml"/><Relationship Id="rId36" Type="http://schemas.openxmlformats.org/officeDocument/2006/relationships/table" Target="../tables/table20.xml"/><Relationship Id="rId39" Type="http://schemas.openxmlformats.org/officeDocument/2006/relationships/table" Target="../tables/table23.xml"/><Relationship Id="rId38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Col="1"/>
  <cols>
    <col customWidth="1" min="1" max="1" width="31.0"/>
    <col customWidth="1" min="2" max="2" width="30.86"/>
    <col customWidth="1" min="3" max="3" width="16.43" outlineLevel="1"/>
    <col customWidth="1" min="4" max="4" width="15.71" outlineLevel="1"/>
    <col customWidth="1" min="5" max="6" width="9.14" outlineLevel="1"/>
    <col customWidth="1" min="7" max="7" width="15.14" outlineLevel="1"/>
    <col customWidth="1" min="8" max="8" width="13.0"/>
    <col customWidth="1" min="9" max="9" width="13.57"/>
    <col customWidth="1" min="10" max="15" width="13.14"/>
    <col customWidth="1" min="16" max="17" width="14.57"/>
    <col customWidth="1" min="18" max="18" width="13.14"/>
    <col customWidth="1" min="19" max="19" width="15.14"/>
    <col customWidth="1" min="20" max="34" width="18.0"/>
    <col customWidth="1" min="35" max="35" width="31.14"/>
    <col customWidth="1" min="36" max="39" width="18.0"/>
  </cols>
  <sheetData>
    <row r="1">
      <c r="A1" s="1" t="s">
        <v>0</v>
      </c>
      <c r="B1" s="1"/>
      <c r="C1" s="1"/>
      <c r="D1" s="1"/>
      <c r="E1" s="2"/>
      <c r="F1" s="1"/>
      <c r="H1" s="3"/>
      <c r="I1" s="3"/>
      <c r="T1" s="4"/>
    </row>
    <row r="2" ht="9.0" customHeight="1">
      <c r="A2" s="5"/>
      <c r="B2" s="5"/>
      <c r="C2" s="5"/>
      <c r="D2" s="5"/>
      <c r="E2" s="6"/>
      <c r="F2" s="5"/>
      <c r="H2" s="3"/>
      <c r="I2" s="3"/>
      <c r="T2" s="4"/>
    </row>
    <row r="3">
      <c r="A3" s="5" t="s">
        <v>1</v>
      </c>
      <c r="B3" s="7">
        <v>0.0</v>
      </c>
      <c r="C3" s="5"/>
      <c r="D3" s="5"/>
      <c r="E3" s="6"/>
      <c r="F3" s="5"/>
      <c r="H3" s="3"/>
      <c r="I3" s="3"/>
      <c r="T3" s="4"/>
    </row>
    <row r="4" ht="6.0" customHeight="1">
      <c r="A4" s="5"/>
      <c r="B4" s="8"/>
      <c r="C4" s="5"/>
      <c r="D4" s="5"/>
      <c r="E4" s="6"/>
      <c r="F4" s="5"/>
      <c r="H4" s="3"/>
      <c r="I4" s="3"/>
      <c r="T4" s="4"/>
    </row>
    <row r="5">
      <c r="A5" s="5" t="s">
        <v>2</v>
      </c>
      <c r="B5" s="9">
        <v>0.0</v>
      </c>
      <c r="C5" s="5"/>
      <c r="D5" s="5"/>
      <c r="E5" s="6"/>
      <c r="F5" s="5"/>
      <c r="H5" s="3"/>
      <c r="I5" s="3"/>
      <c r="T5" s="4"/>
    </row>
    <row r="6" ht="6.0" customHeight="1">
      <c r="A6" s="5"/>
      <c r="B6" s="5"/>
      <c r="C6" s="5"/>
      <c r="D6" s="5"/>
      <c r="E6" s="6"/>
      <c r="F6" s="5"/>
      <c r="H6" s="3"/>
      <c r="I6" s="3"/>
      <c r="T6" s="4"/>
    </row>
    <row r="7">
      <c r="A7" s="5" t="s">
        <v>3</v>
      </c>
      <c r="B7" s="10">
        <v>0.0</v>
      </c>
      <c r="C7" s="5"/>
      <c r="D7" s="5"/>
      <c r="E7" s="6"/>
      <c r="F7" s="5"/>
      <c r="H7" s="3"/>
      <c r="I7" s="3"/>
      <c r="T7" s="4"/>
    </row>
    <row r="8" ht="6.75" customHeight="1">
      <c r="A8" s="5"/>
      <c r="B8" s="5"/>
      <c r="C8" s="5"/>
      <c r="D8" s="5"/>
      <c r="E8" s="6"/>
      <c r="F8" s="5"/>
      <c r="H8" s="3"/>
      <c r="I8" s="3"/>
      <c r="T8" s="4"/>
    </row>
    <row r="9">
      <c r="A9" s="5" t="s">
        <v>4</v>
      </c>
      <c r="B9" s="7">
        <v>0.0</v>
      </c>
      <c r="C9" s="5"/>
      <c r="D9" s="5"/>
      <c r="E9" s="6"/>
      <c r="F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>
      <c r="A10" s="5"/>
      <c r="B10" s="5"/>
      <c r="C10" s="5"/>
      <c r="D10" s="5"/>
      <c r="E10" s="6"/>
      <c r="F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>
      <c r="E11" s="12"/>
      <c r="H11" s="3">
        <f t="shared" ref="H11:AG11" si="1">H31-H37-H51</f>
        <v>409184924.6</v>
      </c>
      <c r="I11" s="3">
        <f t="shared" si="1"/>
        <v>401653952.3</v>
      </c>
      <c r="J11" s="3">
        <f t="shared" si="1"/>
        <v>418476443.6</v>
      </c>
      <c r="K11" s="3">
        <f t="shared" si="1"/>
        <v>415438356.6</v>
      </c>
      <c r="L11" s="3">
        <f t="shared" si="1"/>
        <v>420734108.2</v>
      </c>
      <c r="M11" s="3">
        <f t="shared" si="1"/>
        <v>447307733.8</v>
      </c>
      <c r="N11" s="3">
        <f t="shared" si="1"/>
        <v>437998967.3</v>
      </c>
      <c r="O11" s="3">
        <f t="shared" si="1"/>
        <v>461961194.5</v>
      </c>
      <c r="P11" s="3">
        <f t="shared" si="1"/>
        <v>471501827.4</v>
      </c>
      <c r="Q11" s="3">
        <f t="shared" si="1"/>
        <v>469198889.4</v>
      </c>
      <c r="R11" s="3">
        <f t="shared" si="1"/>
        <v>461679343.6</v>
      </c>
      <c r="S11" s="3">
        <f t="shared" si="1"/>
        <v>498416730.7</v>
      </c>
      <c r="T11" s="3">
        <f t="shared" si="1"/>
        <v>5313552472</v>
      </c>
      <c r="U11" s="3">
        <f t="shared" si="1"/>
        <v>430882459</v>
      </c>
      <c r="V11" s="3">
        <f t="shared" si="1"/>
        <v>435648487.4</v>
      </c>
      <c r="W11" s="3">
        <f t="shared" si="1"/>
        <v>440360090.5</v>
      </c>
      <c r="X11" s="3">
        <f t="shared" si="1"/>
        <v>424056314.6</v>
      </c>
      <c r="Y11" s="3">
        <f t="shared" si="1"/>
        <v>429401833.3</v>
      </c>
      <c r="Z11" s="3">
        <f t="shared" si="1"/>
        <v>456458595.4</v>
      </c>
      <c r="AA11" s="3">
        <f t="shared" si="1"/>
        <v>446899419.9</v>
      </c>
      <c r="AB11" s="3">
        <f t="shared" si="1"/>
        <v>471284185.2</v>
      </c>
      <c r="AC11" s="3">
        <f t="shared" si="1"/>
        <v>480953420.6</v>
      </c>
      <c r="AD11" s="3">
        <f t="shared" si="1"/>
        <v>478542183.1</v>
      </c>
      <c r="AE11" s="3">
        <f t="shared" si="1"/>
        <v>470812847.8</v>
      </c>
      <c r="AF11" s="3">
        <f t="shared" si="1"/>
        <v>508210593.2</v>
      </c>
      <c r="AG11" s="3">
        <f t="shared" si="1"/>
        <v>5473510430</v>
      </c>
      <c r="AH11" s="3"/>
      <c r="AI11" s="3"/>
      <c r="AJ11" s="3"/>
      <c r="AK11" s="3"/>
      <c r="AL11" s="3"/>
      <c r="AM11" s="3"/>
    </row>
    <row r="12">
      <c r="E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>
      <c r="E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1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>
      <c r="E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>
      <c r="E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>
      <c r="A16" s="13" t="s">
        <v>5</v>
      </c>
      <c r="B16" s="14" t="s">
        <v>6</v>
      </c>
      <c r="C16" s="15" t="s">
        <v>7</v>
      </c>
      <c r="D16" s="15" t="s">
        <v>8</v>
      </c>
      <c r="E16" s="16" t="s">
        <v>9</v>
      </c>
      <c r="F16" s="13" t="s">
        <v>10</v>
      </c>
      <c r="G16" s="14" t="s">
        <v>11</v>
      </c>
      <c r="H16" s="17">
        <v>1.0</v>
      </c>
      <c r="I16" s="18">
        <v>2.0</v>
      </c>
      <c r="J16" s="19">
        <v>3.0</v>
      </c>
      <c r="K16" s="17">
        <v>4.0</v>
      </c>
      <c r="L16" s="17">
        <v>5.0</v>
      </c>
      <c r="M16" s="18">
        <v>6.0</v>
      </c>
      <c r="N16" s="19">
        <v>7.0</v>
      </c>
      <c r="O16" s="17">
        <v>8.0</v>
      </c>
      <c r="P16" s="17">
        <v>9.0</v>
      </c>
      <c r="Q16" s="18">
        <v>10.0</v>
      </c>
      <c r="R16" s="19">
        <v>11.0</v>
      </c>
      <c r="S16" s="17">
        <v>12.0</v>
      </c>
      <c r="T16" s="20" t="s">
        <v>12</v>
      </c>
      <c r="U16" s="21">
        <v>13.0</v>
      </c>
      <c r="V16" s="21">
        <v>14.0</v>
      </c>
      <c r="W16" s="21">
        <v>15.0</v>
      </c>
      <c r="X16" s="21">
        <v>16.0</v>
      </c>
      <c r="Y16" s="21">
        <v>17.0</v>
      </c>
      <c r="Z16" s="21">
        <v>18.0</v>
      </c>
      <c r="AA16" s="21">
        <v>19.0</v>
      </c>
      <c r="AB16" s="21">
        <v>20.0</v>
      </c>
      <c r="AC16" s="21">
        <v>21.0</v>
      </c>
      <c r="AD16" s="21">
        <v>22.0</v>
      </c>
      <c r="AE16" s="21">
        <v>23.0</v>
      </c>
      <c r="AF16" s="21">
        <v>24.0</v>
      </c>
      <c r="AG16" s="21">
        <v>2023.0</v>
      </c>
      <c r="AH16" s="22"/>
      <c r="AI16" s="22"/>
      <c r="AJ16" s="22"/>
      <c r="AK16" s="22"/>
      <c r="AL16" s="22"/>
      <c r="AM16" s="22"/>
    </row>
    <row r="17">
      <c r="A17" s="23" t="s">
        <v>13</v>
      </c>
      <c r="B17" s="24"/>
      <c r="C17" s="25"/>
      <c r="D17" s="25"/>
      <c r="E17" s="26"/>
      <c r="F17" s="23"/>
      <c r="G17" s="24"/>
      <c r="H17" s="25">
        <v>0.016160269119935143</v>
      </c>
      <c r="I17" s="26">
        <v>0.020610591765310347</v>
      </c>
      <c r="J17" s="23">
        <v>0.024876471872463363</v>
      </c>
      <c r="K17" s="25">
        <v>0.0203733590146297</v>
      </c>
      <c r="L17" s="26">
        <v>0.02626582407626792</v>
      </c>
      <c r="M17" s="23">
        <v>0.08346959133579625</v>
      </c>
      <c r="N17" s="25">
        <v>0.05382095751697525</v>
      </c>
      <c r="O17" s="26">
        <v>0.1038498152327481</v>
      </c>
      <c r="P17" s="23">
        <v>0.11907645604746595</v>
      </c>
      <c r="Q17" s="25">
        <v>0.10625370913190217</v>
      </c>
      <c r="R17" s="26">
        <v>0.08141446190068095</v>
      </c>
      <c r="S17" s="23">
        <v>0.15960142501856414</v>
      </c>
      <c r="T17" s="27"/>
      <c r="U17" s="25">
        <v>0.016160269119935143</v>
      </c>
      <c r="V17" s="26">
        <v>0.020610591765310347</v>
      </c>
      <c r="W17" s="23">
        <v>0.024876471872463363</v>
      </c>
      <c r="X17" s="25">
        <v>0.0203733590146297</v>
      </c>
      <c r="Y17" s="26">
        <v>0.02626582407626792</v>
      </c>
      <c r="Z17" s="23">
        <v>0.08346959133579625</v>
      </c>
      <c r="AA17" s="25">
        <v>0.05382095751697525</v>
      </c>
      <c r="AB17" s="26">
        <v>0.1038498152327481</v>
      </c>
      <c r="AC17" s="23">
        <v>0.11907645604746595</v>
      </c>
      <c r="AD17" s="25">
        <v>0.10625370913190217</v>
      </c>
      <c r="AE17" s="26">
        <v>0.08141446190068095</v>
      </c>
      <c r="AF17" s="23">
        <v>0.15960142501856414</v>
      </c>
      <c r="AG17" s="23"/>
      <c r="AH17" s="28" t="s">
        <v>14</v>
      </c>
      <c r="AI17" s="29" t="s">
        <v>15</v>
      </c>
      <c r="AJ17" s="28" t="s">
        <v>16</v>
      </c>
      <c r="AK17" s="30" t="s">
        <v>17</v>
      </c>
      <c r="AL17" s="31"/>
      <c r="AM17" s="31"/>
    </row>
    <row r="18">
      <c r="A18" s="32" t="s">
        <v>18</v>
      </c>
      <c r="B18" s="33"/>
      <c r="C18" s="33"/>
      <c r="D18" s="34"/>
      <c r="E18" s="35"/>
      <c r="F18" s="32">
        <f t="shared" ref="F18:F22" si="4">-E18</f>
        <v>0</v>
      </c>
      <c r="G18" s="33">
        <f t="shared" ref="G18:S18" si="2">G17-$B$3</f>
        <v>0</v>
      </c>
      <c r="H18" s="34">
        <f t="shared" si="2"/>
        <v>0.01616026912</v>
      </c>
      <c r="I18" s="35">
        <f t="shared" si="2"/>
        <v>0.02061059177</v>
      </c>
      <c r="J18" s="32">
        <f t="shared" si="2"/>
        <v>0.02487647187</v>
      </c>
      <c r="K18" s="34">
        <f t="shared" si="2"/>
        <v>0.02037335901</v>
      </c>
      <c r="L18" s="35">
        <f t="shared" si="2"/>
        <v>0.02626582408</v>
      </c>
      <c r="M18" s="32">
        <f t="shared" si="2"/>
        <v>0.08346959134</v>
      </c>
      <c r="N18" s="34">
        <f t="shared" si="2"/>
        <v>0.05382095752</v>
      </c>
      <c r="O18" s="35">
        <f t="shared" si="2"/>
        <v>0.1038498152</v>
      </c>
      <c r="P18" s="32">
        <f t="shared" si="2"/>
        <v>0.119076456</v>
      </c>
      <c r="Q18" s="34">
        <f t="shared" si="2"/>
        <v>0.1062537091</v>
      </c>
      <c r="R18" s="35">
        <f t="shared" si="2"/>
        <v>0.0814144619</v>
      </c>
      <c r="S18" s="32">
        <f t="shared" si="2"/>
        <v>0.159601425</v>
      </c>
      <c r="T18" s="36"/>
      <c r="U18" s="34">
        <f t="shared" ref="U18:AF18" si="3">U17-$B$3</f>
        <v>0.01616026912</v>
      </c>
      <c r="V18" s="35">
        <f t="shared" si="3"/>
        <v>0.02061059177</v>
      </c>
      <c r="W18" s="32">
        <f t="shared" si="3"/>
        <v>0.02487647187</v>
      </c>
      <c r="X18" s="34">
        <f t="shared" si="3"/>
        <v>0.02037335901</v>
      </c>
      <c r="Y18" s="35">
        <f t="shared" si="3"/>
        <v>0.02626582408</v>
      </c>
      <c r="Z18" s="32">
        <f t="shared" si="3"/>
        <v>0.08346959134</v>
      </c>
      <c r="AA18" s="34">
        <f t="shared" si="3"/>
        <v>0.05382095752</v>
      </c>
      <c r="AB18" s="35">
        <f t="shared" si="3"/>
        <v>0.1038498152</v>
      </c>
      <c r="AC18" s="32">
        <f t="shared" si="3"/>
        <v>0.119076456</v>
      </c>
      <c r="AD18" s="34">
        <f t="shared" si="3"/>
        <v>0.1062537091</v>
      </c>
      <c r="AE18" s="35">
        <f t="shared" si="3"/>
        <v>0.0814144619</v>
      </c>
      <c r="AF18" s="32">
        <f t="shared" si="3"/>
        <v>0.159601425</v>
      </c>
      <c r="AG18" s="37"/>
      <c r="AH18" s="30" t="s">
        <v>19</v>
      </c>
      <c r="AI18" s="38">
        <v>192546.0</v>
      </c>
      <c r="AJ18" s="39">
        <v>0.11299647887323944</v>
      </c>
      <c r="AK18" s="38">
        <f t="shared" ref="AK18:AK24" si="5">AI18/12</f>
        <v>16045.5</v>
      </c>
      <c r="AL18" s="39"/>
      <c r="AM18" s="39"/>
    </row>
    <row r="19">
      <c r="A19" s="40" t="s">
        <v>20</v>
      </c>
      <c r="B19" s="41"/>
      <c r="C19" s="33"/>
      <c r="D19" s="42"/>
      <c r="E19" s="43"/>
      <c r="F19" s="40">
        <f t="shared" si="4"/>
        <v>0</v>
      </c>
      <c r="G19" s="41">
        <f>'Планообразующие услуги'!$L$2+'Планообразующие услуги'!$L$2*G18</f>
        <v>14624.72975</v>
      </c>
      <c r="H19" s="42">
        <f>'Планообразующие услуги'!$L$2+'Планообразующие услуги'!$L$2*H18</f>
        <v>14861.06931</v>
      </c>
      <c r="I19" s="43">
        <f>'Планообразующие услуги'!$L$2+'Планообразующие услуги'!$L$2*I18</f>
        <v>14926.15408</v>
      </c>
      <c r="J19" s="40">
        <f>'Планообразующие услуги'!$L$2+'Планообразующие услуги'!$L$2*J18</f>
        <v>14988.54142</v>
      </c>
      <c r="K19" s="42">
        <f>'Планообразующие услуги'!$L$2+'Планообразующие услуги'!$L$2*K18</f>
        <v>14922.68462</v>
      </c>
      <c r="L19" s="43">
        <f>'Планообразующие услуги'!$L$2+'Планообразующие услуги'!$L$2*L18</f>
        <v>15008.86032</v>
      </c>
      <c r="M19" s="40">
        <f>'Планообразующие услуги'!$L$2+'Планообразующие услуги'!$L$2*M18</f>
        <v>15845.44996</v>
      </c>
      <c r="N19" s="42">
        <f>'Планообразующие услуги'!$L$2+'Планообразующие услуги'!$L$2*N18</f>
        <v>15411.8467</v>
      </c>
      <c r="O19" s="43">
        <f>'Планообразующие услуги'!$L$2+'Планообразующие услуги'!$L$2*O18</f>
        <v>16143.50523</v>
      </c>
      <c r="P19" s="40">
        <f>'Планообразующие услуги'!$L$2+'Планообразующие услуги'!$L$2*P18</f>
        <v>16366.19073</v>
      </c>
      <c r="Q19" s="42">
        <f>'Планообразующие услуги'!$L$2+'Планообразующие услуги'!$L$2*Q18</f>
        <v>16178.66153</v>
      </c>
      <c r="R19" s="43">
        <f>'Планообразующие услуги'!$L$2+'Планообразующие услуги'!$L$2*R18</f>
        <v>15815.39425</v>
      </c>
      <c r="S19" s="40">
        <f>'Планообразующие услуги'!$L$2+'Планообразующие услуги'!$L$2*S18</f>
        <v>16958.85745</v>
      </c>
      <c r="T19" s="36">
        <f t="shared" ref="T19:T45" si="7">SUM(H19:S19)</f>
        <v>187427.2156</v>
      </c>
      <c r="U19" s="42">
        <f>'Планообразующие услуги'!$L$2+'Планообразующие услуги'!$L$2*U18</f>
        <v>14861.06931</v>
      </c>
      <c r="V19" s="43">
        <f>'Планообразующие услуги'!$L$2+'Планообразующие услуги'!$L$2*V18</f>
        <v>14926.15408</v>
      </c>
      <c r="W19" s="40">
        <f>'Планообразующие услуги'!$L$2+'Планообразующие услуги'!$L$2*W18</f>
        <v>14988.54142</v>
      </c>
      <c r="X19" s="42">
        <f>'Планообразующие услуги'!$L$2+'Планообразующие услуги'!$L$2*X18</f>
        <v>14922.68462</v>
      </c>
      <c r="Y19" s="43">
        <f>'Планообразующие услуги'!$L$2+'Планообразующие услуги'!$L$2*Y18</f>
        <v>15008.86032</v>
      </c>
      <c r="Z19" s="40">
        <f>'Планообразующие услуги'!$L$2+'Планообразующие услуги'!$L$2*Z18</f>
        <v>15845.44996</v>
      </c>
      <c r="AA19" s="42">
        <f>'Планообразующие услуги'!$L$2+'Планообразующие услуги'!$L$2*AA18</f>
        <v>15411.8467</v>
      </c>
      <c r="AB19" s="43">
        <f>'Планообразующие услуги'!$L$2+'Планообразующие услуги'!$L$2*AB18</f>
        <v>16143.50523</v>
      </c>
      <c r="AC19" s="40">
        <f>'Планообразующие услуги'!$L$2+'Планообразующие услуги'!$L$2*AC18</f>
        <v>16366.19073</v>
      </c>
      <c r="AD19" s="42">
        <f>'Планообразующие услуги'!$L$2+'Планообразующие услуги'!$L$2*AD18</f>
        <v>16178.66153</v>
      </c>
      <c r="AE19" s="43">
        <f>'Планообразующие услуги'!$L$2+'Планообразующие услуги'!$L$2*AE18</f>
        <v>15815.39425</v>
      </c>
      <c r="AF19" s="40">
        <f>'Планообразующие услуги'!$L$2+'Планообразующие услуги'!$L$2*AF18</f>
        <v>16958.85745</v>
      </c>
      <c r="AG19" s="37">
        <f t="shared" ref="AG19:AG45" si="9">SUM(U19:AF19)</f>
        <v>187427.2156</v>
      </c>
      <c r="AH19" s="44" t="s">
        <v>21</v>
      </c>
      <c r="AI19" s="38">
        <v>187427.0</v>
      </c>
      <c r="AJ19" s="39">
        <v>0.11743546365914787</v>
      </c>
      <c r="AK19" s="38">
        <f t="shared" si="5"/>
        <v>15618.91667</v>
      </c>
      <c r="AL19" s="45"/>
      <c r="AM19" s="45"/>
    </row>
    <row r="20">
      <c r="A20" s="40" t="s">
        <v>22</v>
      </c>
      <c r="B20" s="41"/>
      <c r="C20" s="33"/>
      <c r="D20" s="42"/>
      <c r="E20" s="43"/>
      <c r="F20" s="40">
        <f t="shared" si="4"/>
        <v>0</v>
      </c>
      <c r="G20" s="41">
        <f t="shared" ref="G20:S20" si="6">G19+$B$7</f>
        <v>14624.72975</v>
      </c>
      <c r="H20" s="42">
        <f t="shared" si="6"/>
        <v>14861.06931</v>
      </c>
      <c r="I20" s="43">
        <f t="shared" si="6"/>
        <v>14926.15408</v>
      </c>
      <c r="J20" s="40">
        <f t="shared" si="6"/>
        <v>14988.54142</v>
      </c>
      <c r="K20" s="42">
        <f t="shared" si="6"/>
        <v>14922.68462</v>
      </c>
      <c r="L20" s="43">
        <f t="shared" si="6"/>
        <v>15008.86032</v>
      </c>
      <c r="M20" s="40">
        <f t="shared" si="6"/>
        <v>15845.44996</v>
      </c>
      <c r="N20" s="42">
        <f t="shared" si="6"/>
        <v>15411.8467</v>
      </c>
      <c r="O20" s="43">
        <f t="shared" si="6"/>
        <v>16143.50523</v>
      </c>
      <c r="P20" s="40">
        <f t="shared" si="6"/>
        <v>16366.19073</v>
      </c>
      <c r="Q20" s="42">
        <f t="shared" si="6"/>
        <v>16178.66153</v>
      </c>
      <c r="R20" s="43">
        <f t="shared" si="6"/>
        <v>15815.39425</v>
      </c>
      <c r="S20" s="40">
        <f t="shared" si="6"/>
        <v>16958.85745</v>
      </c>
      <c r="T20" s="36">
        <f t="shared" si="7"/>
        <v>187427.2156</v>
      </c>
      <c r="U20" s="43">
        <f t="shared" ref="U20:AF20" si="8">U19+$B$7</f>
        <v>14861.06931</v>
      </c>
      <c r="V20" s="40">
        <f t="shared" si="8"/>
        <v>14926.15408</v>
      </c>
      <c r="W20" s="42">
        <f t="shared" si="8"/>
        <v>14988.54142</v>
      </c>
      <c r="X20" s="43">
        <f t="shared" si="8"/>
        <v>14922.68462</v>
      </c>
      <c r="Y20" s="40">
        <f t="shared" si="8"/>
        <v>15008.86032</v>
      </c>
      <c r="Z20" s="40">
        <f t="shared" si="8"/>
        <v>15845.44996</v>
      </c>
      <c r="AA20" s="42">
        <f t="shared" si="8"/>
        <v>15411.8467</v>
      </c>
      <c r="AB20" s="43">
        <f t="shared" si="8"/>
        <v>16143.50523</v>
      </c>
      <c r="AC20" s="40">
        <f t="shared" si="8"/>
        <v>16366.19073</v>
      </c>
      <c r="AD20" s="42">
        <f t="shared" si="8"/>
        <v>16178.66153</v>
      </c>
      <c r="AE20" s="43">
        <f t="shared" si="8"/>
        <v>15815.39425</v>
      </c>
      <c r="AF20" s="40">
        <f t="shared" si="8"/>
        <v>16958.85745</v>
      </c>
      <c r="AG20" s="37">
        <f t="shared" si="9"/>
        <v>187427.2156</v>
      </c>
      <c r="AH20" s="44" t="s">
        <v>23</v>
      </c>
      <c r="AI20" s="38">
        <v>619525.6</v>
      </c>
      <c r="AJ20" s="39">
        <v>0.09999999999999999</v>
      </c>
      <c r="AK20" s="38">
        <f t="shared" si="5"/>
        <v>51627.13333</v>
      </c>
      <c r="AL20" s="45"/>
      <c r="AM20" s="45"/>
    </row>
    <row r="21" ht="15.75" customHeight="1">
      <c r="A21" s="40" t="s">
        <v>24</v>
      </c>
      <c r="B21" s="41"/>
      <c r="C21" s="46"/>
      <c r="D21" s="42"/>
      <c r="E21" s="43"/>
      <c r="F21" s="40">
        <f t="shared" si="4"/>
        <v>0</v>
      </c>
      <c r="G21" s="41">
        <f>AI24</f>
        <v>1705101.909</v>
      </c>
      <c r="H21" s="42">
        <v>139034.0</v>
      </c>
      <c r="I21" s="43">
        <v>135888.0</v>
      </c>
      <c r="J21" s="40">
        <v>140972.0</v>
      </c>
      <c r="K21" s="42">
        <v>140569.333333333</v>
      </c>
      <c r="L21" s="43">
        <v>141538.333333333</v>
      </c>
      <c r="M21" s="40">
        <v>142507.333333333</v>
      </c>
      <c r="N21" s="42">
        <v>143476.333333333</v>
      </c>
      <c r="O21" s="43">
        <v>144445.333333333</v>
      </c>
      <c r="P21" s="40">
        <v>145414.333333333</v>
      </c>
      <c r="Q21" s="42">
        <v>146383.333333333</v>
      </c>
      <c r="R21" s="43">
        <v>147352.333333333</v>
      </c>
      <c r="S21" s="40">
        <v>148321.333333333</v>
      </c>
      <c r="T21" s="47">
        <f t="shared" si="7"/>
        <v>1715902</v>
      </c>
      <c r="U21" s="42">
        <v>146383.333333333</v>
      </c>
      <c r="V21" s="43">
        <v>147352.333333333</v>
      </c>
      <c r="W21" s="40">
        <v>148321.333333333</v>
      </c>
      <c r="X21" s="42">
        <v>143476.333333333</v>
      </c>
      <c r="Y21" s="43">
        <v>144445.333333333</v>
      </c>
      <c r="Z21" s="40">
        <v>145414.333333333</v>
      </c>
      <c r="AA21" s="42">
        <v>146383.333333333</v>
      </c>
      <c r="AB21" s="43">
        <v>147352.333333333</v>
      </c>
      <c r="AC21" s="40">
        <v>148321.333333333</v>
      </c>
      <c r="AD21" s="42">
        <v>149290.333333333</v>
      </c>
      <c r="AE21" s="43">
        <v>150259.333333333</v>
      </c>
      <c r="AF21" s="40">
        <v>151228.333333333</v>
      </c>
      <c r="AG21" s="48">
        <f t="shared" si="9"/>
        <v>1768228</v>
      </c>
      <c r="AH21" s="44" t="s">
        <v>25</v>
      </c>
      <c r="AI21" s="38">
        <v>460887.83999999997</v>
      </c>
      <c r="AJ21" s="49">
        <v>0.06</v>
      </c>
      <c r="AK21" s="38">
        <f t="shared" si="5"/>
        <v>38407.32</v>
      </c>
      <c r="AL21" s="45"/>
      <c r="AM21" s="45"/>
    </row>
    <row r="22" ht="15.75" customHeight="1">
      <c r="A22" s="40" t="s">
        <v>26</v>
      </c>
      <c r="B22" s="41"/>
      <c r="C22" s="46"/>
      <c r="D22" s="42"/>
      <c r="E22" s="43"/>
      <c r="F22" s="40">
        <f t="shared" si="4"/>
        <v>0</v>
      </c>
      <c r="G22" s="41">
        <f t="shared" ref="G22:S22" si="10">G21+$B$5</f>
        <v>1705101.909</v>
      </c>
      <c r="H22" s="42">
        <f t="shared" si="10"/>
        <v>139034</v>
      </c>
      <c r="I22" s="43">
        <f t="shared" si="10"/>
        <v>135888</v>
      </c>
      <c r="J22" s="40">
        <f t="shared" si="10"/>
        <v>140972</v>
      </c>
      <c r="K22" s="42">
        <f t="shared" si="10"/>
        <v>140569.3333</v>
      </c>
      <c r="L22" s="43">
        <f t="shared" si="10"/>
        <v>141538.3333</v>
      </c>
      <c r="M22" s="40">
        <f t="shared" si="10"/>
        <v>142507.3333</v>
      </c>
      <c r="N22" s="42">
        <f t="shared" si="10"/>
        <v>143476.3333</v>
      </c>
      <c r="O22" s="43">
        <f t="shared" si="10"/>
        <v>144445.3333</v>
      </c>
      <c r="P22" s="40">
        <f t="shared" si="10"/>
        <v>145414.3333</v>
      </c>
      <c r="Q22" s="42">
        <f t="shared" si="10"/>
        <v>146383.3333</v>
      </c>
      <c r="R22" s="43">
        <f t="shared" si="10"/>
        <v>147352.3333</v>
      </c>
      <c r="S22" s="40">
        <f t="shared" si="10"/>
        <v>148321.3333</v>
      </c>
      <c r="T22" s="47">
        <f t="shared" si="7"/>
        <v>1715902</v>
      </c>
      <c r="U22" s="42">
        <f t="shared" ref="U22:AF22" si="11">U21+$B$5</f>
        <v>146383.3333</v>
      </c>
      <c r="V22" s="43">
        <f t="shared" si="11"/>
        <v>147352.3333</v>
      </c>
      <c r="W22" s="40">
        <f t="shared" si="11"/>
        <v>148321.3333</v>
      </c>
      <c r="X22" s="42">
        <f t="shared" si="11"/>
        <v>143476.3333</v>
      </c>
      <c r="Y22" s="43">
        <f t="shared" si="11"/>
        <v>144445.3333</v>
      </c>
      <c r="Z22" s="40">
        <f t="shared" si="11"/>
        <v>145414.3333</v>
      </c>
      <c r="AA22" s="42">
        <f t="shared" si="11"/>
        <v>146383.3333</v>
      </c>
      <c r="AB22" s="43">
        <f t="shared" si="11"/>
        <v>147352.3333</v>
      </c>
      <c r="AC22" s="40">
        <f t="shared" si="11"/>
        <v>148321.3333</v>
      </c>
      <c r="AD22" s="42">
        <f t="shared" si="11"/>
        <v>149290.3333</v>
      </c>
      <c r="AE22" s="43">
        <f t="shared" si="11"/>
        <v>150259.3333</v>
      </c>
      <c r="AF22" s="40">
        <f t="shared" si="11"/>
        <v>151228.3333</v>
      </c>
      <c r="AG22" s="48">
        <f t="shared" si="9"/>
        <v>1768228</v>
      </c>
      <c r="AH22" s="44" t="s">
        <v>27</v>
      </c>
      <c r="AI22" s="38">
        <v>240219.84</v>
      </c>
      <c r="AJ22" s="49">
        <v>0.02</v>
      </c>
      <c r="AK22" s="38">
        <f t="shared" si="5"/>
        <v>20018.32</v>
      </c>
      <c r="AL22" s="45"/>
      <c r="AM22" s="45"/>
    </row>
    <row r="23" ht="15.75" customHeight="1">
      <c r="A23" s="40" t="s">
        <v>28</v>
      </c>
      <c r="B23" s="41" t="s">
        <v>29</v>
      </c>
      <c r="C23" s="46">
        <f>'Планирование доходов'!B14</f>
        <v>106415362</v>
      </c>
      <c r="D23" s="42">
        <v>0.94</v>
      </c>
      <c r="E23" s="43"/>
      <c r="F23" s="40"/>
      <c r="G23" s="41">
        <f t="shared" ref="G23:S23" si="12">$C$29*G17</f>
        <v>0</v>
      </c>
      <c r="H23" s="42">
        <f t="shared" si="12"/>
        <v>1719700.888</v>
      </c>
      <c r="I23" s="43">
        <f t="shared" si="12"/>
        <v>2193283.584</v>
      </c>
      <c r="J23" s="40">
        <f t="shared" si="12"/>
        <v>2647238.76</v>
      </c>
      <c r="K23" s="42">
        <f t="shared" si="12"/>
        <v>2168038.375</v>
      </c>
      <c r="L23" s="43">
        <f t="shared" si="12"/>
        <v>2795087.177</v>
      </c>
      <c r="M23" s="40">
        <f t="shared" si="12"/>
        <v>8882446.778</v>
      </c>
      <c r="N23" s="42">
        <f t="shared" si="12"/>
        <v>5727376.677</v>
      </c>
      <c r="O23" s="43">
        <f t="shared" si="12"/>
        <v>11051215.68</v>
      </c>
      <c r="P23" s="40">
        <f t="shared" si="12"/>
        <v>12671564.18</v>
      </c>
      <c r="Q23" s="42">
        <f t="shared" si="12"/>
        <v>11307026.92</v>
      </c>
      <c r="R23" s="43">
        <f t="shared" si="12"/>
        <v>8663749.435</v>
      </c>
      <c r="S23" s="40">
        <f t="shared" si="12"/>
        <v>16984043.42</v>
      </c>
      <c r="T23" s="47">
        <f t="shared" si="7"/>
        <v>86810771.87</v>
      </c>
      <c r="U23" s="42">
        <f t="shared" ref="U23:AF23" si="13">$C$29*U17</f>
        <v>1719700.888</v>
      </c>
      <c r="V23" s="43">
        <f t="shared" si="13"/>
        <v>2193283.584</v>
      </c>
      <c r="W23" s="40">
        <f t="shared" si="13"/>
        <v>2647238.76</v>
      </c>
      <c r="X23" s="42">
        <f t="shared" si="13"/>
        <v>2168038.375</v>
      </c>
      <c r="Y23" s="43">
        <f t="shared" si="13"/>
        <v>2795087.177</v>
      </c>
      <c r="Z23" s="40">
        <f t="shared" si="13"/>
        <v>8882446.778</v>
      </c>
      <c r="AA23" s="42">
        <f t="shared" si="13"/>
        <v>5727376.677</v>
      </c>
      <c r="AB23" s="43">
        <f t="shared" si="13"/>
        <v>11051215.68</v>
      </c>
      <c r="AC23" s="40">
        <f t="shared" si="13"/>
        <v>12671564.18</v>
      </c>
      <c r="AD23" s="42">
        <f t="shared" si="13"/>
        <v>11307026.92</v>
      </c>
      <c r="AE23" s="43">
        <f t="shared" si="13"/>
        <v>8663749.435</v>
      </c>
      <c r="AF23" s="40">
        <f t="shared" si="13"/>
        <v>16984043.42</v>
      </c>
      <c r="AG23" s="48">
        <f t="shared" si="9"/>
        <v>86810771.87</v>
      </c>
      <c r="AH23" s="44" t="s">
        <v>30</v>
      </c>
      <c r="AI23" s="38">
        <v>4495.629</v>
      </c>
      <c r="AJ23" s="49">
        <v>0.001</v>
      </c>
      <c r="AK23" s="38">
        <f t="shared" si="5"/>
        <v>374.63575</v>
      </c>
      <c r="AL23" s="45"/>
      <c r="AM23" s="45"/>
    </row>
    <row r="24" ht="15.75" customHeight="1">
      <c r="A24" s="40" t="s">
        <v>31</v>
      </c>
      <c r="B24" s="41"/>
      <c r="C24" s="33"/>
      <c r="D24" s="42"/>
      <c r="E24" s="43"/>
      <c r="F24" s="40"/>
      <c r="G24" s="41">
        <f t="shared" ref="G24:R24" si="14">IFERROR(AVERAGE(G28:I28),0)</f>
        <v>1120419635</v>
      </c>
      <c r="H24" s="42">
        <f t="shared" si="14"/>
        <v>1696701305</v>
      </c>
      <c r="I24" s="43">
        <f t="shared" si="14"/>
        <v>1705305269</v>
      </c>
      <c r="J24" s="40">
        <f t="shared" si="14"/>
        <v>1731557254</v>
      </c>
      <c r="K24" s="42">
        <f t="shared" si="14"/>
        <v>1771225618</v>
      </c>
      <c r="L24" s="43">
        <f t="shared" si="14"/>
        <v>1802266288</v>
      </c>
      <c r="M24" s="40">
        <f t="shared" si="14"/>
        <v>1858989765</v>
      </c>
      <c r="N24" s="42">
        <f t="shared" si="14"/>
        <v>1892277910</v>
      </c>
      <c r="O24" s="43">
        <f t="shared" si="14"/>
        <v>1935205224</v>
      </c>
      <c r="P24" s="40">
        <f t="shared" si="14"/>
        <v>1934817433</v>
      </c>
      <c r="Q24" s="42">
        <f t="shared" si="14"/>
        <v>1971849079</v>
      </c>
      <c r="R24" s="43">
        <f t="shared" si="14"/>
        <v>8656571374</v>
      </c>
      <c r="S24" s="40">
        <f>IFERROR(AVERAGE(S28:AH28),0)</f>
        <v>4624771826</v>
      </c>
      <c r="T24" s="36">
        <f t="shared" si="7"/>
        <v>31581538345</v>
      </c>
      <c r="U24" s="42">
        <f t="shared" ref="U24:AE24" si="15">IFERROR(AVERAGE(U28:W28),0)</f>
        <v>1803436098</v>
      </c>
      <c r="V24" s="43">
        <f t="shared" si="15"/>
        <v>1794044148</v>
      </c>
      <c r="W24" s="40">
        <f t="shared" si="15"/>
        <v>1785449510</v>
      </c>
      <c r="X24" s="42">
        <f t="shared" si="15"/>
        <v>1807599102</v>
      </c>
      <c r="Y24" s="43">
        <f t="shared" si="15"/>
        <v>1839028451</v>
      </c>
      <c r="Z24" s="40">
        <f t="shared" si="15"/>
        <v>1896653494</v>
      </c>
      <c r="AA24" s="42">
        <f t="shared" si="15"/>
        <v>1930355409</v>
      </c>
      <c r="AB24" s="43">
        <f t="shared" si="15"/>
        <v>1973892019</v>
      </c>
      <c r="AC24" s="40">
        <f t="shared" si="15"/>
        <v>1973243517</v>
      </c>
      <c r="AD24" s="42">
        <f t="shared" si="15"/>
        <v>2010746085</v>
      </c>
      <c r="AE24" s="43">
        <f t="shared" si="15"/>
        <v>8902695922</v>
      </c>
      <c r="AF24" s="40">
        <f>IFERROR(AVERAGE(AF28:AU28),0)</f>
        <v>12379715539</v>
      </c>
      <c r="AG24" s="37">
        <f t="shared" si="9"/>
        <v>40096859295</v>
      </c>
      <c r="AH24" s="50" t="s">
        <v>32</v>
      </c>
      <c r="AI24" s="51">
        <f>SUM(AI18:AI23)</f>
        <v>1705101.909</v>
      </c>
      <c r="AJ24" s="52"/>
      <c r="AK24" s="51">
        <f t="shared" si="5"/>
        <v>142091.8258</v>
      </c>
      <c r="AL24" s="45"/>
      <c r="AM24" s="45"/>
    </row>
    <row r="25" ht="15.75" customHeight="1">
      <c r="A25" s="40" t="s">
        <v>33</v>
      </c>
      <c r="B25" s="41"/>
      <c r="C25" s="33"/>
      <c r="D25" s="42"/>
      <c r="E25" s="43"/>
      <c r="F25" s="40"/>
      <c r="G25" s="41">
        <f t="shared" ref="G25:R25" si="16">IFERROR(SQRT(SUMXMY2(G23:I23,G24:I24)/3),0)</f>
        <v>1530674495</v>
      </c>
      <c r="H25" s="42">
        <f t="shared" si="16"/>
        <v>1709062405</v>
      </c>
      <c r="I25" s="43">
        <f t="shared" si="16"/>
        <v>1733905514</v>
      </c>
      <c r="J25" s="40">
        <f t="shared" si="16"/>
        <v>1766049373</v>
      </c>
      <c r="K25" s="42">
        <f t="shared" si="16"/>
        <v>1806521373</v>
      </c>
      <c r="L25" s="43">
        <f t="shared" si="16"/>
        <v>1845721774</v>
      </c>
      <c r="M25" s="40">
        <f t="shared" si="16"/>
        <v>1887179434</v>
      </c>
      <c r="N25" s="42">
        <f t="shared" si="16"/>
        <v>1911028196</v>
      </c>
      <c r="O25" s="43">
        <f t="shared" si="16"/>
        <v>1935694408</v>
      </c>
      <c r="P25" s="40">
        <f t="shared" si="16"/>
        <v>5238469120</v>
      </c>
      <c r="Q25" s="42">
        <f t="shared" si="16"/>
        <v>5769510080</v>
      </c>
      <c r="R25" s="43">
        <f t="shared" si="16"/>
        <v>19043247967</v>
      </c>
      <c r="S25" s="40">
        <f>IFERROR(SQRT(SUMXMY2(S23:AH23,S24:AH24)/3),0)</f>
        <v>30989908785</v>
      </c>
      <c r="T25" s="36">
        <f t="shared" si="7"/>
        <v>75636298430</v>
      </c>
      <c r="U25" s="42">
        <f t="shared" ref="U25:AE25" si="17">IFERROR(SQRT(SUMXMY2(U23:W23,U24:W24)/3),0)</f>
        <v>1792139823</v>
      </c>
      <c r="V25" s="43">
        <f t="shared" si="17"/>
        <v>1793385512</v>
      </c>
      <c r="W25" s="40">
        <f t="shared" si="17"/>
        <v>1808288162</v>
      </c>
      <c r="X25" s="42">
        <f t="shared" si="17"/>
        <v>1843458147</v>
      </c>
      <c r="Y25" s="43">
        <f t="shared" si="17"/>
        <v>1883226448</v>
      </c>
      <c r="Z25" s="40">
        <f t="shared" si="17"/>
        <v>1925323922</v>
      </c>
      <c r="AA25" s="42">
        <f t="shared" si="17"/>
        <v>1949425511</v>
      </c>
      <c r="AB25" s="43">
        <f t="shared" si="17"/>
        <v>1974364282</v>
      </c>
      <c r="AC25" s="40">
        <f t="shared" si="17"/>
        <v>5383474938</v>
      </c>
      <c r="AD25" s="42">
        <f t="shared" si="17"/>
        <v>8868271061</v>
      </c>
      <c r="AE25" s="43">
        <f t="shared" si="17"/>
        <v>24716694231</v>
      </c>
      <c r="AF25" s="40">
        <f>IFERROR(SQRT(SUMXMY2(AF23:AU23,AF24:AU24)/3),0)</f>
        <v>24177407607</v>
      </c>
      <c r="AG25" s="37">
        <f t="shared" si="9"/>
        <v>78115459642</v>
      </c>
      <c r="AH25" s="45"/>
      <c r="AI25" s="45"/>
      <c r="AJ25" s="45"/>
      <c r="AK25" s="39"/>
      <c r="AL25" s="45"/>
      <c r="AM25" s="45"/>
    </row>
    <row r="26" ht="15.75" customHeight="1">
      <c r="A26" s="40" t="s">
        <v>34</v>
      </c>
      <c r="B26" s="41"/>
      <c r="C26" s="33"/>
      <c r="D26" s="42"/>
      <c r="E26" s="43"/>
      <c r="F26" s="40">
        <f t="shared" ref="F26:F27" si="20">-E26</f>
        <v>0</v>
      </c>
      <c r="G26" s="41">
        <f t="shared" ref="G26:S26" si="18">G28-G23</f>
        <v>3786011.82</v>
      </c>
      <c r="H26" s="42">
        <f t="shared" si="18"/>
        <v>1692559306</v>
      </c>
      <c r="I26" s="43">
        <f t="shared" si="18"/>
        <v>1661000601</v>
      </c>
      <c r="J26" s="40">
        <f t="shared" si="18"/>
        <v>1729983784</v>
      </c>
      <c r="K26" s="43">
        <f t="shared" si="18"/>
        <v>1717922861</v>
      </c>
      <c r="L26" s="43">
        <f t="shared" si="18"/>
        <v>1739154755</v>
      </c>
      <c r="M26" s="40">
        <f t="shared" si="18"/>
        <v>1842753665</v>
      </c>
      <c r="N26" s="42">
        <f t="shared" si="18"/>
        <v>1807485532</v>
      </c>
      <c r="O26" s="43">
        <f t="shared" si="18"/>
        <v>1901069059</v>
      </c>
      <c r="P26" s="40">
        <f t="shared" si="18"/>
        <v>1938828982</v>
      </c>
      <c r="Q26" s="42">
        <f t="shared" si="18"/>
        <v>1930687824</v>
      </c>
      <c r="R26" s="43">
        <f t="shared" si="18"/>
        <v>1902293152</v>
      </c>
      <c r="S26" s="40">
        <f t="shared" si="18"/>
        <v>2045611443</v>
      </c>
      <c r="T26" s="36">
        <f t="shared" si="7"/>
        <v>21909350964</v>
      </c>
      <c r="U26" s="42">
        <f t="shared" ref="U26:AF26" si="19">U28-U23</f>
        <v>1782118847</v>
      </c>
      <c r="V26" s="43">
        <f t="shared" si="19"/>
        <v>1801317694</v>
      </c>
      <c r="W26" s="40">
        <f t="shared" si="19"/>
        <v>1820311529</v>
      </c>
      <c r="X26" s="43">
        <f t="shared" si="19"/>
        <v>1753494661</v>
      </c>
      <c r="Y26" s="43">
        <f t="shared" si="19"/>
        <v>1774931975</v>
      </c>
      <c r="Z26" s="40">
        <f t="shared" si="19"/>
        <v>1880525098</v>
      </c>
      <c r="AA26" s="42">
        <f t="shared" si="19"/>
        <v>1844223368</v>
      </c>
      <c r="AB26" s="43">
        <f t="shared" si="19"/>
        <v>1939550978</v>
      </c>
      <c r="AC26" s="40">
        <f t="shared" si="19"/>
        <v>1977841726</v>
      </c>
      <c r="AD26" s="42">
        <f t="shared" si="19"/>
        <v>1969253546</v>
      </c>
      <c r="AE26" s="43">
        <f t="shared" si="19"/>
        <v>1939992939</v>
      </c>
      <c r="AF26" s="40">
        <f t="shared" si="19"/>
        <v>2086036950</v>
      </c>
      <c r="AG26" s="37">
        <f t="shared" si="9"/>
        <v>22569599312</v>
      </c>
      <c r="AH26" s="45"/>
      <c r="AI26" s="45"/>
      <c r="AJ26" s="45"/>
      <c r="AK26" s="39"/>
      <c r="AL26" s="45"/>
      <c r="AM26" s="45"/>
    </row>
    <row r="27" ht="15.75" customHeight="1">
      <c r="A27" s="40" t="s">
        <v>35</v>
      </c>
      <c r="B27" s="41"/>
      <c r="C27" s="46"/>
      <c r="D27" s="42"/>
      <c r="E27" s="43"/>
      <c r="F27" s="40">
        <f t="shared" si="20"/>
        <v>0</v>
      </c>
      <c r="G27" s="41">
        <f t="shared" ref="G27:S27" si="21">G78+((G78/G28)*G26)</f>
        <v>0</v>
      </c>
      <c r="H27" s="42">
        <f t="shared" si="21"/>
        <v>2857557581</v>
      </c>
      <c r="I27" s="43">
        <f t="shared" si="21"/>
        <v>2795585397</v>
      </c>
      <c r="J27" s="40">
        <f t="shared" si="21"/>
        <v>2909499175</v>
      </c>
      <c r="K27" s="42">
        <f t="shared" si="21"/>
        <v>2886332833</v>
      </c>
      <c r="L27" s="43">
        <f t="shared" si="21"/>
        <v>2628021180</v>
      </c>
      <c r="M27" s="40">
        <f t="shared" si="21"/>
        <v>2785523603</v>
      </c>
      <c r="N27" s="42">
        <f t="shared" si="21"/>
        <v>2694934544</v>
      </c>
      <c r="O27" s="43">
        <f t="shared" si="21"/>
        <v>2857438006</v>
      </c>
      <c r="P27" s="40">
        <f t="shared" si="21"/>
        <v>2882431386</v>
      </c>
      <c r="Q27" s="42">
        <f t="shared" si="21"/>
        <v>2859386743</v>
      </c>
      <c r="R27" s="43">
        <f t="shared" si="21"/>
        <v>2823720484</v>
      </c>
      <c r="S27" s="40">
        <f t="shared" si="21"/>
        <v>3059570475</v>
      </c>
      <c r="T27" s="47">
        <f t="shared" si="7"/>
        <v>34040001407</v>
      </c>
      <c r="U27" s="42">
        <f t="shared" ref="U27:AF27" si="22">U78+((U78/U28)*U26)</f>
        <v>3008820143</v>
      </c>
      <c r="V27" s="43">
        <f t="shared" si="22"/>
        <v>3031809655</v>
      </c>
      <c r="W27" s="40">
        <f t="shared" si="22"/>
        <v>3061430442</v>
      </c>
      <c r="X27" s="42">
        <f t="shared" si="22"/>
        <v>2946113360</v>
      </c>
      <c r="Y27" s="43">
        <f t="shared" si="22"/>
        <v>2682093023</v>
      </c>
      <c r="Z27" s="40">
        <f t="shared" si="22"/>
        <v>2842534151</v>
      </c>
      <c r="AA27" s="42">
        <f t="shared" si="22"/>
        <v>2749675337</v>
      </c>
      <c r="AB27" s="43">
        <f t="shared" si="22"/>
        <v>2915162803</v>
      </c>
      <c r="AC27" s="40">
        <f t="shared" si="22"/>
        <v>2940293287</v>
      </c>
      <c r="AD27" s="42">
        <f t="shared" si="22"/>
        <v>2916387342</v>
      </c>
      <c r="AE27" s="43">
        <f t="shared" si="22"/>
        <v>2879604509</v>
      </c>
      <c r="AF27" s="40">
        <f t="shared" si="22"/>
        <v>3119833983</v>
      </c>
      <c r="AG27" s="48">
        <f t="shared" si="9"/>
        <v>35093758035</v>
      </c>
      <c r="AH27" s="44"/>
      <c r="AI27" s="38"/>
      <c r="AJ27" s="49"/>
      <c r="AK27" s="38"/>
      <c r="AL27" s="45"/>
      <c r="AM27" s="45"/>
    </row>
    <row r="28" ht="15.75" customHeight="1">
      <c r="A28" s="53" t="s">
        <v>29</v>
      </c>
      <c r="B28" s="54" t="s">
        <v>29</v>
      </c>
      <c r="C28" s="55"/>
      <c r="D28" s="56">
        <v>1.0</v>
      </c>
      <c r="E28" s="57"/>
      <c r="F28" s="53"/>
      <c r="G28" s="58">
        <v>3786011.8200000003</v>
      </c>
      <c r="H28" s="59">
        <f t="shared" ref="H28:S28" si="23">SUM(H29:H30)</f>
        <v>1694279007</v>
      </c>
      <c r="I28" s="59">
        <f t="shared" si="23"/>
        <v>1663193885</v>
      </c>
      <c r="J28" s="60">
        <f t="shared" si="23"/>
        <v>1732631023</v>
      </c>
      <c r="K28" s="61">
        <f t="shared" si="23"/>
        <v>1720090899</v>
      </c>
      <c r="L28" s="59">
        <f t="shared" si="23"/>
        <v>1741949842</v>
      </c>
      <c r="M28" s="60">
        <f t="shared" si="23"/>
        <v>1851636112</v>
      </c>
      <c r="N28" s="61">
        <f t="shared" si="23"/>
        <v>1813212909</v>
      </c>
      <c r="O28" s="59">
        <f t="shared" si="23"/>
        <v>1912120275</v>
      </c>
      <c r="P28" s="60">
        <f t="shared" si="23"/>
        <v>1951500546</v>
      </c>
      <c r="Q28" s="61">
        <f t="shared" si="23"/>
        <v>1941994851</v>
      </c>
      <c r="R28" s="59">
        <f t="shared" si="23"/>
        <v>1910956901</v>
      </c>
      <c r="S28" s="60">
        <f t="shared" si="23"/>
        <v>2062595486</v>
      </c>
      <c r="T28" s="62">
        <f t="shared" si="7"/>
        <v>21996161736</v>
      </c>
      <c r="U28" s="59">
        <f t="shared" ref="U28:AF28" si="24">SUM(U29:U30)</f>
        <v>1783838548</v>
      </c>
      <c r="V28" s="59">
        <f t="shared" si="24"/>
        <v>1803510978</v>
      </c>
      <c r="W28" s="60">
        <f t="shared" si="24"/>
        <v>1822958768</v>
      </c>
      <c r="X28" s="61">
        <f t="shared" si="24"/>
        <v>1755662699</v>
      </c>
      <c r="Y28" s="59">
        <f t="shared" si="24"/>
        <v>1777727063</v>
      </c>
      <c r="Z28" s="60">
        <f t="shared" si="24"/>
        <v>1889407545</v>
      </c>
      <c r="AA28" s="61">
        <f t="shared" si="24"/>
        <v>1849950745</v>
      </c>
      <c r="AB28" s="59">
        <f t="shared" si="24"/>
        <v>1950602194</v>
      </c>
      <c r="AC28" s="60">
        <f t="shared" si="24"/>
        <v>1990513290</v>
      </c>
      <c r="AD28" s="61">
        <f t="shared" si="24"/>
        <v>1980560573</v>
      </c>
      <c r="AE28" s="59">
        <f t="shared" si="24"/>
        <v>1948656689</v>
      </c>
      <c r="AF28" s="60">
        <f t="shared" si="24"/>
        <v>2103020993</v>
      </c>
      <c r="AG28" s="62">
        <f t="shared" si="9"/>
        <v>22656410084</v>
      </c>
      <c r="AH28" s="52"/>
      <c r="AI28" s="45"/>
      <c r="AJ28" s="52"/>
      <c r="AK28" s="39"/>
      <c r="AL28" s="52"/>
      <c r="AM28" s="52"/>
    </row>
    <row r="29" ht="15.75" customHeight="1">
      <c r="A29" s="63" t="s">
        <v>36</v>
      </c>
      <c r="B29" s="64" t="s">
        <v>29</v>
      </c>
      <c r="C29" s="65">
        <f>C23</f>
        <v>106415362</v>
      </c>
      <c r="D29" s="66">
        <v>0.82</v>
      </c>
      <c r="E29" s="67"/>
      <c r="F29" s="63"/>
      <c r="G29" s="68">
        <f t="shared" ref="G29:S29" si="25">G20*G22</f>
        <v>24936654608</v>
      </c>
      <c r="H29" s="69">
        <f t="shared" si="25"/>
        <v>2066193911</v>
      </c>
      <c r="I29" s="69">
        <f t="shared" si="25"/>
        <v>2028285226</v>
      </c>
      <c r="J29" s="70">
        <f t="shared" si="25"/>
        <v>2112964662</v>
      </c>
      <c r="K29" s="69">
        <f t="shared" si="25"/>
        <v>2097671828</v>
      </c>
      <c r="L29" s="69">
        <f t="shared" si="25"/>
        <v>2124329076</v>
      </c>
      <c r="M29" s="70">
        <f t="shared" si="25"/>
        <v>2258092819</v>
      </c>
      <c r="N29" s="71">
        <f t="shared" si="25"/>
        <v>2211235255</v>
      </c>
      <c r="O29" s="69">
        <f t="shared" si="25"/>
        <v>2331853994</v>
      </c>
      <c r="P29" s="70">
        <f t="shared" si="25"/>
        <v>2379878715</v>
      </c>
      <c r="Q29" s="71">
        <f t="shared" si="25"/>
        <v>2368286403</v>
      </c>
      <c r="R29" s="69">
        <f t="shared" si="25"/>
        <v>2330435245</v>
      </c>
      <c r="S29" s="69">
        <f t="shared" si="25"/>
        <v>2515360349</v>
      </c>
      <c r="T29" s="72">
        <f t="shared" si="7"/>
        <v>26824587482</v>
      </c>
      <c r="U29" s="69">
        <f t="shared" ref="U29:AF29" si="26">U20*U22</f>
        <v>2175412863</v>
      </c>
      <c r="V29" s="69">
        <f t="shared" si="26"/>
        <v>2199403631</v>
      </c>
      <c r="W29" s="70">
        <f t="shared" si="26"/>
        <v>2223120449</v>
      </c>
      <c r="X29" s="69">
        <f t="shared" si="26"/>
        <v>2141052072</v>
      </c>
      <c r="Y29" s="69">
        <f t="shared" si="26"/>
        <v>2167959833</v>
      </c>
      <c r="Z29" s="70">
        <f t="shared" si="26"/>
        <v>2304155542</v>
      </c>
      <c r="AA29" s="71">
        <f t="shared" si="26"/>
        <v>2256037493</v>
      </c>
      <c r="AB29" s="69">
        <f t="shared" si="26"/>
        <v>2378783163</v>
      </c>
      <c r="AC29" s="70">
        <f t="shared" si="26"/>
        <v>2427455231</v>
      </c>
      <c r="AD29" s="71">
        <f t="shared" si="26"/>
        <v>2415317772</v>
      </c>
      <c r="AE29" s="69">
        <f t="shared" si="26"/>
        <v>2376410596</v>
      </c>
      <c r="AF29" s="69">
        <f t="shared" si="26"/>
        <v>2564659748</v>
      </c>
      <c r="AG29" s="73">
        <f t="shared" si="9"/>
        <v>27629768395</v>
      </c>
      <c r="AH29" s="45"/>
      <c r="AI29" s="45"/>
      <c r="AJ29" s="45"/>
      <c r="AK29" s="39"/>
      <c r="AL29" s="45"/>
      <c r="AM29" s="45"/>
    </row>
    <row r="30" ht="15.75" customHeight="1">
      <c r="A30" s="63" t="s">
        <v>37</v>
      </c>
      <c r="B30" s="64" t="s">
        <v>38</v>
      </c>
      <c r="C30" s="74" t="str">
        <f>C26</f>
        <v/>
      </c>
      <c r="D30" s="75">
        <v>-0.18</v>
      </c>
      <c r="E30" s="67"/>
      <c r="F30" s="63"/>
      <c r="G30" s="68">
        <f t="shared" ref="G30:S30" si="27">G29*$D$30</f>
        <v>-4488597829</v>
      </c>
      <c r="H30" s="69">
        <f t="shared" si="27"/>
        <v>-371914904</v>
      </c>
      <c r="I30" s="69">
        <f t="shared" si="27"/>
        <v>-365091340.6</v>
      </c>
      <c r="J30" s="70">
        <f t="shared" si="27"/>
        <v>-380333639.1</v>
      </c>
      <c r="K30" s="69">
        <f t="shared" si="27"/>
        <v>-377580929</v>
      </c>
      <c r="L30" s="69">
        <f t="shared" si="27"/>
        <v>-382379233.6</v>
      </c>
      <c r="M30" s="70">
        <f t="shared" si="27"/>
        <v>-406456707.5</v>
      </c>
      <c r="N30" s="71">
        <f t="shared" si="27"/>
        <v>-398022345.9</v>
      </c>
      <c r="O30" s="69">
        <f t="shared" si="27"/>
        <v>-419733718.9</v>
      </c>
      <c r="P30" s="70">
        <f t="shared" si="27"/>
        <v>-428378168.7</v>
      </c>
      <c r="Q30" s="71">
        <f t="shared" si="27"/>
        <v>-426291552.6</v>
      </c>
      <c r="R30" s="69">
        <f t="shared" si="27"/>
        <v>-419478344.1</v>
      </c>
      <c r="S30" s="69">
        <f t="shared" si="27"/>
        <v>-452764862.9</v>
      </c>
      <c r="T30" s="76">
        <f t="shared" si="7"/>
        <v>-4828425747</v>
      </c>
      <c r="U30" s="69">
        <f t="shared" ref="U30:AF30" si="28">U29*$D$30</f>
        <v>-391574315.4</v>
      </c>
      <c r="V30" s="69">
        <f t="shared" si="28"/>
        <v>-395892653.7</v>
      </c>
      <c r="W30" s="70">
        <f t="shared" si="28"/>
        <v>-400161680.8</v>
      </c>
      <c r="X30" s="69">
        <f t="shared" si="28"/>
        <v>-385389373</v>
      </c>
      <c r="Y30" s="69">
        <f t="shared" si="28"/>
        <v>-390232769.9</v>
      </c>
      <c r="Z30" s="70">
        <f t="shared" si="28"/>
        <v>-414747997.6</v>
      </c>
      <c r="AA30" s="71">
        <f t="shared" si="28"/>
        <v>-406086748.8</v>
      </c>
      <c r="AB30" s="69">
        <f t="shared" si="28"/>
        <v>-428180969.4</v>
      </c>
      <c r="AC30" s="70">
        <f t="shared" si="28"/>
        <v>-436941941.6</v>
      </c>
      <c r="AD30" s="71">
        <f t="shared" si="28"/>
        <v>-434757199</v>
      </c>
      <c r="AE30" s="69">
        <f t="shared" si="28"/>
        <v>-427753907.3</v>
      </c>
      <c r="AF30" s="69">
        <f t="shared" si="28"/>
        <v>-461638754.6</v>
      </c>
      <c r="AG30" s="77">
        <f t="shared" si="9"/>
        <v>-4973358311</v>
      </c>
      <c r="AH30" s="45"/>
      <c r="AI30" s="45"/>
      <c r="AJ30" s="45"/>
      <c r="AK30" s="39"/>
      <c r="AL30" s="45"/>
      <c r="AM30" s="45"/>
    </row>
    <row r="31" ht="15.75" customHeight="1">
      <c r="A31" s="53" t="s">
        <v>39</v>
      </c>
      <c r="B31" s="54" t="s">
        <v>39</v>
      </c>
      <c r="C31" s="55"/>
      <c r="D31" s="78">
        <f>SUM(D32:D35)</f>
        <v>0.0002771842752</v>
      </c>
      <c r="E31" s="57"/>
      <c r="F31" s="53"/>
      <c r="G31" s="58"/>
      <c r="H31" s="61">
        <f t="shared" ref="H31:S31" si="29">SUM(H32:H35)</f>
        <v>-1498000.802</v>
      </c>
      <c r="I31" s="59">
        <f t="shared" si="29"/>
        <v>-1494128.547</v>
      </c>
      <c r="J31" s="60">
        <f t="shared" si="29"/>
        <v>-1502777.055</v>
      </c>
      <c r="K31" s="61">
        <f t="shared" si="29"/>
        <v>-1501214.343</v>
      </c>
      <c r="L31" s="59">
        <f t="shared" si="29"/>
        <v>-1503937.595</v>
      </c>
      <c r="M31" s="60">
        <f t="shared" si="29"/>
        <v>-1517596.618</v>
      </c>
      <c r="N31" s="61">
        <f t="shared" si="29"/>
        <v>-1512812.499</v>
      </c>
      <c r="O31" s="59">
        <f t="shared" si="29"/>
        <v>-1525129.148</v>
      </c>
      <c r="P31" s="60">
        <f t="shared" si="29"/>
        <v>-1530034.458</v>
      </c>
      <c r="Q31" s="61">
        <f t="shared" si="29"/>
        <v>-1528849.645</v>
      </c>
      <c r="R31" s="59">
        <f t="shared" si="29"/>
        <v>-1524985.265</v>
      </c>
      <c r="S31" s="59">
        <f t="shared" si="29"/>
        <v>-1543868.913</v>
      </c>
      <c r="T31" s="79">
        <f t="shared" si="7"/>
        <v>-18183334.89</v>
      </c>
      <c r="U31" s="61">
        <f t="shared" ref="U31:AF31" si="30">SUM(U32:U35)</f>
        <v>-1509154.298</v>
      </c>
      <c r="V31" s="59">
        <f t="shared" si="30"/>
        <v>-1511603.248</v>
      </c>
      <c r="W31" s="60">
        <f t="shared" si="30"/>
        <v>-1514026.222</v>
      </c>
      <c r="X31" s="61">
        <f t="shared" si="30"/>
        <v>-1505644.356</v>
      </c>
      <c r="Y31" s="59">
        <f t="shared" si="30"/>
        <v>-1508393.191</v>
      </c>
      <c r="Z31" s="60">
        <f t="shared" si="30"/>
        <v>-1522300.568</v>
      </c>
      <c r="AA31" s="61">
        <f t="shared" si="30"/>
        <v>-1517387.727</v>
      </c>
      <c r="AB31" s="59">
        <f t="shared" si="30"/>
        <v>-1529921.579</v>
      </c>
      <c r="AC31" s="60">
        <f t="shared" si="30"/>
        <v>-1534892.996</v>
      </c>
      <c r="AD31" s="61">
        <f t="shared" si="30"/>
        <v>-1533652.513</v>
      </c>
      <c r="AE31" s="59">
        <f t="shared" si="30"/>
        <v>-1529680.292</v>
      </c>
      <c r="AF31" s="59">
        <f t="shared" si="30"/>
        <v>-1548903.393</v>
      </c>
      <c r="AG31" s="79">
        <f t="shared" si="9"/>
        <v>-18265560.38</v>
      </c>
      <c r="AH31" s="52"/>
      <c r="AI31" s="45"/>
      <c r="AJ31" s="52"/>
      <c r="AK31" s="39"/>
      <c r="AL31" s="52"/>
      <c r="AM31" s="52"/>
    </row>
    <row r="32" ht="15.75" customHeight="1">
      <c r="A32" s="63" t="s">
        <v>39</v>
      </c>
      <c r="B32" s="64" t="s">
        <v>40</v>
      </c>
      <c r="C32" s="80"/>
      <c r="D32" s="66">
        <f>k!D5</f>
        <v>0.0001021205224</v>
      </c>
      <c r="E32" s="81">
        <f>'Расчет коэффициентов'!D2</f>
        <v>0.00001458864606</v>
      </c>
      <c r="F32" s="82">
        <f t="shared" ref="F32:F35" si="33">-E32</f>
        <v>-0.00001458864606</v>
      </c>
      <c r="G32" s="68"/>
      <c r="H32" s="71">
        <f t="shared" ref="H32:S32" si="31">-4500000/12</f>
        <v>-375000</v>
      </c>
      <c r="I32" s="69">
        <f t="shared" si="31"/>
        <v>-375000</v>
      </c>
      <c r="J32" s="70">
        <f t="shared" si="31"/>
        <v>-375000</v>
      </c>
      <c r="K32" s="71">
        <f t="shared" si="31"/>
        <v>-375000</v>
      </c>
      <c r="L32" s="69">
        <f t="shared" si="31"/>
        <v>-375000</v>
      </c>
      <c r="M32" s="70">
        <f t="shared" si="31"/>
        <v>-375000</v>
      </c>
      <c r="N32" s="71">
        <f t="shared" si="31"/>
        <v>-375000</v>
      </c>
      <c r="O32" s="69">
        <f t="shared" si="31"/>
        <v>-375000</v>
      </c>
      <c r="P32" s="70">
        <f t="shared" si="31"/>
        <v>-375000</v>
      </c>
      <c r="Q32" s="71">
        <f t="shared" si="31"/>
        <v>-375000</v>
      </c>
      <c r="R32" s="69">
        <f t="shared" si="31"/>
        <v>-375000</v>
      </c>
      <c r="S32" s="69">
        <f t="shared" si="31"/>
        <v>-375000</v>
      </c>
      <c r="T32" s="76">
        <f t="shared" si="7"/>
        <v>-4500000</v>
      </c>
      <c r="U32" s="71">
        <f t="shared" ref="U32:AF32" si="32">-4500000/12</f>
        <v>-375000</v>
      </c>
      <c r="V32" s="69">
        <f t="shared" si="32"/>
        <v>-375000</v>
      </c>
      <c r="W32" s="70">
        <f t="shared" si="32"/>
        <v>-375000</v>
      </c>
      <c r="X32" s="71">
        <f t="shared" si="32"/>
        <v>-375000</v>
      </c>
      <c r="Y32" s="69">
        <f t="shared" si="32"/>
        <v>-375000</v>
      </c>
      <c r="Z32" s="70">
        <f t="shared" si="32"/>
        <v>-375000</v>
      </c>
      <c r="AA32" s="71">
        <f t="shared" si="32"/>
        <v>-375000</v>
      </c>
      <c r="AB32" s="69">
        <f t="shared" si="32"/>
        <v>-375000</v>
      </c>
      <c r="AC32" s="70">
        <f t="shared" si="32"/>
        <v>-375000</v>
      </c>
      <c r="AD32" s="71">
        <f t="shared" si="32"/>
        <v>-375000</v>
      </c>
      <c r="AE32" s="69">
        <f t="shared" si="32"/>
        <v>-375000</v>
      </c>
      <c r="AF32" s="69">
        <f t="shared" si="32"/>
        <v>-375000</v>
      </c>
      <c r="AG32" s="77">
        <f t="shared" si="9"/>
        <v>-4500000</v>
      </c>
      <c r="AH32" s="45"/>
      <c r="AI32" s="45"/>
      <c r="AJ32" s="45"/>
      <c r="AK32" s="39"/>
      <c r="AL32" s="45"/>
      <c r="AM32" s="45"/>
    </row>
    <row r="33" ht="15.75" customHeight="1">
      <c r="A33" s="63" t="s">
        <v>39</v>
      </c>
      <c r="B33" s="64" t="s">
        <v>41</v>
      </c>
      <c r="C33" s="80"/>
      <c r="D33" s="66">
        <f>k!D6</f>
        <v>0.00001458864606</v>
      </c>
      <c r="E33" s="81">
        <f>'Расчет коэффициентов'!D3</f>
        <v>0.00001458864606</v>
      </c>
      <c r="F33" s="82">
        <f t="shared" si="33"/>
        <v>-0.00001458864606</v>
      </c>
      <c r="G33" s="68"/>
      <c r="H33" s="71">
        <v>-912000.0</v>
      </c>
      <c r="I33" s="69">
        <v>-911999.0</v>
      </c>
      <c r="J33" s="70">
        <v>-912000.0</v>
      </c>
      <c r="K33" s="71">
        <v>-911999.0</v>
      </c>
      <c r="L33" s="69">
        <v>-912000.0</v>
      </c>
      <c r="M33" s="70">
        <v>-911999.0</v>
      </c>
      <c r="N33" s="71">
        <v>-912000.0</v>
      </c>
      <c r="O33" s="69">
        <v>-911999.0</v>
      </c>
      <c r="P33" s="70">
        <v>-912000.0</v>
      </c>
      <c r="Q33" s="71">
        <v>-911999.0</v>
      </c>
      <c r="R33" s="69">
        <v>-912000.0</v>
      </c>
      <c r="S33" s="69">
        <v>-911999.0</v>
      </c>
      <c r="T33" s="76">
        <f t="shared" si="7"/>
        <v>-10943994</v>
      </c>
      <c r="U33" s="71">
        <v>-912000.0</v>
      </c>
      <c r="V33" s="69">
        <v>-911999.0</v>
      </c>
      <c r="W33" s="70">
        <v>-912000.0</v>
      </c>
      <c r="X33" s="71">
        <v>-911999.0</v>
      </c>
      <c r="Y33" s="69">
        <v>-912000.0</v>
      </c>
      <c r="Z33" s="70">
        <v>-911999.0</v>
      </c>
      <c r="AA33" s="71">
        <v>-912000.0</v>
      </c>
      <c r="AB33" s="69">
        <v>-911999.0</v>
      </c>
      <c r="AC33" s="70">
        <v>-912000.0</v>
      </c>
      <c r="AD33" s="71">
        <v>-911999.0</v>
      </c>
      <c r="AE33" s="69">
        <v>-912000.0</v>
      </c>
      <c r="AF33" s="69">
        <v>-911999.0</v>
      </c>
      <c r="AG33" s="77">
        <f t="shared" si="9"/>
        <v>-10943994</v>
      </c>
      <c r="AH33" s="45"/>
      <c r="AI33" s="45"/>
      <c r="AJ33" s="45"/>
      <c r="AK33" s="39"/>
      <c r="AL33" s="45"/>
      <c r="AM33" s="45"/>
    </row>
    <row r="34" ht="15.75" customHeight="1">
      <c r="A34" s="63" t="s">
        <v>39</v>
      </c>
      <c r="B34" s="64" t="s">
        <v>42</v>
      </c>
      <c r="C34" s="80"/>
      <c r="D34" s="66">
        <f>k!D7</f>
        <v>0.00001458864606</v>
      </c>
      <c r="E34" s="81">
        <f>'Расчет коэффициентов'!D4</f>
        <v>0.00001458864606</v>
      </c>
      <c r="F34" s="82">
        <f t="shared" si="33"/>
        <v>-0.00001458864606</v>
      </c>
      <c r="G34" s="68"/>
      <c r="H34" s="71"/>
      <c r="I34" s="69"/>
      <c r="J34" s="70"/>
      <c r="K34" s="71"/>
      <c r="L34" s="69"/>
      <c r="M34" s="70"/>
      <c r="N34" s="71"/>
      <c r="O34" s="69"/>
      <c r="P34" s="70"/>
      <c r="Q34" s="71"/>
      <c r="R34" s="69"/>
      <c r="S34" s="69"/>
      <c r="T34" s="76">
        <f t="shared" si="7"/>
        <v>0</v>
      </c>
      <c r="U34" s="71"/>
      <c r="V34" s="69"/>
      <c r="W34" s="70"/>
      <c r="X34" s="71"/>
      <c r="Y34" s="69"/>
      <c r="Z34" s="70"/>
      <c r="AA34" s="71"/>
      <c r="AB34" s="69"/>
      <c r="AC34" s="70"/>
      <c r="AD34" s="71"/>
      <c r="AE34" s="69"/>
      <c r="AF34" s="69"/>
      <c r="AG34" s="77">
        <f t="shared" si="9"/>
        <v>0</v>
      </c>
      <c r="AH34" s="45"/>
      <c r="AI34" s="45"/>
      <c r="AJ34" s="45"/>
      <c r="AK34" s="39"/>
      <c r="AL34" s="45"/>
      <c r="AM34" s="45"/>
    </row>
    <row r="35" ht="15.75" customHeight="1">
      <c r="A35" s="63" t="s">
        <v>39</v>
      </c>
      <c r="B35" s="64" t="s">
        <v>43</v>
      </c>
      <c r="C35" s="80"/>
      <c r="D35" s="66">
        <f>k!D8</f>
        <v>0.0001458864606</v>
      </c>
      <c r="E35" s="81">
        <f>'Расчет коэффициентов'!D5</f>
        <v>0.0001021205224</v>
      </c>
      <c r="F35" s="82">
        <f t="shared" si="33"/>
        <v>-0.0001021205224</v>
      </c>
      <c r="G35" s="68"/>
      <c r="H35" s="71">
        <f t="shared" ref="H35:S35" si="34">H$29*$F35</f>
        <v>-211000.8017</v>
      </c>
      <c r="I35" s="69">
        <f t="shared" si="34"/>
        <v>-207129.5469</v>
      </c>
      <c r="J35" s="70">
        <f t="shared" si="34"/>
        <v>-215777.0551</v>
      </c>
      <c r="K35" s="71">
        <f t="shared" si="34"/>
        <v>-214215.343</v>
      </c>
      <c r="L35" s="69">
        <f t="shared" si="34"/>
        <v>-216937.595</v>
      </c>
      <c r="M35" s="70">
        <f t="shared" si="34"/>
        <v>-230597.6184</v>
      </c>
      <c r="N35" s="71">
        <f t="shared" si="34"/>
        <v>-225812.4995</v>
      </c>
      <c r="O35" s="69">
        <f t="shared" si="34"/>
        <v>-238130.1481</v>
      </c>
      <c r="P35" s="70">
        <f t="shared" si="34"/>
        <v>-243034.4577</v>
      </c>
      <c r="Q35" s="71">
        <f t="shared" si="34"/>
        <v>-241850.6448</v>
      </c>
      <c r="R35" s="69">
        <f t="shared" si="34"/>
        <v>-237985.2647</v>
      </c>
      <c r="S35" s="69">
        <f t="shared" si="34"/>
        <v>-256869.913</v>
      </c>
      <c r="T35" s="76">
        <f t="shared" si="7"/>
        <v>-2739340.888</v>
      </c>
      <c r="U35" s="71">
        <f t="shared" ref="U35:AF35" si="35">U$29*$F35</f>
        <v>-222154.2981</v>
      </c>
      <c r="V35" s="69">
        <f t="shared" si="35"/>
        <v>-224604.2479</v>
      </c>
      <c r="W35" s="70">
        <f t="shared" si="35"/>
        <v>-227026.2217</v>
      </c>
      <c r="X35" s="71">
        <f t="shared" si="35"/>
        <v>-218645.3562</v>
      </c>
      <c r="Y35" s="69">
        <f t="shared" si="35"/>
        <v>-221393.1907</v>
      </c>
      <c r="Z35" s="70">
        <f t="shared" si="35"/>
        <v>-235301.5678</v>
      </c>
      <c r="AA35" s="71">
        <f t="shared" si="35"/>
        <v>-230387.7275</v>
      </c>
      <c r="AB35" s="69">
        <f t="shared" si="35"/>
        <v>-242922.5794</v>
      </c>
      <c r="AC35" s="70">
        <f t="shared" si="35"/>
        <v>-247892.9964</v>
      </c>
      <c r="AD35" s="71">
        <f t="shared" si="35"/>
        <v>-246653.5128</v>
      </c>
      <c r="AE35" s="69">
        <f t="shared" si="35"/>
        <v>-242680.2916</v>
      </c>
      <c r="AF35" s="69">
        <f t="shared" si="35"/>
        <v>-261904.3933</v>
      </c>
      <c r="AG35" s="77">
        <f t="shared" si="9"/>
        <v>-2821566.383</v>
      </c>
      <c r="AH35" s="45"/>
      <c r="AI35" s="45"/>
      <c r="AJ35" s="45"/>
      <c r="AK35" s="39"/>
      <c r="AL35" s="45"/>
      <c r="AM35" s="45"/>
    </row>
    <row r="36" ht="15.75" customHeight="1">
      <c r="A36" s="53" t="s">
        <v>39</v>
      </c>
      <c r="B36" s="54" t="s">
        <v>44</v>
      </c>
      <c r="C36" s="55"/>
      <c r="D36" s="55">
        <v>0.305145</v>
      </c>
      <c r="E36" s="57"/>
      <c r="F36" s="53"/>
      <c r="G36" s="58"/>
      <c r="H36" s="61">
        <f t="shared" ref="H36:S36" si="36">H31+H28</f>
        <v>1692781006</v>
      </c>
      <c r="I36" s="59">
        <f t="shared" si="36"/>
        <v>1661699756</v>
      </c>
      <c r="J36" s="60">
        <f t="shared" si="36"/>
        <v>1731128245</v>
      </c>
      <c r="K36" s="61">
        <f t="shared" si="36"/>
        <v>1718589685</v>
      </c>
      <c r="L36" s="59">
        <f t="shared" si="36"/>
        <v>1740445904</v>
      </c>
      <c r="M36" s="60">
        <f t="shared" si="36"/>
        <v>1850118515</v>
      </c>
      <c r="N36" s="61">
        <f t="shared" si="36"/>
        <v>1811700097</v>
      </c>
      <c r="O36" s="59">
        <f t="shared" si="36"/>
        <v>1910595146</v>
      </c>
      <c r="P36" s="60">
        <f t="shared" si="36"/>
        <v>1949970512</v>
      </c>
      <c r="Q36" s="61">
        <f t="shared" si="36"/>
        <v>1940466001</v>
      </c>
      <c r="R36" s="59">
        <f t="shared" si="36"/>
        <v>1909431916</v>
      </c>
      <c r="S36" s="59">
        <f t="shared" si="36"/>
        <v>2061051618</v>
      </c>
      <c r="T36" s="79">
        <f t="shared" si="7"/>
        <v>21977978401</v>
      </c>
      <c r="U36" s="61">
        <f t="shared" ref="U36:AF36" si="37">U31+U28</f>
        <v>1782329393</v>
      </c>
      <c r="V36" s="59">
        <f t="shared" si="37"/>
        <v>1801999375</v>
      </c>
      <c r="W36" s="60">
        <f t="shared" si="37"/>
        <v>1821444742</v>
      </c>
      <c r="X36" s="61">
        <f t="shared" si="37"/>
        <v>1754157055</v>
      </c>
      <c r="Y36" s="59">
        <f t="shared" si="37"/>
        <v>1776218669</v>
      </c>
      <c r="Z36" s="60">
        <f t="shared" si="37"/>
        <v>1887885244</v>
      </c>
      <c r="AA36" s="61">
        <f t="shared" si="37"/>
        <v>1848433357</v>
      </c>
      <c r="AB36" s="59">
        <f t="shared" si="37"/>
        <v>1949072272</v>
      </c>
      <c r="AC36" s="60">
        <f t="shared" si="37"/>
        <v>1988978397</v>
      </c>
      <c r="AD36" s="61">
        <f t="shared" si="37"/>
        <v>1979026921</v>
      </c>
      <c r="AE36" s="59">
        <f t="shared" si="37"/>
        <v>1947127009</v>
      </c>
      <c r="AF36" s="59">
        <f t="shared" si="37"/>
        <v>2101472090</v>
      </c>
      <c r="AG36" s="79">
        <f t="shared" si="9"/>
        <v>22638144523</v>
      </c>
      <c r="AH36" s="52"/>
      <c r="AI36" s="45"/>
      <c r="AJ36" s="52"/>
      <c r="AK36" s="39"/>
      <c r="AL36" s="52"/>
      <c r="AM36" s="52"/>
    </row>
    <row r="37" ht="15.75" customHeight="1">
      <c r="A37" s="53" t="s">
        <v>45</v>
      </c>
      <c r="B37" s="54" t="s">
        <v>45</v>
      </c>
      <c r="C37" s="55"/>
      <c r="D37" s="78">
        <f>SUM(D38:D46)</f>
        <v>1.984005377</v>
      </c>
      <c r="E37" s="57"/>
      <c r="F37" s="53"/>
      <c r="G37" s="58"/>
      <c r="H37" s="59">
        <f t="shared" ref="H37:S37" si="38">SUM(H38:H45)</f>
        <v>-370304358.1</v>
      </c>
      <c r="I37" s="59">
        <f t="shared" si="38"/>
        <v>-363510343.6</v>
      </c>
      <c r="J37" s="59">
        <f t="shared" si="38"/>
        <v>-378686636.5</v>
      </c>
      <c r="K37" s="59">
        <f t="shared" si="38"/>
        <v>-375945846.9</v>
      </c>
      <c r="L37" s="59">
        <f t="shared" si="38"/>
        <v>-380723372.8</v>
      </c>
      <c r="M37" s="59">
        <f t="shared" si="38"/>
        <v>-404696581.2</v>
      </c>
      <c r="N37" s="59">
        <f t="shared" si="38"/>
        <v>-396298743.9</v>
      </c>
      <c r="O37" s="59">
        <f t="shared" si="38"/>
        <v>-417916097.6</v>
      </c>
      <c r="P37" s="59">
        <f t="shared" si="38"/>
        <v>-426523113.4</v>
      </c>
      <c r="Q37" s="59">
        <f t="shared" si="38"/>
        <v>-424445533.2</v>
      </c>
      <c r="R37" s="59">
        <f t="shared" si="38"/>
        <v>-417661828.7</v>
      </c>
      <c r="S37" s="59">
        <f t="shared" si="38"/>
        <v>-450804203.1</v>
      </c>
      <c r="T37" s="79">
        <f t="shared" si="7"/>
        <v>-4807516659</v>
      </c>
      <c r="U37" s="59">
        <f t="shared" ref="U37:AF37" si="39">SUM(U38:U45)</f>
        <v>-389878636</v>
      </c>
      <c r="V37" s="59">
        <f t="shared" si="39"/>
        <v>-394178274.1</v>
      </c>
      <c r="W37" s="59">
        <f t="shared" si="39"/>
        <v>-398428814.6</v>
      </c>
      <c r="X37" s="59">
        <f t="shared" si="39"/>
        <v>-383720477</v>
      </c>
      <c r="Y37" s="59">
        <f t="shared" si="39"/>
        <v>-388542900</v>
      </c>
      <c r="Z37" s="59">
        <f t="shared" si="39"/>
        <v>-412951966.6</v>
      </c>
      <c r="AA37" s="59">
        <f t="shared" si="39"/>
        <v>-404328224.6</v>
      </c>
      <c r="AB37" s="59">
        <f t="shared" si="39"/>
        <v>-426326768.1</v>
      </c>
      <c r="AC37" s="59">
        <f t="shared" si="39"/>
        <v>-435049801.6</v>
      </c>
      <c r="AD37" s="59">
        <f t="shared" si="39"/>
        <v>-432874519.8</v>
      </c>
      <c r="AE37" s="59">
        <f t="shared" si="39"/>
        <v>-425901555.3</v>
      </c>
      <c r="AF37" s="59">
        <f t="shared" si="39"/>
        <v>-459639667.2</v>
      </c>
      <c r="AG37" s="79">
        <f t="shared" si="9"/>
        <v>-4951821605</v>
      </c>
      <c r="AH37" s="52"/>
      <c r="AI37" s="45"/>
      <c r="AJ37" s="52"/>
      <c r="AK37" s="39"/>
      <c r="AL37" s="52"/>
      <c r="AM37" s="52"/>
    </row>
    <row r="38" ht="15.75" customHeight="1">
      <c r="A38" s="63" t="s">
        <v>45</v>
      </c>
      <c r="B38" s="64" t="s">
        <v>46</v>
      </c>
      <c r="C38" s="80"/>
      <c r="D38" s="66">
        <f>k!D14</f>
        <v>-0.0000129709111</v>
      </c>
      <c r="E38" s="83">
        <v>0.015</v>
      </c>
      <c r="F38" s="82">
        <f t="shared" ref="F38:F45" si="42">-E38</f>
        <v>-0.015</v>
      </c>
      <c r="G38" s="68"/>
      <c r="H38" s="68">
        <f t="shared" ref="H38:S38" si="40">H$29*$F38</f>
        <v>-30992908.67</v>
      </c>
      <c r="I38" s="68">
        <f t="shared" si="40"/>
        <v>-30424278.38</v>
      </c>
      <c r="J38" s="68">
        <f t="shared" si="40"/>
        <v>-31694469.92</v>
      </c>
      <c r="K38" s="68">
        <f t="shared" si="40"/>
        <v>-31465077.42</v>
      </c>
      <c r="L38" s="68">
        <f t="shared" si="40"/>
        <v>-31864936.13</v>
      </c>
      <c r="M38" s="68">
        <f t="shared" si="40"/>
        <v>-33871392.29</v>
      </c>
      <c r="N38" s="68">
        <f t="shared" si="40"/>
        <v>-33168528.83</v>
      </c>
      <c r="O38" s="68">
        <f t="shared" si="40"/>
        <v>-34977809.91</v>
      </c>
      <c r="P38" s="68">
        <f t="shared" si="40"/>
        <v>-35698180.72</v>
      </c>
      <c r="Q38" s="68">
        <f t="shared" si="40"/>
        <v>-35524296.05</v>
      </c>
      <c r="R38" s="68">
        <f t="shared" si="40"/>
        <v>-34956528.68</v>
      </c>
      <c r="S38" s="68">
        <f t="shared" si="40"/>
        <v>-37730405.24</v>
      </c>
      <c r="T38" s="76">
        <f t="shared" si="7"/>
        <v>-402368812.2</v>
      </c>
      <c r="U38" s="68">
        <f t="shared" ref="U38:AF38" si="41">U$29*$F38</f>
        <v>-32631192.95</v>
      </c>
      <c r="V38" s="68">
        <f t="shared" si="41"/>
        <v>-32991054.47</v>
      </c>
      <c r="W38" s="68">
        <f t="shared" si="41"/>
        <v>-33346806.73</v>
      </c>
      <c r="X38" s="68">
        <f t="shared" si="41"/>
        <v>-32115781.08</v>
      </c>
      <c r="Y38" s="68">
        <f t="shared" si="41"/>
        <v>-32519397.49</v>
      </c>
      <c r="Z38" s="68">
        <f t="shared" si="41"/>
        <v>-34562333.14</v>
      </c>
      <c r="AA38" s="68">
        <f t="shared" si="41"/>
        <v>-33840562.4</v>
      </c>
      <c r="AB38" s="68">
        <f t="shared" si="41"/>
        <v>-35681747.45</v>
      </c>
      <c r="AC38" s="68">
        <f t="shared" si="41"/>
        <v>-36411828.47</v>
      </c>
      <c r="AD38" s="68">
        <f t="shared" si="41"/>
        <v>-36229766.58</v>
      </c>
      <c r="AE38" s="68">
        <f t="shared" si="41"/>
        <v>-35646158.94</v>
      </c>
      <c r="AF38" s="68">
        <f t="shared" si="41"/>
        <v>-38469896.22</v>
      </c>
      <c r="AG38" s="77">
        <f t="shared" si="9"/>
        <v>-414446525.9</v>
      </c>
      <c r="AH38" s="45"/>
      <c r="AI38" s="45"/>
      <c r="AJ38" s="45"/>
      <c r="AK38" s="39"/>
      <c r="AL38" s="45"/>
      <c r="AM38" s="45"/>
    </row>
    <row r="39" ht="15.75" customHeight="1">
      <c r="A39" s="63" t="s">
        <v>45</v>
      </c>
      <c r="B39" s="64" t="s">
        <v>47</v>
      </c>
      <c r="C39" s="80"/>
      <c r="D39" s="66">
        <f>k!D17</f>
        <v>0.9171601148</v>
      </c>
      <c r="E39" s="67">
        <f>'Расчет коэффициентов'!D7</f>
        <v>0.0001021205224</v>
      </c>
      <c r="F39" s="82">
        <f t="shared" si="42"/>
        <v>-0.0001021205224</v>
      </c>
      <c r="G39" s="68"/>
      <c r="H39" s="68">
        <f t="shared" ref="H39:S39" si="43">H$29*$F39</f>
        <v>-211000.8017</v>
      </c>
      <c r="I39" s="68">
        <f t="shared" si="43"/>
        <v>-207129.5469</v>
      </c>
      <c r="J39" s="70">
        <f t="shared" si="43"/>
        <v>-215777.0551</v>
      </c>
      <c r="K39" s="68">
        <f t="shared" si="43"/>
        <v>-214215.343</v>
      </c>
      <c r="L39" s="68">
        <f t="shared" si="43"/>
        <v>-216937.595</v>
      </c>
      <c r="M39" s="70">
        <f t="shared" si="43"/>
        <v>-230597.6184</v>
      </c>
      <c r="N39" s="68">
        <f t="shared" si="43"/>
        <v>-225812.4995</v>
      </c>
      <c r="O39" s="68">
        <f t="shared" si="43"/>
        <v>-238130.1481</v>
      </c>
      <c r="P39" s="70">
        <f t="shared" si="43"/>
        <v>-243034.4577</v>
      </c>
      <c r="Q39" s="68">
        <f t="shared" si="43"/>
        <v>-241850.6448</v>
      </c>
      <c r="R39" s="68">
        <f t="shared" si="43"/>
        <v>-237985.2647</v>
      </c>
      <c r="S39" s="70">
        <f t="shared" si="43"/>
        <v>-256869.913</v>
      </c>
      <c r="T39" s="76">
        <f t="shared" si="7"/>
        <v>-2739340.888</v>
      </c>
      <c r="U39" s="68">
        <f t="shared" ref="U39:AF39" si="44">U$29*$F39</f>
        <v>-222154.2981</v>
      </c>
      <c r="V39" s="68">
        <f t="shared" si="44"/>
        <v>-224604.2479</v>
      </c>
      <c r="W39" s="70">
        <f t="shared" si="44"/>
        <v>-227026.2217</v>
      </c>
      <c r="X39" s="68">
        <f t="shared" si="44"/>
        <v>-218645.3562</v>
      </c>
      <c r="Y39" s="68">
        <f t="shared" si="44"/>
        <v>-221393.1907</v>
      </c>
      <c r="Z39" s="70">
        <f t="shared" si="44"/>
        <v>-235301.5678</v>
      </c>
      <c r="AA39" s="68">
        <f t="shared" si="44"/>
        <v>-230387.7275</v>
      </c>
      <c r="AB39" s="68">
        <f t="shared" si="44"/>
        <v>-242922.5794</v>
      </c>
      <c r="AC39" s="70">
        <f t="shared" si="44"/>
        <v>-247892.9964</v>
      </c>
      <c r="AD39" s="68">
        <f t="shared" si="44"/>
        <v>-246653.5128</v>
      </c>
      <c r="AE39" s="68">
        <f t="shared" si="44"/>
        <v>-242680.2916</v>
      </c>
      <c r="AF39" s="70">
        <f t="shared" si="44"/>
        <v>-261904.3933</v>
      </c>
      <c r="AG39" s="77">
        <f t="shared" si="9"/>
        <v>-2821566.383</v>
      </c>
      <c r="AH39" s="45"/>
      <c r="AI39" s="45"/>
      <c r="AJ39" s="45"/>
      <c r="AK39" s="39"/>
      <c r="AL39" s="45"/>
      <c r="AM39" s="45"/>
    </row>
    <row r="40" ht="15.75" customHeight="1">
      <c r="A40" s="63" t="s">
        <v>45</v>
      </c>
      <c r="B40" s="64" t="s">
        <v>48</v>
      </c>
      <c r="C40" s="80"/>
      <c r="D40" s="66">
        <f>k!D12</f>
        <v>-0.00002785456876</v>
      </c>
      <c r="E40" s="84">
        <v>0.001</v>
      </c>
      <c r="F40" s="82">
        <f t="shared" si="42"/>
        <v>-0.001</v>
      </c>
      <c r="G40" s="68"/>
      <c r="H40" s="68">
        <f t="shared" ref="H40:S40" si="45">H$29*$F40</f>
        <v>-2066193.911</v>
      </c>
      <c r="I40" s="68">
        <f t="shared" si="45"/>
        <v>-2028285.226</v>
      </c>
      <c r="J40" s="70">
        <f t="shared" si="45"/>
        <v>-2112964.662</v>
      </c>
      <c r="K40" s="68">
        <f t="shared" si="45"/>
        <v>-2097671.828</v>
      </c>
      <c r="L40" s="68">
        <f t="shared" si="45"/>
        <v>-2124329.076</v>
      </c>
      <c r="M40" s="70">
        <f t="shared" si="45"/>
        <v>-2258092.819</v>
      </c>
      <c r="N40" s="68">
        <f t="shared" si="45"/>
        <v>-2211235.255</v>
      </c>
      <c r="O40" s="68">
        <f t="shared" si="45"/>
        <v>-2331853.994</v>
      </c>
      <c r="P40" s="70">
        <f t="shared" si="45"/>
        <v>-2379878.715</v>
      </c>
      <c r="Q40" s="68">
        <f t="shared" si="45"/>
        <v>-2368286.403</v>
      </c>
      <c r="R40" s="68">
        <f t="shared" si="45"/>
        <v>-2330435.245</v>
      </c>
      <c r="S40" s="70">
        <f t="shared" si="45"/>
        <v>-2515360.349</v>
      </c>
      <c r="T40" s="76">
        <f t="shared" si="7"/>
        <v>-26824587.48</v>
      </c>
      <c r="U40" s="68">
        <f t="shared" ref="U40:AF40" si="46">U$29*$F40</f>
        <v>-2175412.863</v>
      </c>
      <c r="V40" s="68">
        <f t="shared" si="46"/>
        <v>-2199403.631</v>
      </c>
      <c r="W40" s="70">
        <f t="shared" si="46"/>
        <v>-2223120.449</v>
      </c>
      <c r="X40" s="68">
        <f t="shared" si="46"/>
        <v>-2141052.072</v>
      </c>
      <c r="Y40" s="68">
        <f t="shared" si="46"/>
        <v>-2167959.833</v>
      </c>
      <c r="Z40" s="70">
        <f t="shared" si="46"/>
        <v>-2304155.542</v>
      </c>
      <c r="AA40" s="68">
        <f t="shared" si="46"/>
        <v>-2256037.493</v>
      </c>
      <c r="AB40" s="68">
        <f t="shared" si="46"/>
        <v>-2378783.163</v>
      </c>
      <c r="AC40" s="70">
        <f t="shared" si="46"/>
        <v>-2427455.231</v>
      </c>
      <c r="AD40" s="68">
        <f t="shared" si="46"/>
        <v>-2415317.772</v>
      </c>
      <c r="AE40" s="68">
        <f t="shared" si="46"/>
        <v>-2376410.596</v>
      </c>
      <c r="AF40" s="70">
        <f t="shared" si="46"/>
        <v>-2564659.748</v>
      </c>
      <c r="AG40" s="77">
        <f t="shared" si="9"/>
        <v>-27629768.39</v>
      </c>
      <c r="AH40" s="45"/>
      <c r="AI40" s="45"/>
      <c r="AJ40" s="45"/>
      <c r="AK40" s="39"/>
      <c r="AL40" s="45"/>
      <c r="AM40" s="45"/>
    </row>
    <row r="41" ht="15.75" customHeight="1">
      <c r="A41" s="63" t="s">
        <v>45</v>
      </c>
      <c r="B41" s="64" t="s">
        <v>49</v>
      </c>
      <c r="C41" s="80"/>
      <c r="D41" s="66">
        <f>k!D13</f>
        <v>0.9081134563</v>
      </c>
      <c r="E41" s="84">
        <v>1.2E-4</v>
      </c>
      <c r="F41" s="82">
        <f t="shared" si="42"/>
        <v>-0.00012</v>
      </c>
      <c r="G41" s="68"/>
      <c r="H41" s="68">
        <f t="shared" ref="H41:S41" si="47">H$29*$F41</f>
        <v>-247943.2693</v>
      </c>
      <c r="I41" s="68">
        <f t="shared" si="47"/>
        <v>-243394.2271</v>
      </c>
      <c r="J41" s="70">
        <f t="shared" si="47"/>
        <v>-253555.7594</v>
      </c>
      <c r="K41" s="68">
        <f t="shared" si="47"/>
        <v>-251720.6194</v>
      </c>
      <c r="L41" s="68">
        <f t="shared" si="47"/>
        <v>-254919.4891</v>
      </c>
      <c r="M41" s="70">
        <f t="shared" si="47"/>
        <v>-270971.1383</v>
      </c>
      <c r="N41" s="68">
        <f t="shared" si="47"/>
        <v>-265348.2306</v>
      </c>
      <c r="O41" s="68">
        <f t="shared" si="47"/>
        <v>-279822.4793</v>
      </c>
      <c r="P41" s="70">
        <f t="shared" si="47"/>
        <v>-285585.4458</v>
      </c>
      <c r="Q41" s="68">
        <f t="shared" si="47"/>
        <v>-284194.3684</v>
      </c>
      <c r="R41" s="68">
        <f t="shared" si="47"/>
        <v>-279652.2294</v>
      </c>
      <c r="S41" s="70">
        <f t="shared" si="47"/>
        <v>-301843.2419</v>
      </c>
      <c r="T41" s="76">
        <f t="shared" si="7"/>
        <v>-3218950.498</v>
      </c>
      <c r="U41" s="68">
        <f t="shared" ref="U41:AF41" si="48">U$29*$F41</f>
        <v>-261049.5436</v>
      </c>
      <c r="V41" s="68">
        <f t="shared" si="48"/>
        <v>-263928.4358</v>
      </c>
      <c r="W41" s="70">
        <f t="shared" si="48"/>
        <v>-266774.4538</v>
      </c>
      <c r="X41" s="68">
        <f t="shared" si="48"/>
        <v>-256926.2487</v>
      </c>
      <c r="Y41" s="68">
        <f t="shared" si="48"/>
        <v>-260155.1799</v>
      </c>
      <c r="Z41" s="70">
        <f t="shared" si="48"/>
        <v>-276498.6651</v>
      </c>
      <c r="AA41" s="68">
        <f t="shared" si="48"/>
        <v>-270724.4992</v>
      </c>
      <c r="AB41" s="68">
        <f t="shared" si="48"/>
        <v>-285453.9796</v>
      </c>
      <c r="AC41" s="70">
        <f t="shared" si="48"/>
        <v>-291294.6278</v>
      </c>
      <c r="AD41" s="68">
        <f t="shared" si="48"/>
        <v>-289838.1327</v>
      </c>
      <c r="AE41" s="68">
        <f t="shared" si="48"/>
        <v>-285169.2715</v>
      </c>
      <c r="AF41" s="70">
        <f t="shared" si="48"/>
        <v>-307759.1698</v>
      </c>
      <c r="AG41" s="77">
        <f t="shared" si="9"/>
        <v>-3315572.207</v>
      </c>
      <c r="AH41" s="45"/>
      <c r="AI41" s="45"/>
      <c r="AJ41" s="45"/>
      <c r="AK41" s="39"/>
      <c r="AL41" s="45"/>
      <c r="AM41" s="45"/>
    </row>
    <row r="42" ht="15.75" customHeight="1">
      <c r="A42" s="63" t="s">
        <v>45</v>
      </c>
      <c r="B42" s="64" t="s">
        <v>50</v>
      </c>
      <c r="C42" s="80"/>
      <c r="D42" s="85">
        <v>0.15</v>
      </c>
      <c r="E42" s="84">
        <v>0.15</v>
      </c>
      <c r="F42" s="82">
        <f t="shared" si="42"/>
        <v>-0.15</v>
      </c>
      <c r="G42" s="68"/>
      <c r="H42" s="68">
        <f t="shared" ref="H42:S42" si="49">H$29*$F42</f>
        <v>-309929086.7</v>
      </c>
      <c r="I42" s="68">
        <f t="shared" si="49"/>
        <v>-304242783.8</v>
      </c>
      <c r="J42" s="70">
        <f t="shared" si="49"/>
        <v>-316944699.2</v>
      </c>
      <c r="K42" s="68">
        <f t="shared" si="49"/>
        <v>-314650774.2</v>
      </c>
      <c r="L42" s="68">
        <f t="shared" si="49"/>
        <v>-318649361.3</v>
      </c>
      <c r="M42" s="70">
        <f t="shared" si="49"/>
        <v>-338713922.9</v>
      </c>
      <c r="N42" s="68">
        <f t="shared" si="49"/>
        <v>-331685288.3</v>
      </c>
      <c r="O42" s="68">
        <f t="shared" si="49"/>
        <v>-349778099.1</v>
      </c>
      <c r="P42" s="70">
        <f t="shared" si="49"/>
        <v>-356981807.2</v>
      </c>
      <c r="Q42" s="68">
        <f t="shared" si="49"/>
        <v>-355242960.5</v>
      </c>
      <c r="R42" s="68">
        <f t="shared" si="49"/>
        <v>-349565286.8</v>
      </c>
      <c r="S42" s="70">
        <f t="shared" si="49"/>
        <v>-377304052.4</v>
      </c>
      <c r="T42" s="76">
        <f t="shared" si="7"/>
        <v>-4023688122</v>
      </c>
      <c r="U42" s="68">
        <f t="shared" ref="U42:AF42" si="50">U$29*$F42</f>
        <v>-326311929.5</v>
      </c>
      <c r="V42" s="68">
        <f t="shared" si="50"/>
        <v>-329910544.7</v>
      </c>
      <c r="W42" s="70">
        <f t="shared" si="50"/>
        <v>-333468067.3</v>
      </c>
      <c r="X42" s="68">
        <f t="shared" si="50"/>
        <v>-321157810.8</v>
      </c>
      <c r="Y42" s="68">
        <f t="shared" si="50"/>
        <v>-325193974.9</v>
      </c>
      <c r="Z42" s="70">
        <f t="shared" si="50"/>
        <v>-345623331.4</v>
      </c>
      <c r="AA42" s="68">
        <f t="shared" si="50"/>
        <v>-338405624</v>
      </c>
      <c r="AB42" s="68">
        <f t="shared" si="50"/>
        <v>-356817474.5</v>
      </c>
      <c r="AC42" s="70">
        <f t="shared" si="50"/>
        <v>-364118284.7</v>
      </c>
      <c r="AD42" s="68">
        <f t="shared" si="50"/>
        <v>-362297665.8</v>
      </c>
      <c r="AE42" s="68">
        <f t="shared" si="50"/>
        <v>-356461589.4</v>
      </c>
      <c r="AF42" s="70">
        <f t="shared" si="50"/>
        <v>-384698962.2</v>
      </c>
      <c r="AG42" s="77">
        <f t="shared" si="9"/>
        <v>-4144465259</v>
      </c>
      <c r="AH42" s="45"/>
      <c r="AI42" s="45"/>
      <c r="AJ42" s="45"/>
      <c r="AK42" s="39"/>
      <c r="AL42" s="45"/>
      <c r="AM42" s="45"/>
    </row>
    <row r="43" ht="15.75" customHeight="1">
      <c r="A43" s="63" t="s">
        <v>45</v>
      </c>
      <c r="B43" s="64" t="s">
        <v>51</v>
      </c>
      <c r="C43" s="80"/>
      <c r="D43" s="66">
        <f>k!D16</f>
        <v>0.0001021205224</v>
      </c>
      <c r="E43" s="84">
        <v>2.0E-4</v>
      </c>
      <c r="F43" s="82">
        <f t="shared" si="42"/>
        <v>-0.0002</v>
      </c>
      <c r="G43" s="68"/>
      <c r="H43" s="68">
        <f t="shared" ref="H43:S43" si="51">H$29*$F43</f>
        <v>-413238.7822</v>
      </c>
      <c r="I43" s="68">
        <f t="shared" si="51"/>
        <v>-405657.0451</v>
      </c>
      <c r="J43" s="70">
        <f t="shared" si="51"/>
        <v>-422592.9323</v>
      </c>
      <c r="K43" s="68">
        <f t="shared" si="51"/>
        <v>-419534.3656</v>
      </c>
      <c r="L43" s="68">
        <f t="shared" si="51"/>
        <v>-424865.8151</v>
      </c>
      <c r="M43" s="70">
        <f t="shared" si="51"/>
        <v>-451618.5639</v>
      </c>
      <c r="N43" s="68">
        <f t="shared" si="51"/>
        <v>-442247.051</v>
      </c>
      <c r="O43" s="68">
        <f t="shared" si="51"/>
        <v>-466370.7988</v>
      </c>
      <c r="P43" s="70">
        <f t="shared" si="51"/>
        <v>-475975.743</v>
      </c>
      <c r="Q43" s="68">
        <f t="shared" si="51"/>
        <v>-473657.2806</v>
      </c>
      <c r="R43" s="68">
        <f t="shared" si="51"/>
        <v>-466087.049</v>
      </c>
      <c r="S43" s="70">
        <f t="shared" si="51"/>
        <v>-503072.0699</v>
      </c>
      <c r="T43" s="76">
        <f t="shared" si="7"/>
        <v>-5364917.496</v>
      </c>
      <c r="U43" s="68">
        <f t="shared" ref="U43:AF43" si="52">U$29*$F43</f>
        <v>-435082.5726</v>
      </c>
      <c r="V43" s="68">
        <f t="shared" si="52"/>
        <v>-439880.7263</v>
      </c>
      <c r="W43" s="70">
        <f t="shared" si="52"/>
        <v>-444624.0897</v>
      </c>
      <c r="X43" s="68">
        <f t="shared" si="52"/>
        <v>-428210.4144</v>
      </c>
      <c r="Y43" s="68">
        <f t="shared" si="52"/>
        <v>-433591.9665</v>
      </c>
      <c r="Z43" s="70">
        <f t="shared" si="52"/>
        <v>-460831.1085</v>
      </c>
      <c r="AA43" s="68">
        <f t="shared" si="52"/>
        <v>-451207.4987</v>
      </c>
      <c r="AB43" s="68">
        <f t="shared" si="52"/>
        <v>-475756.6327</v>
      </c>
      <c r="AC43" s="70">
        <f t="shared" si="52"/>
        <v>-485491.0463</v>
      </c>
      <c r="AD43" s="68">
        <f t="shared" si="52"/>
        <v>-483063.5544</v>
      </c>
      <c r="AE43" s="68">
        <f t="shared" si="52"/>
        <v>-475282.1192</v>
      </c>
      <c r="AF43" s="70">
        <f t="shared" si="52"/>
        <v>-512931.9496</v>
      </c>
      <c r="AG43" s="77">
        <f t="shared" si="9"/>
        <v>-5525953.679</v>
      </c>
      <c r="AH43" s="45"/>
      <c r="AI43" s="45"/>
      <c r="AJ43" s="45"/>
      <c r="AK43" s="39"/>
      <c r="AL43" s="45"/>
      <c r="AM43" s="45"/>
    </row>
    <row r="44" ht="15.75" customHeight="1">
      <c r="A44" s="63" t="s">
        <v>45</v>
      </c>
      <c r="B44" s="64" t="s">
        <v>52</v>
      </c>
      <c r="C44" s="80"/>
      <c r="D44" s="66">
        <f>k!D10</f>
        <v>0.008698404754</v>
      </c>
      <c r="E44" s="84">
        <v>0.005</v>
      </c>
      <c r="F44" s="82">
        <f t="shared" si="42"/>
        <v>-0.005</v>
      </c>
      <c r="G44" s="68"/>
      <c r="H44" s="68">
        <f t="shared" ref="H44:S44" si="53">-H28*$E$44</f>
        <v>-8471395.035</v>
      </c>
      <c r="I44" s="68">
        <f t="shared" si="53"/>
        <v>-8315969.425</v>
      </c>
      <c r="J44" s="68">
        <f t="shared" si="53"/>
        <v>-8663155.113</v>
      </c>
      <c r="K44" s="68">
        <f t="shared" si="53"/>
        <v>-8600454.494</v>
      </c>
      <c r="L44" s="68">
        <f t="shared" si="53"/>
        <v>-8709749.21</v>
      </c>
      <c r="M44" s="68">
        <f t="shared" si="53"/>
        <v>-9258180.56</v>
      </c>
      <c r="N44" s="68">
        <f t="shared" si="53"/>
        <v>-9066064.546</v>
      </c>
      <c r="O44" s="68">
        <f t="shared" si="53"/>
        <v>-9560601.375</v>
      </c>
      <c r="P44" s="68">
        <f t="shared" si="53"/>
        <v>-9757502.731</v>
      </c>
      <c r="Q44" s="68">
        <f t="shared" si="53"/>
        <v>-9709974.253</v>
      </c>
      <c r="R44" s="68">
        <f t="shared" si="53"/>
        <v>-9554784.505</v>
      </c>
      <c r="S44" s="68">
        <f t="shared" si="53"/>
        <v>-10312977.43</v>
      </c>
      <c r="T44" s="76">
        <f t="shared" si="7"/>
        <v>-109980808.7</v>
      </c>
      <c r="U44" s="68">
        <f t="shared" ref="U44:AF44" si="54">-U28*$E$44</f>
        <v>-8919192.739</v>
      </c>
      <c r="V44" s="68">
        <f t="shared" si="54"/>
        <v>-9017554.889</v>
      </c>
      <c r="W44" s="68">
        <f t="shared" si="54"/>
        <v>-9114793.84</v>
      </c>
      <c r="X44" s="68">
        <f t="shared" si="54"/>
        <v>-8778313.496</v>
      </c>
      <c r="Y44" s="68">
        <f t="shared" si="54"/>
        <v>-8888635.313</v>
      </c>
      <c r="Z44" s="68">
        <f t="shared" si="54"/>
        <v>-9447037.724</v>
      </c>
      <c r="AA44" s="68">
        <f t="shared" si="54"/>
        <v>-9249753.723</v>
      </c>
      <c r="AB44" s="68">
        <f t="shared" si="54"/>
        <v>-9753010.97</v>
      </c>
      <c r="AC44" s="68">
        <f t="shared" si="54"/>
        <v>-9952566.448</v>
      </c>
      <c r="AD44" s="68">
        <f t="shared" si="54"/>
        <v>-9902802.866</v>
      </c>
      <c r="AE44" s="68">
        <f t="shared" si="54"/>
        <v>-9743283.444</v>
      </c>
      <c r="AF44" s="68">
        <f t="shared" si="54"/>
        <v>-10515104.97</v>
      </c>
      <c r="AG44" s="77">
        <f t="shared" si="9"/>
        <v>-113282050.4</v>
      </c>
      <c r="AH44" s="45"/>
      <c r="AI44" s="45"/>
      <c r="AJ44" s="45"/>
      <c r="AK44" s="39"/>
      <c r="AL44" s="45"/>
      <c r="AM44" s="45"/>
    </row>
    <row r="45" ht="15.75" customHeight="1">
      <c r="A45" s="63" t="s">
        <v>45</v>
      </c>
      <c r="B45" s="64" t="s">
        <v>53</v>
      </c>
      <c r="C45" s="80"/>
      <c r="D45" s="66">
        <f>k!D11</f>
        <v>-0.00002789349127</v>
      </c>
      <c r="E45" s="67">
        <f>'Расчет коэффициентов'!D13</f>
        <v>0.008698404754</v>
      </c>
      <c r="F45" s="82">
        <f t="shared" si="42"/>
        <v>-0.008698404754</v>
      </c>
      <c r="G45" s="68"/>
      <c r="H45" s="86">
        <f t="shared" ref="H45:S45" si="55">H$29*$F45</f>
        <v>-17972590.94</v>
      </c>
      <c r="I45" s="86">
        <f t="shared" si="55"/>
        <v>-17642845.85</v>
      </c>
      <c r="J45" s="70">
        <f t="shared" si="55"/>
        <v>-18379421.86</v>
      </c>
      <c r="K45" s="86">
        <f t="shared" si="55"/>
        <v>-18246398.6</v>
      </c>
      <c r="L45" s="86">
        <f t="shared" si="55"/>
        <v>-18478274.13</v>
      </c>
      <c r="M45" s="70">
        <f t="shared" si="55"/>
        <v>-19641805.32</v>
      </c>
      <c r="N45" s="86">
        <f t="shared" si="55"/>
        <v>-19234219.25</v>
      </c>
      <c r="O45" s="86">
        <f t="shared" si="55"/>
        <v>-20283409.87</v>
      </c>
      <c r="P45" s="70">
        <f t="shared" si="55"/>
        <v>-20701148.33</v>
      </c>
      <c r="Q45" s="86">
        <f t="shared" si="55"/>
        <v>-20600313.71</v>
      </c>
      <c r="R45" s="86">
        <f t="shared" si="55"/>
        <v>-20271069.02</v>
      </c>
      <c r="S45" s="70">
        <f t="shared" si="55"/>
        <v>-21879622.42</v>
      </c>
      <c r="T45" s="76">
        <f t="shared" si="7"/>
        <v>-233331119.3</v>
      </c>
      <c r="U45" s="86">
        <f t="shared" ref="U45:AF45" si="56">U$29*$F45</f>
        <v>-18922621.59</v>
      </c>
      <c r="V45" s="86">
        <f t="shared" si="56"/>
        <v>-19131303</v>
      </c>
      <c r="W45" s="70">
        <f t="shared" si="56"/>
        <v>-19337601.48</v>
      </c>
      <c r="X45" s="86">
        <f t="shared" si="56"/>
        <v>-18623737.52</v>
      </c>
      <c r="Y45" s="86">
        <f t="shared" si="56"/>
        <v>-18857792.11</v>
      </c>
      <c r="Z45" s="70">
        <f t="shared" si="56"/>
        <v>-20042477.52</v>
      </c>
      <c r="AA45" s="86">
        <f t="shared" si="56"/>
        <v>-19623927.26</v>
      </c>
      <c r="AB45" s="86">
        <f t="shared" si="56"/>
        <v>-20691618.78</v>
      </c>
      <c r="AC45" s="70">
        <f t="shared" si="56"/>
        <v>-21114988.12</v>
      </c>
      <c r="AD45" s="86">
        <f t="shared" si="56"/>
        <v>-21009411.59</v>
      </c>
      <c r="AE45" s="86">
        <f t="shared" si="56"/>
        <v>-20670981.23</v>
      </c>
      <c r="AF45" s="70">
        <f t="shared" si="56"/>
        <v>-22308448.54</v>
      </c>
      <c r="AG45" s="77">
        <f t="shared" si="9"/>
        <v>-240334908.8</v>
      </c>
      <c r="AH45" s="45"/>
      <c r="AI45" s="45"/>
      <c r="AJ45" s="45"/>
      <c r="AK45" s="39"/>
      <c r="AL45" s="45"/>
      <c r="AM45" s="45"/>
    </row>
    <row r="46" ht="15.75" customHeight="1">
      <c r="A46" s="53" t="s">
        <v>45</v>
      </c>
      <c r="B46" s="54" t="s">
        <v>54</v>
      </c>
      <c r="C46" s="55"/>
      <c r="D46" s="55"/>
      <c r="E46" s="57"/>
      <c r="F46" s="53"/>
      <c r="G46" s="59">
        <f t="shared" ref="G46:AG46" si="57">G36+G37</f>
        <v>0</v>
      </c>
      <c r="H46" s="59">
        <f t="shared" si="57"/>
        <v>1322476648</v>
      </c>
      <c r="I46" s="59">
        <f t="shared" si="57"/>
        <v>1298189413</v>
      </c>
      <c r="J46" s="59">
        <f t="shared" si="57"/>
        <v>1352441609</v>
      </c>
      <c r="K46" s="59">
        <f t="shared" si="57"/>
        <v>1342643838</v>
      </c>
      <c r="L46" s="59">
        <f t="shared" si="57"/>
        <v>1359722532</v>
      </c>
      <c r="M46" s="59">
        <f t="shared" si="57"/>
        <v>1445421934</v>
      </c>
      <c r="N46" s="59">
        <f t="shared" si="57"/>
        <v>1415401353</v>
      </c>
      <c r="O46" s="59">
        <f t="shared" si="57"/>
        <v>1492679048</v>
      </c>
      <c r="P46" s="59">
        <f t="shared" si="57"/>
        <v>1523447398</v>
      </c>
      <c r="Q46" s="59">
        <f t="shared" si="57"/>
        <v>1516020468</v>
      </c>
      <c r="R46" s="59">
        <f t="shared" si="57"/>
        <v>1491770087</v>
      </c>
      <c r="S46" s="59">
        <f t="shared" si="57"/>
        <v>1610247414</v>
      </c>
      <c r="T46" s="59">
        <f t="shared" si="57"/>
        <v>17170461742</v>
      </c>
      <c r="U46" s="59">
        <f t="shared" si="57"/>
        <v>1392450757</v>
      </c>
      <c r="V46" s="59">
        <f t="shared" si="57"/>
        <v>1407821100</v>
      </c>
      <c r="W46" s="59">
        <f t="shared" si="57"/>
        <v>1423015927</v>
      </c>
      <c r="X46" s="59">
        <f t="shared" si="57"/>
        <v>1370436578</v>
      </c>
      <c r="Y46" s="59">
        <f t="shared" si="57"/>
        <v>1387675770</v>
      </c>
      <c r="Z46" s="59">
        <f t="shared" si="57"/>
        <v>1474933278</v>
      </c>
      <c r="AA46" s="59">
        <f t="shared" si="57"/>
        <v>1444105132</v>
      </c>
      <c r="AB46" s="59">
        <f t="shared" si="57"/>
        <v>1522745504</v>
      </c>
      <c r="AC46" s="59">
        <f t="shared" si="57"/>
        <v>1553928595</v>
      </c>
      <c r="AD46" s="59">
        <f t="shared" si="57"/>
        <v>1546152401</v>
      </c>
      <c r="AE46" s="59">
        <f t="shared" si="57"/>
        <v>1521225453</v>
      </c>
      <c r="AF46" s="59">
        <f t="shared" si="57"/>
        <v>1641832423</v>
      </c>
      <c r="AG46" s="59">
        <f t="shared" si="57"/>
        <v>17686322918</v>
      </c>
      <c r="AH46" s="52"/>
      <c r="AI46" s="45"/>
      <c r="AJ46" s="52"/>
      <c r="AK46" s="39"/>
      <c r="AL46" s="52"/>
      <c r="AM46" s="52"/>
    </row>
    <row r="47" ht="15.75" customHeight="1">
      <c r="A47" s="53" t="s">
        <v>55</v>
      </c>
      <c r="B47" s="54" t="s">
        <v>55</v>
      </c>
      <c r="C47" s="55"/>
      <c r="D47" s="78">
        <f>SUM(D48:D49)</f>
        <v>0.03</v>
      </c>
      <c r="E47" s="57"/>
      <c r="F47" s="53"/>
      <c r="G47" s="58"/>
      <c r="H47" s="61">
        <f t="shared" ref="H47:S47" si="58">SUM(H48:H49)</f>
        <v>-348074334</v>
      </c>
      <c r="I47" s="59">
        <f t="shared" si="58"/>
        <v>-346226607.2</v>
      </c>
      <c r="J47" s="60">
        <f t="shared" si="58"/>
        <v>-361983561.8</v>
      </c>
      <c r="K47" s="61">
        <f t="shared" si="58"/>
        <v>-360602659.7</v>
      </c>
      <c r="L47" s="59">
        <f t="shared" si="58"/>
        <v>-363860709.2</v>
      </c>
      <c r="M47" s="60">
        <f t="shared" si="58"/>
        <v>-388614808.5</v>
      </c>
      <c r="N47" s="61">
        <f t="shared" si="58"/>
        <v>-398065036.5</v>
      </c>
      <c r="O47" s="59">
        <f t="shared" si="58"/>
        <v>-410206126.2</v>
      </c>
      <c r="P47" s="60">
        <f t="shared" si="58"/>
        <v>-435140358</v>
      </c>
      <c r="Q47" s="61">
        <f t="shared" si="58"/>
        <v>-438013938.5</v>
      </c>
      <c r="R47" s="59">
        <f t="shared" si="58"/>
        <v>-426875629.9</v>
      </c>
      <c r="S47" s="59">
        <f t="shared" si="58"/>
        <v>-452098359.3</v>
      </c>
      <c r="T47" s="79">
        <f t="shared" ref="T47:T48" si="61">SUM(H47:S47)</f>
        <v>-4729762129</v>
      </c>
      <c r="U47" s="61">
        <f t="shared" ref="U47:AF47" si="59">SUM(U48:U49)</f>
        <v>-366473806.1</v>
      </c>
      <c r="V47" s="59">
        <f t="shared" si="59"/>
        <v>-375436812.4</v>
      </c>
      <c r="W47" s="60">
        <f t="shared" si="59"/>
        <v>-380855222.6</v>
      </c>
      <c r="X47" s="61">
        <f t="shared" si="59"/>
        <v>-368060096.5</v>
      </c>
      <c r="Y47" s="59">
        <f t="shared" si="59"/>
        <v>-371334006.7</v>
      </c>
      <c r="Z47" s="60">
        <f t="shared" si="59"/>
        <v>-396542247.9</v>
      </c>
      <c r="AA47" s="61">
        <f t="shared" si="59"/>
        <v>-406130408.8</v>
      </c>
      <c r="AB47" s="59">
        <f t="shared" si="59"/>
        <v>-418461735.2</v>
      </c>
      <c r="AC47" s="60">
        <f t="shared" si="59"/>
        <v>-443839418</v>
      </c>
      <c r="AD47" s="61">
        <f t="shared" si="59"/>
        <v>-446712480.1</v>
      </c>
      <c r="AE47" s="59">
        <f t="shared" si="59"/>
        <v>-435297230.2</v>
      </c>
      <c r="AF47" s="59">
        <f t="shared" si="59"/>
        <v>-460959289.1</v>
      </c>
      <c r="AG47" s="79">
        <f t="shared" ref="AG47:AG48" si="63">SUM(U47:AF47)</f>
        <v>-4870102754</v>
      </c>
      <c r="AH47" s="52"/>
      <c r="AI47" s="45"/>
      <c r="AJ47" s="52"/>
      <c r="AK47" s="39"/>
      <c r="AL47" s="52"/>
      <c r="AM47" s="52"/>
    </row>
    <row r="48" ht="15.75" customHeight="1">
      <c r="A48" s="63" t="s">
        <v>55</v>
      </c>
      <c r="B48" s="87" t="s">
        <v>56</v>
      </c>
      <c r="C48" s="80"/>
      <c r="D48" s="85">
        <v>0.03</v>
      </c>
      <c r="E48" s="84">
        <v>0.03</v>
      </c>
      <c r="F48" s="82">
        <f>-E48</f>
        <v>-0.03</v>
      </c>
      <c r="G48" s="68"/>
      <c r="H48" s="88">
        <f t="shared" ref="H48:S48" si="60">H$29*$F48</f>
        <v>-61985817.33</v>
      </c>
      <c r="I48" s="89">
        <f t="shared" si="60"/>
        <v>-60848556.77</v>
      </c>
      <c r="J48" s="90">
        <f t="shared" si="60"/>
        <v>-63388939.85</v>
      </c>
      <c r="K48" s="88">
        <f t="shared" si="60"/>
        <v>-62930154.84</v>
      </c>
      <c r="L48" s="89">
        <f t="shared" si="60"/>
        <v>-63729872.27</v>
      </c>
      <c r="M48" s="90">
        <f t="shared" si="60"/>
        <v>-67742784.58</v>
      </c>
      <c r="N48" s="88">
        <f t="shared" si="60"/>
        <v>-66337057.65</v>
      </c>
      <c r="O48" s="89">
        <f t="shared" si="60"/>
        <v>-69955619.81</v>
      </c>
      <c r="P48" s="90">
        <f t="shared" si="60"/>
        <v>-71396361.45</v>
      </c>
      <c r="Q48" s="88">
        <f t="shared" si="60"/>
        <v>-71048592.09</v>
      </c>
      <c r="R48" s="89">
        <f t="shared" si="60"/>
        <v>-69913057.35</v>
      </c>
      <c r="S48" s="90">
        <f t="shared" si="60"/>
        <v>-75460810.48</v>
      </c>
      <c r="T48" s="91">
        <f t="shared" si="61"/>
        <v>-804737624.5</v>
      </c>
      <c r="U48" s="88">
        <f t="shared" ref="U48:AF48" si="62">U$29*$F48</f>
        <v>-65262385.89</v>
      </c>
      <c r="V48" s="89">
        <f t="shared" si="62"/>
        <v>-65982108.94</v>
      </c>
      <c r="W48" s="90">
        <f t="shared" si="62"/>
        <v>-66693613.46</v>
      </c>
      <c r="X48" s="88">
        <f t="shared" si="62"/>
        <v>-64231562.16</v>
      </c>
      <c r="Y48" s="89">
        <f t="shared" si="62"/>
        <v>-65038794.98</v>
      </c>
      <c r="Z48" s="90">
        <f t="shared" si="62"/>
        <v>-69124666.27</v>
      </c>
      <c r="AA48" s="88">
        <f t="shared" si="62"/>
        <v>-67681124.8</v>
      </c>
      <c r="AB48" s="89">
        <f t="shared" si="62"/>
        <v>-71363494.9</v>
      </c>
      <c r="AC48" s="90">
        <f t="shared" si="62"/>
        <v>-72823656.94</v>
      </c>
      <c r="AD48" s="88">
        <f t="shared" si="62"/>
        <v>-72459533.16</v>
      </c>
      <c r="AE48" s="89">
        <f t="shared" si="62"/>
        <v>-71292317.89</v>
      </c>
      <c r="AF48" s="90">
        <f t="shared" si="62"/>
        <v>-76939792.44</v>
      </c>
      <c r="AG48" s="92">
        <f t="shared" si="63"/>
        <v>-828893051.8</v>
      </c>
      <c r="AH48" s="93"/>
      <c r="AI48" s="45"/>
      <c r="AJ48" s="45"/>
      <c r="AK48" s="39"/>
      <c r="AL48" s="45"/>
      <c r="AM48" s="45"/>
    </row>
    <row r="49" ht="15.75" customHeight="1">
      <c r="A49" s="63" t="s">
        <v>55</v>
      </c>
      <c r="B49" s="64" t="s">
        <v>57</v>
      </c>
      <c r="C49" s="80"/>
      <c r="D49" s="85"/>
      <c r="E49" s="84"/>
      <c r="F49" s="82"/>
      <c r="G49" s="68"/>
      <c r="H49" s="68">
        <f>-'Маркетинг Ожидания'!G29</f>
        <v>-286088516.6</v>
      </c>
      <c r="I49" s="68">
        <f>-'Маркетинг Ожидания'!H29</f>
        <v>-285378050.4</v>
      </c>
      <c r="J49" s="70">
        <f>-'Маркетинг Ожидания'!I29</f>
        <v>-298594621.9</v>
      </c>
      <c r="K49" s="68">
        <f>-'Маркетинг Ожидания'!J29</f>
        <v>-297672504.8</v>
      </c>
      <c r="L49" s="68">
        <f>-'Маркетинг Ожидания'!K29</f>
        <v>-300130836.9</v>
      </c>
      <c r="M49" s="70">
        <f>-'Маркетинг Ожидания'!L29</f>
        <v>-320872023.9</v>
      </c>
      <c r="N49" s="68">
        <f>-'Маркетинг Ожидания'!M29</f>
        <v>-331727978.8</v>
      </c>
      <c r="O49" s="68">
        <f>-'Маркетинг Ожидания'!N29</f>
        <v>-340250506.4</v>
      </c>
      <c r="P49" s="70">
        <f>-'Маркетинг Ожидания'!O29</f>
        <v>-363743996.5</v>
      </c>
      <c r="Q49" s="68">
        <f>-'Маркетинг Ожидания'!P29</f>
        <v>-366965346.5</v>
      </c>
      <c r="R49" s="68">
        <f>-'Маркетинг Ожидания'!Q29</f>
        <v>-356962572.5</v>
      </c>
      <c r="S49" s="70">
        <f>-'Маркетинг Ожидания'!R29</f>
        <v>-376637548.8</v>
      </c>
      <c r="T49" s="76">
        <f>-'Маркетинг Ожидания'!S29</f>
        <v>-3925024504</v>
      </c>
      <c r="U49" s="70">
        <f>-'Маркетинг Ожидания'!T29</f>
        <v>-301211420.2</v>
      </c>
      <c r="V49" s="70">
        <f>-'Маркетинг Ожидания'!U29</f>
        <v>-309454703.4</v>
      </c>
      <c r="W49" s="70">
        <f>-'Маркетинг Ожидания'!V29</f>
        <v>-314161609.1</v>
      </c>
      <c r="X49" s="70">
        <f>-'Маркетинг Ожидания'!W29</f>
        <v>-303828534.4</v>
      </c>
      <c r="Y49" s="70">
        <f>-'Маркетинг Ожидания'!X29</f>
        <v>-306295211.7</v>
      </c>
      <c r="Z49" s="70">
        <f>-'Маркетинг Ожидания'!Y29</f>
        <v>-327417581.6</v>
      </c>
      <c r="AA49" s="70">
        <f>-'Маркетинг Ожидания'!Z29</f>
        <v>-338449284</v>
      </c>
      <c r="AB49" s="70">
        <f>-'Маркетинг Ожидания'!AA29</f>
        <v>-347098240.3</v>
      </c>
      <c r="AC49" s="70">
        <f>-'Маркетинг Ожидания'!AB29</f>
        <v>-371015761</v>
      </c>
      <c r="AD49" s="70">
        <f>-'Маркетинг Ожидания'!AC29</f>
        <v>-374252947</v>
      </c>
      <c r="AE49" s="70">
        <f>-'Маркетинг Ожидания'!AD29</f>
        <v>-364004912.3</v>
      </c>
      <c r="AF49" s="70">
        <f>-'Маркетинг Ожидания'!AE29</f>
        <v>-384019496.6</v>
      </c>
      <c r="AG49" s="70">
        <f>-'Маркетинг Ожидания'!AF29</f>
        <v>-4041209702</v>
      </c>
      <c r="AH49" s="45"/>
      <c r="AI49" s="45"/>
      <c r="AJ49" s="45"/>
      <c r="AK49" s="39"/>
      <c r="AL49" s="45"/>
      <c r="AM49" s="45"/>
    </row>
    <row r="50" ht="15.75" customHeight="1">
      <c r="A50" s="53" t="s">
        <v>55</v>
      </c>
      <c r="B50" s="54" t="s">
        <v>58</v>
      </c>
      <c r="C50" s="55"/>
      <c r="D50" s="55"/>
      <c r="E50" s="57"/>
      <c r="F50" s="53"/>
      <c r="G50" s="58"/>
      <c r="H50" s="61">
        <f t="shared" ref="H50:S50" si="64">H46+H47</f>
        <v>974402314.2</v>
      </c>
      <c r="I50" s="61">
        <f t="shared" si="64"/>
        <v>951962805.8</v>
      </c>
      <c r="J50" s="61">
        <f t="shared" si="64"/>
        <v>990458047.1</v>
      </c>
      <c r="K50" s="61">
        <f t="shared" si="64"/>
        <v>982041178</v>
      </c>
      <c r="L50" s="61">
        <f t="shared" si="64"/>
        <v>995861822.4</v>
      </c>
      <c r="M50" s="61">
        <f t="shared" si="64"/>
        <v>1056807126</v>
      </c>
      <c r="N50" s="61">
        <f t="shared" si="64"/>
        <v>1017336316</v>
      </c>
      <c r="O50" s="61">
        <f t="shared" si="64"/>
        <v>1082472922</v>
      </c>
      <c r="P50" s="61">
        <f t="shared" si="64"/>
        <v>1088307040</v>
      </c>
      <c r="Q50" s="61">
        <f t="shared" si="64"/>
        <v>1078006529</v>
      </c>
      <c r="R50" s="61">
        <f t="shared" si="64"/>
        <v>1064894457</v>
      </c>
      <c r="S50" s="61">
        <f t="shared" si="64"/>
        <v>1158149055</v>
      </c>
      <c r="T50" s="94">
        <f t="shared" ref="T50:T52" si="67">SUM(H50:S50)</f>
        <v>12440699613</v>
      </c>
      <c r="U50" s="61">
        <f t="shared" ref="U50:AF50" si="65">U46+U47</f>
        <v>1025976951</v>
      </c>
      <c r="V50" s="61">
        <f t="shared" si="65"/>
        <v>1032384288</v>
      </c>
      <c r="W50" s="61">
        <f t="shared" si="65"/>
        <v>1042160705</v>
      </c>
      <c r="X50" s="61">
        <f t="shared" si="65"/>
        <v>1002376481</v>
      </c>
      <c r="Y50" s="61">
        <f t="shared" si="65"/>
        <v>1016341763</v>
      </c>
      <c r="Z50" s="61">
        <f t="shared" si="65"/>
        <v>1078391030</v>
      </c>
      <c r="AA50" s="61">
        <f t="shared" si="65"/>
        <v>1037974723</v>
      </c>
      <c r="AB50" s="61">
        <f t="shared" si="65"/>
        <v>1104283769</v>
      </c>
      <c r="AC50" s="61">
        <f t="shared" si="65"/>
        <v>1110089177</v>
      </c>
      <c r="AD50" s="61">
        <f t="shared" si="65"/>
        <v>1099439921</v>
      </c>
      <c r="AE50" s="61">
        <f t="shared" si="65"/>
        <v>1085928223</v>
      </c>
      <c r="AF50" s="61">
        <f t="shared" si="65"/>
        <v>1180873134</v>
      </c>
      <c r="AG50" s="95">
        <f t="shared" ref="AG50:AG52" si="69">SUM(U50:AF50)</f>
        <v>12816220165</v>
      </c>
      <c r="AH50" s="52"/>
      <c r="AI50" s="45"/>
      <c r="AJ50" s="52"/>
      <c r="AK50" s="39"/>
      <c r="AL50" s="52"/>
      <c r="AM50" s="52"/>
    </row>
    <row r="51" ht="15.75" customHeight="1">
      <c r="A51" s="53" t="s">
        <v>59</v>
      </c>
      <c r="B51" s="54" t="s">
        <v>60</v>
      </c>
      <c r="C51" s="55"/>
      <c r="D51" s="78"/>
      <c r="E51" s="57"/>
      <c r="F51" s="53"/>
      <c r="G51" s="58"/>
      <c r="H51" s="59">
        <f t="shared" ref="H51:S51" si="66">(H52-H53-H54-H55-H56-H57-H58-H59-H60-H61)</f>
        <v>-40378567.31</v>
      </c>
      <c r="I51" s="59">
        <f t="shared" si="66"/>
        <v>-39637737.32</v>
      </c>
      <c r="J51" s="59">
        <f t="shared" si="66"/>
        <v>-41292584.08</v>
      </c>
      <c r="K51" s="59">
        <f t="shared" si="66"/>
        <v>-40993724.08</v>
      </c>
      <c r="L51" s="59">
        <f t="shared" si="66"/>
        <v>-41514672.99</v>
      </c>
      <c r="M51" s="59">
        <f t="shared" si="66"/>
        <v>-44128749.2</v>
      </c>
      <c r="N51" s="59">
        <f t="shared" si="66"/>
        <v>-43213035.86</v>
      </c>
      <c r="O51" s="59">
        <f t="shared" si="66"/>
        <v>-45570225.98</v>
      </c>
      <c r="P51" s="59">
        <f t="shared" si="66"/>
        <v>-46508748.46</v>
      </c>
      <c r="Q51" s="59">
        <f t="shared" si="66"/>
        <v>-46282205.86</v>
      </c>
      <c r="R51" s="59">
        <f t="shared" si="66"/>
        <v>-45542500.1</v>
      </c>
      <c r="S51" s="59">
        <f t="shared" si="66"/>
        <v>-49156396.51</v>
      </c>
      <c r="T51" s="79">
        <f t="shared" si="67"/>
        <v>-524219147.7</v>
      </c>
      <c r="U51" s="59">
        <f t="shared" ref="U51:AF51" si="68">(U52-U53-U54-U55-U56-U57-U58-U59-U60-U61)</f>
        <v>-42512977.24</v>
      </c>
      <c r="V51" s="59">
        <f t="shared" si="68"/>
        <v>-42981816.51</v>
      </c>
      <c r="W51" s="59">
        <f t="shared" si="68"/>
        <v>-43445302.1</v>
      </c>
      <c r="X51" s="59">
        <f t="shared" si="68"/>
        <v>-41841481.93</v>
      </c>
      <c r="Y51" s="59">
        <f t="shared" si="68"/>
        <v>-42367326.49</v>
      </c>
      <c r="Z51" s="59">
        <f t="shared" si="68"/>
        <v>-45028929.36</v>
      </c>
      <c r="AA51" s="59">
        <f t="shared" si="68"/>
        <v>-44088583.01</v>
      </c>
      <c r="AB51" s="59">
        <f t="shared" si="68"/>
        <v>-46487338.66</v>
      </c>
      <c r="AC51" s="59">
        <f t="shared" si="68"/>
        <v>-47438511.9</v>
      </c>
      <c r="AD51" s="59">
        <f t="shared" si="68"/>
        <v>-47201315.77</v>
      </c>
      <c r="AE51" s="59">
        <f t="shared" si="68"/>
        <v>-46440972.79</v>
      </c>
      <c r="AF51" s="59">
        <f t="shared" si="68"/>
        <v>-50119829.36</v>
      </c>
      <c r="AG51" s="79">
        <f t="shared" si="69"/>
        <v>-539954385.1</v>
      </c>
      <c r="AH51" s="52"/>
      <c r="AI51" s="45"/>
      <c r="AJ51" s="52"/>
      <c r="AK51" s="39"/>
      <c r="AL51" s="52"/>
      <c r="AM51" s="52"/>
    </row>
    <row r="52" ht="15.75" customHeight="1">
      <c r="A52" s="63" t="s">
        <v>59</v>
      </c>
      <c r="B52" s="64" t="s">
        <v>46</v>
      </c>
      <c r="C52" s="80"/>
      <c r="D52" s="66">
        <f>k!D28</f>
        <v>-0.00000129709111</v>
      </c>
      <c r="E52" s="67">
        <f>'Расчет коэффициентов'!D16</f>
        <v>0.06356794194</v>
      </c>
      <c r="F52" s="82">
        <f t="shared" ref="F52:F61" si="72">-E52</f>
        <v>-0.06356794194</v>
      </c>
      <c r="G52" s="68"/>
      <c r="H52" s="88">
        <f t="shared" ref="H52:S52" si="70">-H$29*$E52</f>
        <v>-131343694.6</v>
      </c>
      <c r="I52" s="89">
        <f t="shared" si="70"/>
        <v>-128933917.5</v>
      </c>
      <c r="J52" s="90">
        <f t="shared" si="70"/>
        <v>-134316814.9</v>
      </c>
      <c r="K52" s="88">
        <f t="shared" si="70"/>
        <v>-133344681</v>
      </c>
      <c r="L52" s="89">
        <f t="shared" si="70"/>
        <v>-135039227.3</v>
      </c>
      <c r="M52" s="90">
        <f t="shared" si="70"/>
        <v>-143542313.2</v>
      </c>
      <c r="N52" s="88">
        <f t="shared" si="70"/>
        <v>-140563674.3</v>
      </c>
      <c r="O52" s="89">
        <f t="shared" si="70"/>
        <v>-148231159.3</v>
      </c>
      <c r="P52" s="90">
        <f t="shared" si="70"/>
        <v>-151283992</v>
      </c>
      <c r="Q52" s="69">
        <f t="shared" si="70"/>
        <v>-150547092.6</v>
      </c>
      <c r="R52" s="69">
        <f t="shared" si="70"/>
        <v>-148140972.4</v>
      </c>
      <c r="S52" s="69">
        <f t="shared" si="70"/>
        <v>-159896280.7</v>
      </c>
      <c r="T52" s="76">
        <f t="shared" si="67"/>
        <v>-1705183820</v>
      </c>
      <c r="U52" s="88">
        <f t="shared" ref="U52:AF52" si="71">-U$29*$E52</f>
        <v>-138286518.6</v>
      </c>
      <c r="V52" s="89">
        <f t="shared" si="71"/>
        <v>-139811562.4</v>
      </c>
      <c r="W52" s="90">
        <f t="shared" si="71"/>
        <v>-141319191.6</v>
      </c>
      <c r="X52" s="88">
        <f t="shared" si="71"/>
        <v>-136102273.8</v>
      </c>
      <c r="Y52" s="89">
        <f t="shared" si="71"/>
        <v>-137812744.8</v>
      </c>
      <c r="Z52" s="90">
        <f t="shared" si="71"/>
        <v>-146470425.8</v>
      </c>
      <c r="AA52" s="88">
        <f t="shared" si="71"/>
        <v>-143411660.4</v>
      </c>
      <c r="AB52" s="89">
        <f t="shared" si="71"/>
        <v>-151214350</v>
      </c>
      <c r="AC52" s="90">
        <f t="shared" si="71"/>
        <v>-154308333.2</v>
      </c>
      <c r="AD52" s="69">
        <f t="shared" si="71"/>
        <v>-153536779.9</v>
      </c>
      <c r="AE52" s="69">
        <f t="shared" si="71"/>
        <v>-151063530.8</v>
      </c>
      <c r="AF52" s="69">
        <f t="shared" si="71"/>
        <v>-163030142</v>
      </c>
      <c r="AG52" s="77">
        <f t="shared" si="69"/>
        <v>-1756367513</v>
      </c>
      <c r="AH52" s="45"/>
      <c r="AI52" s="45"/>
      <c r="AJ52" s="45"/>
      <c r="AK52" s="39"/>
      <c r="AL52" s="45"/>
      <c r="AM52" s="45"/>
    </row>
    <row r="53" ht="15.75" customHeight="1">
      <c r="A53" s="63" t="s">
        <v>59</v>
      </c>
      <c r="B53" s="64" t="s">
        <v>47</v>
      </c>
      <c r="C53" s="80"/>
      <c r="D53" s="66">
        <f>k!D31</f>
        <v>0.000002917729213</v>
      </c>
      <c r="E53" s="84">
        <v>0.02</v>
      </c>
      <c r="F53" s="82">
        <f t="shared" si="72"/>
        <v>-0.02</v>
      </c>
      <c r="G53" s="68">
        <f>G$29*$E53</f>
        <v>498733092.2</v>
      </c>
      <c r="H53" s="71">
        <f t="shared" ref="H53:S53" si="73">-H$29*$E53</f>
        <v>-41323878.22</v>
      </c>
      <c r="I53" s="69">
        <f t="shared" si="73"/>
        <v>-40565704.51</v>
      </c>
      <c r="J53" s="70">
        <f t="shared" si="73"/>
        <v>-42259293.23</v>
      </c>
      <c r="K53" s="71">
        <f t="shared" si="73"/>
        <v>-41953436.56</v>
      </c>
      <c r="L53" s="69">
        <f t="shared" si="73"/>
        <v>-42486581.51</v>
      </c>
      <c r="M53" s="70">
        <f t="shared" si="73"/>
        <v>-45161856.39</v>
      </c>
      <c r="N53" s="71">
        <f t="shared" si="73"/>
        <v>-44224705.1</v>
      </c>
      <c r="O53" s="69">
        <f t="shared" si="73"/>
        <v>-46637079.88</v>
      </c>
      <c r="P53" s="70">
        <f t="shared" si="73"/>
        <v>-47597574.3</v>
      </c>
      <c r="Q53" s="69">
        <f t="shared" si="73"/>
        <v>-47365728.06</v>
      </c>
      <c r="R53" s="69">
        <f t="shared" si="73"/>
        <v>-46608704.9</v>
      </c>
      <c r="S53" s="69">
        <f t="shared" si="73"/>
        <v>-50307206.99</v>
      </c>
      <c r="T53" s="76">
        <f>T$29*$E53</f>
        <v>536491749.6</v>
      </c>
      <c r="U53" s="71">
        <f t="shared" ref="U53:AF53" si="74">-U$29*$E53</f>
        <v>-43508257.26</v>
      </c>
      <c r="V53" s="69">
        <f t="shared" si="74"/>
        <v>-43988072.63</v>
      </c>
      <c r="W53" s="70">
        <f t="shared" si="74"/>
        <v>-44462408.97</v>
      </c>
      <c r="X53" s="71">
        <f t="shared" si="74"/>
        <v>-42821041.44</v>
      </c>
      <c r="Y53" s="69">
        <f t="shared" si="74"/>
        <v>-43359196.65</v>
      </c>
      <c r="Z53" s="70">
        <f t="shared" si="74"/>
        <v>-46083110.85</v>
      </c>
      <c r="AA53" s="71">
        <f t="shared" si="74"/>
        <v>-45120749.87</v>
      </c>
      <c r="AB53" s="69">
        <f t="shared" si="74"/>
        <v>-47575663.27</v>
      </c>
      <c r="AC53" s="70">
        <f t="shared" si="74"/>
        <v>-48549104.63</v>
      </c>
      <c r="AD53" s="69">
        <f t="shared" si="74"/>
        <v>-48306355.44</v>
      </c>
      <c r="AE53" s="69">
        <f t="shared" si="74"/>
        <v>-47528211.92</v>
      </c>
      <c r="AF53" s="69">
        <f t="shared" si="74"/>
        <v>-51293194.96</v>
      </c>
      <c r="AG53" s="77">
        <f>AG$29*$E53</f>
        <v>552595367.9</v>
      </c>
      <c r="AH53" s="45"/>
      <c r="AI53" s="45"/>
      <c r="AJ53" s="45"/>
      <c r="AK53" s="39"/>
      <c r="AL53" s="45"/>
      <c r="AM53" s="45"/>
    </row>
    <row r="54" ht="15.75" customHeight="1">
      <c r="A54" s="63" t="s">
        <v>59</v>
      </c>
      <c r="B54" s="64" t="s">
        <v>48</v>
      </c>
      <c r="C54" s="80"/>
      <c r="D54" s="66">
        <f>k!D26</f>
        <v>-0.000002785456876</v>
      </c>
      <c r="E54" s="84">
        <v>0.004</v>
      </c>
      <c r="F54" s="82">
        <f t="shared" si="72"/>
        <v>-0.004</v>
      </c>
      <c r="G54" s="68"/>
      <c r="H54" s="71">
        <f t="shared" ref="H54:S54" si="75">-H$29*$E54</f>
        <v>-8264775.644</v>
      </c>
      <c r="I54" s="69">
        <f t="shared" si="75"/>
        <v>-8113140.903</v>
      </c>
      <c r="J54" s="70">
        <f t="shared" si="75"/>
        <v>-8451858.646</v>
      </c>
      <c r="K54" s="71">
        <f t="shared" si="75"/>
        <v>-8390687.312</v>
      </c>
      <c r="L54" s="69">
        <f t="shared" si="75"/>
        <v>-8497316.302</v>
      </c>
      <c r="M54" s="70">
        <f t="shared" si="75"/>
        <v>-9032371.278</v>
      </c>
      <c r="N54" s="71">
        <f t="shared" si="75"/>
        <v>-8844941.02</v>
      </c>
      <c r="O54" s="69">
        <f t="shared" si="75"/>
        <v>-9327415.975</v>
      </c>
      <c r="P54" s="70">
        <f t="shared" si="75"/>
        <v>-9519514.859</v>
      </c>
      <c r="Q54" s="69">
        <f t="shared" si="75"/>
        <v>-9473145.612</v>
      </c>
      <c r="R54" s="69">
        <f t="shared" si="75"/>
        <v>-9321740.98</v>
      </c>
      <c r="S54" s="69">
        <f t="shared" si="75"/>
        <v>-10061441.4</v>
      </c>
      <c r="T54" s="76">
        <f t="shared" ref="T54:T78" si="78">SUM(H54:S54)</f>
        <v>-107298349.9</v>
      </c>
      <c r="U54" s="71">
        <f t="shared" ref="U54:AF54" si="76">-U$29*$E54</f>
        <v>-8701651.452</v>
      </c>
      <c r="V54" s="69">
        <f t="shared" si="76"/>
        <v>-8797614.526</v>
      </c>
      <c r="W54" s="70">
        <f t="shared" si="76"/>
        <v>-8892481.795</v>
      </c>
      <c r="X54" s="71">
        <f t="shared" si="76"/>
        <v>-8564208.288</v>
      </c>
      <c r="Y54" s="69">
        <f t="shared" si="76"/>
        <v>-8671839.33</v>
      </c>
      <c r="Z54" s="70">
        <f t="shared" si="76"/>
        <v>-9216622.17</v>
      </c>
      <c r="AA54" s="71">
        <f t="shared" si="76"/>
        <v>-9024149.973</v>
      </c>
      <c r="AB54" s="69">
        <f t="shared" si="76"/>
        <v>-9515132.654</v>
      </c>
      <c r="AC54" s="70">
        <f t="shared" si="76"/>
        <v>-9709820.925</v>
      </c>
      <c r="AD54" s="69">
        <f t="shared" si="76"/>
        <v>-9661271.089</v>
      </c>
      <c r="AE54" s="69">
        <f t="shared" si="76"/>
        <v>-9505642.385</v>
      </c>
      <c r="AF54" s="69">
        <f t="shared" si="76"/>
        <v>-10258638.99</v>
      </c>
      <c r="AG54" s="77">
        <f t="shared" ref="AG54:AG78" si="80">SUM(U54:AF54)</f>
        <v>-110519073.6</v>
      </c>
      <c r="AH54" s="45"/>
      <c r="AI54" s="45"/>
      <c r="AJ54" s="45"/>
      <c r="AK54" s="39"/>
      <c r="AL54" s="45"/>
      <c r="AM54" s="45"/>
    </row>
    <row r="55" ht="15.75" customHeight="1">
      <c r="A55" s="63" t="s">
        <v>59</v>
      </c>
      <c r="B55" s="64" t="s">
        <v>49</v>
      </c>
      <c r="C55" s="80"/>
      <c r="D55" s="66">
        <f>k!D27</f>
        <v>0.06356794194</v>
      </c>
      <c r="E55" s="84">
        <v>0.002</v>
      </c>
      <c r="F55" s="82">
        <f t="shared" si="72"/>
        <v>-0.002</v>
      </c>
      <c r="G55" s="68"/>
      <c r="H55" s="71">
        <f t="shared" ref="H55:S55" si="77">-H$29*$E55</f>
        <v>-4132387.822</v>
      </c>
      <c r="I55" s="69">
        <f t="shared" si="77"/>
        <v>-4056570.451</v>
      </c>
      <c r="J55" s="70">
        <f t="shared" si="77"/>
        <v>-4225929.323</v>
      </c>
      <c r="K55" s="71">
        <f t="shared" si="77"/>
        <v>-4195343.656</v>
      </c>
      <c r="L55" s="69">
        <f t="shared" si="77"/>
        <v>-4248658.151</v>
      </c>
      <c r="M55" s="70">
        <f t="shared" si="77"/>
        <v>-4516185.639</v>
      </c>
      <c r="N55" s="71">
        <f t="shared" si="77"/>
        <v>-4422470.51</v>
      </c>
      <c r="O55" s="69">
        <f t="shared" si="77"/>
        <v>-4663707.988</v>
      </c>
      <c r="P55" s="70">
        <f t="shared" si="77"/>
        <v>-4759757.43</v>
      </c>
      <c r="Q55" s="69">
        <f t="shared" si="77"/>
        <v>-4736572.806</v>
      </c>
      <c r="R55" s="69">
        <f t="shared" si="77"/>
        <v>-4660870.49</v>
      </c>
      <c r="S55" s="69">
        <f t="shared" si="77"/>
        <v>-5030720.699</v>
      </c>
      <c r="T55" s="76">
        <f t="shared" si="78"/>
        <v>-53649174.96</v>
      </c>
      <c r="U55" s="71">
        <f t="shared" ref="U55:AF55" si="79">-U$29*$E55</f>
        <v>-4350825.726</v>
      </c>
      <c r="V55" s="69">
        <f t="shared" si="79"/>
        <v>-4398807.263</v>
      </c>
      <c r="W55" s="70">
        <f t="shared" si="79"/>
        <v>-4446240.897</v>
      </c>
      <c r="X55" s="71">
        <f t="shared" si="79"/>
        <v>-4282104.144</v>
      </c>
      <c r="Y55" s="69">
        <f t="shared" si="79"/>
        <v>-4335919.665</v>
      </c>
      <c r="Z55" s="70">
        <f t="shared" si="79"/>
        <v>-4608311.085</v>
      </c>
      <c r="AA55" s="71">
        <f t="shared" si="79"/>
        <v>-4512074.987</v>
      </c>
      <c r="AB55" s="69">
        <f t="shared" si="79"/>
        <v>-4757566.327</v>
      </c>
      <c r="AC55" s="70">
        <f t="shared" si="79"/>
        <v>-4854910.463</v>
      </c>
      <c r="AD55" s="69">
        <f t="shared" si="79"/>
        <v>-4830635.544</v>
      </c>
      <c r="AE55" s="69">
        <f t="shared" si="79"/>
        <v>-4752821.192</v>
      </c>
      <c r="AF55" s="69">
        <f t="shared" si="79"/>
        <v>-5129319.496</v>
      </c>
      <c r="AG55" s="77">
        <f t="shared" si="80"/>
        <v>-55259536.79</v>
      </c>
      <c r="AH55" s="45"/>
      <c r="AI55" s="45"/>
      <c r="AJ55" s="45"/>
      <c r="AK55" s="39"/>
      <c r="AL55" s="45"/>
      <c r="AM55" s="45"/>
    </row>
    <row r="56" ht="15.75" customHeight="1">
      <c r="A56" s="63" t="s">
        <v>59</v>
      </c>
      <c r="B56" s="64" t="s">
        <v>50</v>
      </c>
      <c r="C56" s="80"/>
      <c r="D56" s="66">
        <f>k!D29</f>
        <v>0.000002307920889</v>
      </c>
      <c r="E56" s="84">
        <v>0.001</v>
      </c>
      <c r="F56" s="82">
        <f t="shared" si="72"/>
        <v>-0.001</v>
      </c>
      <c r="G56" s="68"/>
      <c r="H56" s="71">
        <f t="shared" ref="H56:S56" si="81">-H$29*$E56</f>
        <v>-2066193.911</v>
      </c>
      <c r="I56" s="69">
        <f t="shared" si="81"/>
        <v>-2028285.226</v>
      </c>
      <c r="J56" s="70">
        <f t="shared" si="81"/>
        <v>-2112964.662</v>
      </c>
      <c r="K56" s="71">
        <f t="shared" si="81"/>
        <v>-2097671.828</v>
      </c>
      <c r="L56" s="69">
        <f t="shared" si="81"/>
        <v>-2124329.076</v>
      </c>
      <c r="M56" s="70">
        <f t="shared" si="81"/>
        <v>-2258092.819</v>
      </c>
      <c r="N56" s="71">
        <f t="shared" si="81"/>
        <v>-2211235.255</v>
      </c>
      <c r="O56" s="69">
        <f t="shared" si="81"/>
        <v>-2331853.994</v>
      </c>
      <c r="P56" s="70">
        <f t="shared" si="81"/>
        <v>-2379878.715</v>
      </c>
      <c r="Q56" s="69">
        <f t="shared" si="81"/>
        <v>-2368286.403</v>
      </c>
      <c r="R56" s="69">
        <f t="shared" si="81"/>
        <v>-2330435.245</v>
      </c>
      <c r="S56" s="69">
        <f t="shared" si="81"/>
        <v>-2515360.349</v>
      </c>
      <c r="T56" s="76">
        <f t="shared" si="78"/>
        <v>-26824587.48</v>
      </c>
      <c r="U56" s="71">
        <f t="shared" ref="U56:AF56" si="82">-U$29*$E56</f>
        <v>-2175412.863</v>
      </c>
      <c r="V56" s="69">
        <f t="shared" si="82"/>
        <v>-2199403.631</v>
      </c>
      <c r="W56" s="70">
        <f t="shared" si="82"/>
        <v>-2223120.449</v>
      </c>
      <c r="X56" s="71">
        <f t="shared" si="82"/>
        <v>-2141052.072</v>
      </c>
      <c r="Y56" s="69">
        <f t="shared" si="82"/>
        <v>-2167959.833</v>
      </c>
      <c r="Z56" s="70">
        <f t="shared" si="82"/>
        <v>-2304155.542</v>
      </c>
      <c r="AA56" s="71">
        <f t="shared" si="82"/>
        <v>-2256037.493</v>
      </c>
      <c r="AB56" s="69">
        <f t="shared" si="82"/>
        <v>-2378783.163</v>
      </c>
      <c r="AC56" s="70">
        <f t="shared" si="82"/>
        <v>-2427455.231</v>
      </c>
      <c r="AD56" s="69">
        <f t="shared" si="82"/>
        <v>-2415317.772</v>
      </c>
      <c r="AE56" s="69">
        <f t="shared" si="82"/>
        <v>-2376410.596</v>
      </c>
      <c r="AF56" s="69">
        <f t="shared" si="82"/>
        <v>-2564659.748</v>
      </c>
      <c r="AG56" s="77">
        <f t="shared" si="80"/>
        <v>-27629768.39</v>
      </c>
      <c r="AH56" s="45"/>
      <c r="AI56" s="45"/>
      <c r="AJ56" s="45"/>
      <c r="AK56" s="39"/>
      <c r="AL56" s="45"/>
      <c r="AM56" s="45"/>
    </row>
    <row r="57" ht="15.75" customHeight="1">
      <c r="A57" s="63" t="s">
        <v>59</v>
      </c>
      <c r="B57" s="64" t="s">
        <v>51</v>
      </c>
      <c r="C57" s="80"/>
      <c r="D57" s="66">
        <f>k!D30</f>
        <v>0.000007148436571</v>
      </c>
      <c r="E57" s="84">
        <v>0.0065</v>
      </c>
      <c r="F57" s="82">
        <f t="shared" si="72"/>
        <v>-0.0065</v>
      </c>
      <c r="G57" s="68"/>
      <c r="H57" s="71">
        <f t="shared" ref="H57:S57" si="83">-H$29*$E57</f>
        <v>-13430260.42</v>
      </c>
      <c r="I57" s="69">
        <f t="shared" si="83"/>
        <v>-13183853.97</v>
      </c>
      <c r="J57" s="70">
        <f t="shared" si="83"/>
        <v>-13734270.3</v>
      </c>
      <c r="K57" s="71">
        <f t="shared" si="83"/>
        <v>-13634866.88</v>
      </c>
      <c r="L57" s="69">
        <f t="shared" si="83"/>
        <v>-13808138.99</v>
      </c>
      <c r="M57" s="70">
        <f t="shared" si="83"/>
        <v>-14677603.33</v>
      </c>
      <c r="N57" s="71">
        <f t="shared" si="83"/>
        <v>-14373029.16</v>
      </c>
      <c r="O57" s="69">
        <f t="shared" si="83"/>
        <v>-15157050.96</v>
      </c>
      <c r="P57" s="70">
        <f t="shared" si="83"/>
        <v>-15469211.65</v>
      </c>
      <c r="Q57" s="69">
        <f t="shared" si="83"/>
        <v>-15393861.62</v>
      </c>
      <c r="R57" s="69">
        <f t="shared" si="83"/>
        <v>-15147829.09</v>
      </c>
      <c r="S57" s="69">
        <f t="shared" si="83"/>
        <v>-16349842.27</v>
      </c>
      <c r="T57" s="76">
        <f t="shared" si="78"/>
        <v>-174359818.6</v>
      </c>
      <c r="U57" s="71">
        <f t="shared" ref="U57:AF57" si="84">-U$29*$E57</f>
        <v>-14140183.61</v>
      </c>
      <c r="V57" s="69">
        <f t="shared" si="84"/>
        <v>-14296123.6</v>
      </c>
      <c r="W57" s="70">
        <f t="shared" si="84"/>
        <v>-14450282.92</v>
      </c>
      <c r="X57" s="71">
        <f t="shared" si="84"/>
        <v>-13916838.47</v>
      </c>
      <c r="Y57" s="69">
        <f t="shared" si="84"/>
        <v>-14091738.91</v>
      </c>
      <c r="Z57" s="70">
        <f t="shared" si="84"/>
        <v>-14977011.03</v>
      </c>
      <c r="AA57" s="71">
        <f t="shared" si="84"/>
        <v>-14664243.71</v>
      </c>
      <c r="AB57" s="69">
        <f t="shared" si="84"/>
        <v>-15462090.56</v>
      </c>
      <c r="AC57" s="70">
        <f t="shared" si="84"/>
        <v>-15778459</v>
      </c>
      <c r="AD57" s="69">
        <f t="shared" si="84"/>
        <v>-15699565.52</v>
      </c>
      <c r="AE57" s="69">
        <f t="shared" si="84"/>
        <v>-15446668.88</v>
      </c>
      <c r="AF57" s="69">
        <f t="shared" si="84"/>
        <v>-16670288.36</v>
      </c>
      <c r="AG57" s="77">
        <f t="shared" si="80"/>
        <v>-179593494.6</v>
      </c>
      <c r="AH57" s="45"/>
      <c r="AI57" s="45"/>
      <c r="AJ57" s="45"/>
      <c r="AK57" s="39"/>
      <c r="AL57" s="45"/>
      <c r="AM57" s="45"/>
    </row>
    <row r="58" ht="15.75" customHeight="1">
      <c r="A58" s="63" t="s">
        <v>59</v>
      </c>
      <c r="B58" s="64" t="s">
        <v>52</v>
      </c>
      <c r="C58" s="80"/>
      <c r="D58" s="66">
        <f>k!D23</f>
        <v>0.0008698404754</v>
      </c>
      <c r="E58" s="84">
        <v>0.008</v>
      </c>
      <c r="F58" s="82">
        <f t="shared" si="72"/>
        <v>-0.008</v>
      </c>
      <c r="G58" s="68"/>
      <c r="H58" s="71">
        <f t="shared" ref="H58:S58" si="85">-H$29*$E58</f>
        <v>-16529551.29</v>
      </c>
      <c r="I58" s="69">
        <f t="shared" si="85"/>
        <v>-16226281.81</v>
      </c>
      <c r="J58" s="70">
        <f t="shared" si="85"/>
        <v>-16903717.29</v>
      </c>
      <c r="K58" s="71">
        <f t="shared" si="85"/>
        <v>-16781374.62</v>
      </c>
      <c r="L58" s="69">
        <f t="shared" si="85"/>
        <v>-16994632.6</v>
      </c>
      <c r="M58" s="70">
        <f t="shared" si="85"/>
        <v>-18064742.56</v>
      </c>
      <c r="N58" s="71">
        <f t="shared" si="85"/>
        <v>-17689882.04</v>
      </c>
      <c r="O58" s="69">
        <f t="shared" si="85"/>
        <v>-18654831.95</v>
      </c>
      <c r="P58" s="70">
        <f t="shared" si="85"/>
        <v>-19039029.72</v>
      </c>
      <c r="Q58" s="69">
        <f t="shared" si="85"/>
        <v>-18946291.22</v>
      </c>
      <c r="R58" s="69">
        <f t="shared" si="85"/>
        <v>-18643481.96</v>
      </c>
      <c r="S58" s="69">
        <f t="shared" si="85"/>
        <v>-20122882.79</v>
      </c>
      <c r="T58" s="76">
        <f t="shared" si="78"/>
        <v>-214596699.9</v>
      </c>
      <c r="U58" s="71">
        <f t="shared" ref="U58:AF58" si="86">-U$29*$E58</f>
        <v>-17403302.9</v>
      </c>
      <c r="V58" s="69">
        <f t="shared" si="86"/>
        <v>-17595229.05</v>
      </c>
      <c r="W58" s="70">
        <f t="shared" si="86"/>
        <v>-17784963.59</v>
      </c>
      <c r="X58" s="71">
        <f t="shared" si="86"/>
        <v>-17128416.58</v>
      </c>
      <c r="Y58" s="69">
        <f t="shared" si="86"/>
        <v>-17343678.66</v>
      </c>
      <c r="Z58" s="70">
        <f t="shared" si="86"/>
        <v>-18433244.34</v>
      </c>
      <c r="AA58" s="71">
        <f t="shared" si="86"/>
        <v>-18048299.95</v>
      </c>
      <c r="AB58" s="69">
        <f t="shared" si="86"/>
        <v>-19030265.31</v>
      </c>
      <c r="AC58" s="70">
        <f t="shared" si="86"/>
        <v>-19419641.85</v>
      </c>
      <c r="AD58" s="69">
        <f t="shared" si="86"/>
        <v>-19322542.18</v>
      </c>
      <c r="AE58" s="69">
        <f t="shared" si="86"/>
        <v>-19011284.77</v>
      </c>
      <c r="AF58" s="69">
        <f t="shared" si="86"/>
        <v>-20517277.98</v>
      </c>
      <c r="AG58" s="77">
        <f t="shared" si="80"/>
        <v>-221038147.2</v>
      </c>
      <c r="AH58" s="45"/>
      <c r="AI58" s="45"/>
      <c r="AJ58" s="45"/>
      <c r="AK58" s="39"/>
      <c r="AL58" s="45"/>
      <c r="AM58" s="45"/>
    </row>
    <row r="59" ht="15.75" customHeight="1">
      <c r="A59" s="63" t="s">
        <v>59</v>
      </c>
      <c r="B59" s="64" t="s">
        <v>53</v>
      </c>
      <c r="C59" s="80"/>
      <c r="D59" s="66">
        <f>k!D24</f>
        <v>0.001652696903</v>
      </c>
      <c r="E59" s="67">
        <f>'Расчет коэффициентов'!D23</f>
        <v>0.0008698404754</v>
      </c>
      <c r="F59" s="82">
        <f t="shared" si="72"/>
        <v>-0.0008698404754</v>
      </c>
      <c r="G59" s="68"/>
      <c r="H59" s="71">
        <f t="shared" ref="H59:S59" si="87">-H$29*$E59</f>
        <v>-1797259.094</v>
      </c>
      <c r="I59" s="69">
        <f t="shared" si="87"/>
        <v>-1764284.585</v>
      </c>
      <c r="J59" s="70">
        <f t="shared" si="87"/>
        <v>-1837942.186</v>
      </c>
      <c r="K59" s="71">
        <f t="shared" si="87"/>
        <v>-1824639.86</v>
      </c>
      <c r="L59" s="69">
        <f t="shared" si="87"/>
        <v>-1847827.413</v>
      </c>
      <c r="M59" s="70">
        <f t="shared" si="87"/>
        <v>-1964180.532</v>
      </c>
      <c r="N59" s="71">
        <f t="shared" si="87"/>
        <v>-1923421.925</v>
      </c>
      <c r="O59" s="69">
        <f t="shared" si="87"/>
        <v>-2028340.987</v>
      </c>
      <c r="P59" s="70">
        <f t="shared" si="87"/>
        <v>-2070114.833</v>
      </c>
      <c r="Q59" s="69">
        <f t="shared" si="87"/>
        <v>-2060031.371</v>
      </c>
      <c r="R59" s="69">
        <f t="shared" si="87"/>
        <v>-2027106.902</v>
      </c>
      <c r="S59" s="69">
        <f t="shared" si="87"/>
        <v>-2187962.242</v>
      </c>
      <c r="T59" s="76">
        <f t="shared" si="78"/>
        <v>-23333111.93</v>
      </c>
      <c r="U59" s="71">
        <f t="shared" ref="U59:AF59" si="88">-U$29*$E59</f>
        <v>-1892262.159</v>
      </c>
      <c r="V59" s="69">
        <f t="shared" si="88"/>
        <v>-1913130.3</v>
      </c>
      <c r="W59" s="70">
        <f t="shared" si="88"/>
        <v>-1933760.148</v>
      </c>
      <c r="X59" s="71">
        <f t="shared" si="88"/>
        <v>-1862373.752</v>
      </c>
      <c r="Y59" s="69">
        <f t="shared" si="88"/>
        <v>-1885779.211</v>
      </c>
      <c r="Z59" s="70">
        <f t="shared" si="88"/>
        <v>-2004247.752</v>
      </c>
      <c r="AA59" s="71">
        <f t="shared" si="88"/>
        <v>-1962392.726</v>
      </c>
      <c r="AB59" s="69">
        <f t="shared" si="88"/>
        <v>-2069161.878</v>
      </c>
      <c r="AC59" s="70">
        <f t="shared" si="88"/>
        <v>-2111498.812</v>
      </c>
      <c r="AD59" s="69">
        <f t="shared" si="88"/>
        <v>-2100941.159</v>
      </c>
      <c r="AE59" s="69">
        <f t="shared" si="88"/>
        <v>-2067098.123</v>
      </c>
      <c r="AF59" s="69">
        <f t="shared" si="88"/>
        <v>-2230844.854</v>
      </c>
      <c r="AG59" s="77">
        <f t="shared" si="80"/>
        <v>-24033490.88</v>
      </c>
      <c r="AH59" s="45"/>
      <c r="AI59" s="45"/>
      <c r="AJ59" s="45"/>
      <c r="AK59" s="39"/>
      <c r="AL59" s="45"/>
      <c r="AM59" s="45"/>
    </row>
    <row r="60" ht="15.75" customHeight="1">
      <c r="A60" s="63" t="s">
        <v>59</v>
      </c>
      <c r="B60" s="64" t="s">
        <v>61</v>
      </c>
      <c r="C60" s="80"/>
      <c r="D60" s="66">
        <f>k!D32</f>
        <v>0.06612661767</v>
      </c>
      <c r="E60" s="67">
        <f>'Расчет коэффициентов'!D24</f>
        <v>0.000002917729213</v>
      </c>
      <c r="F60" s="82">
        <f t="shared" si="72"/>
        <v>-0.000002917729213</v>
      </c>
      <c r="G60" s="68"/>
      <c r="H60" s="71">
        <f t="shared" ref="H60:S60" si="89">-H$29*$E60</f>
        <v>-6028.594333</v>
      </c>
      <c r="I60" s="69">
        <f t="shared" si="89"/>
        <v>-5917.987054</v>
      </c>
      <c r="J60" s="70">
        <f t="shared" si="89"/>
        <v>-6165.058718</v>
      </c>
      <c r="K60" s="71">
        <f t="shared" si="89"/>
        <v>-6120.438371</v>
      </c>
      <c r="L60" s="69">
        <f t="shared" si="89"/>
        <v>-6198.217001</v>
      </c>
      <c r="M60" s="70">
        <f t="shared" si="89"/>
        <v>-6588.503384</v>
      </c>
      <c r="N60" s="71">
        <f t="shared" si="89"/>
        <v>-6451.785699</v>
      </c>
      <c r="O60" s="69">
        <f t="shared" si="89"/>
        <v>-6803.718517</v>
      </c>
      <c r="P60" s="70">
        <f t="shared" si="89"/>
        <v>-6943.841649</v>
      </c>
      <c r="Q60" s="69">
        <f t="shared" si="89"/>
        <v>-6910.018422</v>
      </c>
      <c r="R60" s="69">
        <f t="shared" si="89"/>
        <v>-6799.578993</v>
      </c>
      <c r="S60" s="69">
        <f t="shared" si="89"/>
        <v>-7339.140371</v>
      </c>
      <c r="T60" s="76">
        <f t="shared" si="78"/>
        <v>-78266.88251</v>
      </c>
      <c r="U60" s="71">
        <f t="shared" ref="U60:AF60" si="90">-U$29*$E60</f>
        <v>-6347.26566</v>
      </c>
      <c r="V60" s="69">
        <f t="shared" si="90"/>
        <v>-6417.264226</v>
      </c>
      <c r="W60" s="70">
        <f t="shared" si="90"/>
        <v>-6486.463476</v>
      </c>
      <c r="X60" s="71">
        <f t="shared" si="90"/>
        <v>-6247.010176</v>
      </c>
      <c r="Y60" s="69">
        <f t="shared" si="90"/>
        <v>-6325.519735</v>
      </c>
      <c r="Z60" s="70">
        <f t="shared" si="90"/>
        <v>-6722.901937</v>
      </c>
      <c r="AA60" s="71">
        <f t="shared" si="90"/>
        <v>-6582.506499</v>
      </c>
      <c r="AB60" s="69">
        <f t="shared" si="90"/>
        <v>-6940.645126</v>
      </c>
      <c r="AC60" s="70">
        <f t="shared" si="90"/>
        <v>-7082.657041</v>
      </c>
      <c r="AD60" s="69">
        <f t="shared" si="90"/>
        <v>-7047.243221</v>
      </c>
      <c r="AE60" s="69">
        <f t="shared" si="90"/>
        <v>-6933.722618</v>
      </c>
      <c r="AF60" s="69">
        <f t="shared" si="90"/>
        <v>-7482.982667</v>
      </c>
      <c r="AG60" s="77">
        <f t="shared" si="80"/>
        <v>-80616.18238</v>
      </c>
      <c r="AH60" s="45"/>
      <c r="AI60" s="45"/>
      <c r="AJ60" s="45"/>
      <c r="AK60" s="39"/>
      <c r="AL60" s="45"/>
      <c r="AM60" s="45"/>
    </row>
    <row r="61" ht="15.75" customHeight="1">
      <c r="A61" s="63" t="s">
        <v>59</v>
      </c>
      <c r="B61" s="64" t="s">
        <v>62</v>
      </c>
      <c r="C61" s="80"/>
      <c r="D61" s="66">
        <f>k!D25</f>
        <v>-0.000002789349127</v>
      </c>
      <c r="E61" s="67">
        <f>'Расчет коэффициентов'!D25</f>
        <v>0.001652696903</v>
      </c>
      <c r="F61" s="82">
        <f t="shared" si="72"/>
        <v>-0.001652696903</v>
      </c>
      <c r="G61" s="68"/>
      <c r="H61" s="96">
        <f t="shared" ref="H61:S61" si="91">-H$29*$E61</f>
        <v>-3414792.278</v>
      </c>
      <c r="I61" s="97">
        <f t="shared" si="91"/>
        <v>-3352140.711</v>
      </c>
      <c r="J61" s="98">
        <f t="shared" si="91"/>
        <v>-3492090.153</v>
      </c>
      <c r="K61" s="96">
        <f t="shared" si="91"/>
        <v>-3466815.734</v>
      </c>
      <c r="L61" s="97">
        <f t="shared" si="91"/>
        <v>-3510872.085</v>
      </c>
      <c r="M61" s="98">
        <f t="shared" si="91"/>
        <v>-3731943.01</v>
      </c>
      <c r="N61" s="96">
        <f t="shared" si="91"/>
        <v>-3654501.658</v>
      </c>
      <c r="O61" s="97">
        <f t="shared" si="91"/>
        <v>-3853847.874</v>
      </c>
      <c r="P61" s="98">
        <f t="shared" si="91"/>
        <v>-3933218.182</v>
      </c>
      <c r="Q61" s="69">
        <f t="shared" si="91"/>
        <v>-3914059.604</v>
      </c>
      <c r="R61" s="69">
        <f t="shared" si="91"/>
        <v>-3851503.113</v>
      </c>
      <c r="S61" s="69">
        <f t="shared" si="91"/>
        <v>-4157128.26</v>
      </c>
      <c r="T61" s="76">
        <f t="shared" si="78"/>
        <v>-44332912.66</v>
      </c>
      <c r="U61" s="96">
        <f t="shared" ref="U61:AF61" si="92">-U$29*$E61</f>
        <v>-3595298.102</v>
      </c>
      <c r="V61" s="97">
        <f t="shared" si="92"/>
        <v>-3634947.571</v>
      </c>
      <c r="W61" s="98">
        <f t="shared" si="92"/>
        <v>-3674144.281</v>
      </c>
      <c r="X61" s="96">
        <f t="shared" si="92"/>
        <v>-3538510.129</v>
      </c>
      <c r="Y61" s="97">
        <f t="shared" si="92"/>
        <v>-3582980.502</v>
      </c>
      <c r="Z61" s="98">
        <f t="shared" si="92"/>
        <v>-3808070.73</v>
      </c>
      <c r="AA61" s="96">
        <f t="shared" si="92"/>
        <v>-3728546.179</v>
      </c>
      <c r="AB61" s="97">
        <f t="shared" si="92"/>
        <v>-3931407.568</v>
      </c>
      <c r="AC61" s="98">
        <f t="shared" si="92"/>
        <v>-4011847.744</v>
      </c>
      <c r="AD61" s="69">
        <f t="shared" si="92"/>
        <v>-3991788.202</v>
      </c>
      <c r="AE61" s="69">
        <f t="shared" si="92"/>
        <v>-3927486.433</v>
      </c>
      <c r="AF61" s="69">
        <f t="shared" si="92"/>
        <v>-4238605.223</v>
      </c>
      <c r="AG61" s="77">
        <f t="shared" si="80"/>
        <v>-45663632.66</v>
      </c>
      <c r="AH61" s="45"/>
      <c r="AI61" s="45"/>
      <c r="AJ61" s="45"/>
      <c r="AK61" s="39"/>
      <c r="AL61" s="45"/>
      <c r="AM61" s="45"/>
    </row>
    <row r="62" ht="15.75" customHeight="1">
      <c r="A62" s="53" t="s">
        <v>59</v>
      </c>
      <c r="B62" s="54" t="s">
        <v>54</v>
      </c>
      <c r="C62" s="55"/>
      <c r="D62" s="55"/>
      <c r="E62" s="78"/>
      <c r="F62" s="53"/>
      <c r="G62" s="58"/>
      <c r="H62" s="61">
        <f t="shared" ref="H62:S62" si="93">H50+H51</f>
        <v>934023746.9</v>
      </c>
      <c r="I62" s="59">
        <f t="shared" si="93"/>
        <v>912325068.5</v>
      </c>
      <c r="J62" s="60">
        <f t="shared" si="93"/>
        <v>949165463</v>
      </c>
      <c r="K62" s="61">
        <f t="shared" si="93"/>
        <v>941047453.9</v>
      </c>
      <c r="L62" s="59">
        <f t="shared" si="93"/>
        <v>954347149.4</v>
      </c>
      <c r="M62" s="60">
        <f t="shared" si="93"/>
        <v>1012678376</v>
      </c>
      <c r="N62" s="61">
        <f t="shared" si="93"/>
        <v>974123280.4</v>
      </c>
      <c r="O62" s="59">
        <f t="shared" si="93"/>
        <v>1036902696</v>
      </c>
      <c r="P62" s="60">
        <f t="shared" si="93"/>
        <v>1041798292</v>
      </c>
      <c r="Q62" s="61">
        <f t="shared" si="93"/>
        <v>1031724323</v>
      </c>
      <c r="R62" s="59">
        <f t="shared" si="93"/>
        <v>1019351957</v>
      </c>
      <c r="S62" s="59">
        <f t="shared" si="93"/>
        <v>1108992659</v>
      </c>
      <c r="T62" s="79">
        <f t="shared" si="78"/>
        <v>11916480465</v>
      </c>
      <c r="U62" s="61">
        <f t="shared" ref="U62:AF62" si="94">U50+U51</f>
        <v>983463974.1</v>
      </c>
      <c r="V62" s="59">
        <f t="shared" si="94"/>
        <v>989402471.5</v>
      </c>
      <c r="W62" s="60">
        <f t="shared" si="94"/>
        <v>998715402.5</v>
      </c>
      <c r="X62" s="61">
        <f t="shared" si="94"/>
        <v>960534999.3</v>
      </c>
      <c r="Y62" s="59">
        <f t="shared" si="94"/>
        <v>973974436.3</v>
      </c>
      <c r="Z62" s="60">
        <f t="shared" si="94"/>
        <v>1033362100</v>
      </c>
      <c r="AA62" s="61">
        <f t="shared" si="94"/>
        <v>993886140.4</v>
      </c>
      <c r="AB62" s="59">
        <f t="shared" si="94"/>
        <v>1057796430</v>
      </c>
      <c r="AC62" s="60">
        <f t="shared" si="94"/>
        <v>1062650665</v>
      </c>
      <c r="AD62" s="61">
        <f t="shared" si="94"/>
        <v>1052238605</v>
      </c>
      <c r="AE62" s="59">
        <f t="shared" si="94"/>
        <v>1039487250</v>
      </c>
      <c r="AF62" s="59">
        <f t="shared" si="94"/>
        <v>1130753304</v>
      </c>
      <c r="AG62" s="79">
        <f t="shared" si="80"/>
        <v>12276265780</v>
      </c>
      <c r="AH62" s="52"/>
      <c r="AI62" s="45"/>
      <c r="AJ62" s="52"/>
      <c r="AK62" s="39"/>
      <c r="AL62" s="52"/>
      <c r="AM62" s="52"/>
    </row>
    <row r="63" ht="15.75" customHeight="1">
      <c r="A63" s="99" t="s">
        <v>63</v>
      </c>
      <c r="B63" s="64" t="s">
        <v>64</v>
      </c>
      <c r="C63" s="80"/>
      <c r="D63" s="80"/>
      <c r="E63" s="67">
        <f>'Расчет коэффициентов'!D26</f>
        <v>0.000001458864606</v>
      </c>
      <c r="F63" s="82">
        <f>-E63</f>
        <v>-0.000001458864606</v>
      </c>
      <c r="G63" s="68"/>
      <c r="H63" s="71">
        <f t="shared" ref="H63:S63" si="95">H$29*$F63</f>
        <v>-3014.297167</v>
      </c>
      <c r="I63" s="69">
        <f t="shared" si="95"/>
        <v>-2958.993527</v>
      </c>
      <c r="J63" s="70">
        <f t="shared" si="95"/>
        <v>-3082.529359</v>
      </c>
      <c r="K63" s="71">
        <f t="shared" si="95"/>
        <v>-3060.219185</v>
      </c>
      <c r="L63" s="69">
        <f t="shared" si="95"/>
        <v>-3099.1085</v>
      </c>
      <c r="M63" s="70">
        <f t="shared" si="95"/>
        <v>-3294.251692</v>
      </c>
      <c r="N63" s="71">
        <f t="shared" si="95"/>
        <v>-3225.89285</v>
      </c>
      <c r="O63" s="69">
        <f t="shared" si="95"/>
        <v>-3401.859259</v>
      </c>
      <c r="P63" s="70">
        <f t="shared" si="95"/>
        <v>-3471.920824</v>
      </c>
      <c r="Q63" s="71">
        <f t="shared" si="95"/>
        <v>-3455.009211</v>
      </c>
      <c r="R63" s="69">
        <f t="shared" si="95"/>
        <v>-3399.789496</v>
      </c>
      <c r="S63" s="69">
        <f t="shared" si="95"/>
        <v>-3669.570186</v>
      </c>
      <c r="T63" s="76">
        <f t="shared" si="78"/>
        <v>-39133.44126</v>
      </c>
      <c r="U63" s="71">
        <f t="shared" ref="U63:AF63" si="96">U$29*$F63</f>
        <v>-3173.63283</v>
      </c>
      <c r="V63" s="69">
        <f t="shared" si="96"/>
        <v>-3208.632113</v>
      </c>
      <c r="W63" s="70">
        <f t="shared" si="96"/>
        <v>-3243.231738</v>
      </c>
      <c r="X63" s="71">
        <f t="shared" si="96"/>
        <v>-3123.505088</v>
      </c>
      <c r="Y63" s="69">
        <f t="shared" si="96"/>
        <v>-3162.759868</v>
      </c>
      <c r="Z63" s="70">
        <f t="shared" si="96"/>
        <v>-3361.450968</v>
      </c>
      <c r="AA63" s="71">
        <f t="shared" si="96"/>
        <v>-3291.25325</v>
      </c>
      <c r="AB63" s="69">
        <f t="shared" si="96"/>
        <v>-3470.322563</v>
      </c>
      <c r="AC63" s="70">
        <f t="shared" si="96"/>
        <v>-3541.32852</v>
      </c>
      <c r="AD63" s="71">
        <f t="shared" si="96"/>
        <v>-3523.621611</v>
      </c>
      <c r="AE63" s="69">
        <f t="shared" si="96"/>
        <v>-3466.861309</v>
      </c>
      <c r="AF63" s="69">
        <f t="shared" si="96"/>
        <v>-3741.491333</v>
      </c>
      <c r="AG63" s="77">
        <f t="shared" si="80"/>
        <v>-40308.09119</v>
      </c>
      <c r="AH63" s="45"/>
      <c r="AI63" s="45"/>
      <c r="AJ63" s="45"/>
      <c r="AK63" s="39"/>
      <c r="AL63" s="45"/>
      <c r="AM63" s="45"/>
    </row>
    <row r="64" ht="15.75" customHeight="1">
      <c r="A64" s="99" t="s">
        <v>63</v>
      </c>
      <c r="B64" s="64" t="s">
        <v>65</v>
      </c>
      <c r="C64" s="80"/>
      <c r="D64" s="80"/>
      <c r="E64" s="67">
        <f>'Расчет коэффициентов'!D27</f>
        <v>0.000002917729213</v>
      </c>
      <c r="F64" s="82">
        <f>E64</f>
        <v>0.000002917729213</v>
      </c>
      <c r="G64" s="69">
        <f t="shared" ref="G64:S64" si="97">G$29*$E64</f>
        <v>72758.40561</v>
      </c>
      <c r="H64" s="69">
        <f t="shared" si="97"/>
        <v>6028.594333</v>
      </c>
      <c r="I64" s="69">
        <f t="shared" si="97"/>
        <v>5917.987054</v>
      </c>
      <c r="J64" s="69">
        <f t="shared" si="97"/>
        <v>6165.058718</v>
      </c>
      <c r="K64" s="69">
        <f t="shared" si="97"/>
        <v>6120.438371</v>
      </c>
      <c r="L64" s="69">
        <f t="shared" si="97"/>
        <v>6198.217001</v>
      </c>
      <c r="M64" s="69">
        <f t="shared" si="97"/>
        <v>6588.503384</v>
      </c>
      <c r="N64" s="69">
        <f t="shared" si="97"/>
        <v>6451.785699</v>
      </c>
      <c r="O64" s="69">
        <f t="shared" si="97"/>
        <v>6803.718517</v>
      </c>
      <c r="P64" s="69">
        <f t="shared" si="97"/>
        <v>6943.841649</v>
      </c>
      <c r="Q64" s="69">
        <f t="shared" si="97"/>
        <v>6910.018422</v>
      </c>
      <c r="R64" s="69">
        <f t="shared" si="97"/>
        <v>6799.578993</v>
      </c>
      <c r="S64" s="69">
        <f t="shared" si="97"/>
        <v>7339.140371</v>
      </c>
      <c r="T64" s="76">
        <f t="shared" si="78"/>
        <v>78266.88251</v>
      </c>
      <c r="U64" s="69">
        <f t="shared" ref="U64:AF64" si="98">U$29*$E64</f>
        <v>6347.26566</v>
      </c>
      <c r="V64" s="69">
        <f t="shared" si="98"/>
        <v>6417.264226</v>
      </c>
      <c r="W64" s="69">
        <f t="shared" si="98"/>
        <v>6486.463476</v>
      </c>
      <c r="X64" s="69">
        <f t="shared" si="98"/>
        <v>6247.010176</v>
      </c>
      <c r="Y64" s="69">
        <f t="shared" si="98"/>
        <v>6325.519735</v>
      </c>
      <c r="Z64" s="69">
        <f t="shared" si="98"/>
        <v>6722.901937</v>
      </c>
      <c r="AA64" s="69">
        <f t="shared" si="98"/>
        <v>6582.506499</v>
      </c>
      <c r="AB64" s="69">
        <f t="shared" si="98"/>
        <v>6940.645126</v>
      </c>
      <c r="AC64" s="69">
        <f t="shared" si="98"/>
        <v>7082.657041</v>
      </c>
      <c r="AD64" s="69">
        <f t="shared" si="98"/>
        <v>7047.243221</v>
      </c>
      <c r="AE64" s="69">
        <f t="shared" si="98"/>
        <v>6933.722618</v>
      </c>
      <c r="AF64" s="69">
        <f t="shared" si="98"/>
        <v>7482.982667</v>
      </c>
      <c r="AG64" s="77">
        <f t="shared" si="80"/>
        <v>80616.18238</v>
      </c>
      <c r="AH64" s="45"/>
      <c r="AI64" s="45"/>
      <c r="AJ64" s="45"/>
      <c r="AK64" s="39"/>
      <c r="AL64" s="45"/>
      <c r="AM64" s="45"/>
    </row>
    <row r="65" ht="15.75" customHeight="1">
      <c r="A65" s="99" t="s">
        <v>63</v>
      </c>
      <c r="B65" s="64" t="s">
        <v>66</v>
      </c>
      <c r="C65" s="80"/>
      <c r="D65" s="80"/>
      <c r="E65" s="67"/>
      <c r="F65" s="82"/>
      <c r="G65" s="68"/>
      <c r="H65" s="71">
        <f t="shared" ref="H65:S65" si="99">SUM(H63:H64)</f>
        <v>3014.297167</v>
      </c>
      <c r="I65" s="69">
        <f t="shared" si="99"/>
        <v>2958.993527</v>
      </c>
      <c r="J65" s="70">
        <f t="shared" si="99"/>
        <v>3082.529359</v>
      </c>
      <c r="K65" s="71">
        <f t="shared" si="99"/>
        <v>3060.219185</v>
      </c>
      <c r="L65" s="69">
        <f t="shared" si="99"/>
        <v>3099.1085</v>
      </c>
      <c r="M65" s="70">
        <f t="shared" si="99"/>
        <v>3294.251692</v>
      </c>
      <c r="N65" s="71">
        <f t="shared" si="99"/>
        <v>3225.89285</v>
      </c>
      <c r="O65" s="69">
        <f t="shared" si="99"/>
        <v>3401.859259</v>
      </c>
      <c r="P65" s="70">
        <f t="shared" si="99"/>
        <v>3471.920824</v>
      </c>
      <c r="Q65" s="71">
        <f t="shared" si="99"/>
        <v>3455.009211</v>
      </c>
      <c r="R65" s="69">
        <f t="shared" si="99"/>
        <v>3399.789496</v>
      </c>
      <c r="S65" s="69">
        <f t="shared" si="99"/>
        <v>3669.570186</v>
      </c>
      <c r="T65" s="76">
        <f t="shared" si="78"/>
        <v>39133.44126</v>
      </c>
      <c r="U65" s="71">
        <f t="shared" ref="U65:AF65" si="100">SUM(U63:U64)</f>
        <v>3173.63283</v>
      </c>
      <c r="V65" s="69">
        <f t="shared" si="100"/>
        <v>3208.632113</v>
      </c>
      <c r="W65" s="70">
        <f t="shared" si="100"/>
        <v>3243.231738</v>
      </c>
      <c r="X65" s="71">
        <f t="shared" si="100"/>
        <v>3123.505088</v>
      </c>
      <c r="Y65" s="69">
        <f t="shared" si="100"/>
        <v>3162.759868</v>
      </c>
      <c r="Z65" s="70">
        <f t="shared" si="100"/>
        <v>3361.450968</v>
      </c>
      <c r="AA65" s="71">
        <f t="shared" si="100"/>
        <v>3291.25325</v>
      </c>
      <c r="AB65" s="69">
        <f t="shared" si="100"/>
        <v>3470.322563</v>
      </c>
      <c r="AC65" s="70">
        <f t="shared" si="100"/>
        <v>3541.32852</v>
      </c>
      <c r="AD65" s="71">
        <f t="shared" si="100"/>
        <v>3523.621611</v>
      </c>
      <c r="AE65" s="69">
        <f t="shared" si="100"/>
        <v>3466.861309</v>
      </c>
      <c r="AF65" s="69">
        <f t="shared" si="100"/>
        <v>3741.491333</v>
      </c>
      <c r="AG65" s="77">
        <f t="shared" si="80"/>
        <v>40308.09119</v>
      </c>
      <c r="AH65" s="45"/>
      <c r="AI65" s="45"/>
      <c r="AJ65" s="45"/>
      <c r="AK65" s="39"/>
      <c r="AL65" s="45"/>
      <c r="AM65" s="45"/>
    </row>
    <row r="66" ht="15.75" customHeight="1">
      <c r="A66" s="53" t="s">
        <v>67</v>
      </c>
      <c r="B66" s="54" t="s">
        <v>67</v>
      </c>
      <c r="C66" s="55"/>
      <c r="D66" s="55"/>
      <c r="E66" s="57"/>
      <c r="F66" s="53"/>
      <c r="G66" s="58"/>
      <c r="H66" s="61">
        <f t="shared" ref="H66:S66" si="101">SUM(H67:H69)</f>
        <v>495890744.8</v>
      </c>
      <c r="I66" s="59">
        <f t="shared" si="101"/>
        <v>486792583.1</v>
      </c>
      <c r="J66" s="60">
        <f t="shared" si="101"/>
        <v>507115820.2</v>
      </c>
      <c r="K66" s="61">
        <f t="shared" si="101"/>
        <v>503445508.9</v>
      </c>
      <c r="L66" s="59">
        <f t="shared" si="101"/>
        <v>509843302.6</v>
      </c>
      <c r="M66" s="60">
        <f t="shared" si="101"/>
        <v>541946873.5</v>
      </c>
      <c r="N66" s="61">
        <f t="shared" si="101"/>
        <v>530700962.6</v>
      </c>
      <c r="O66" s="59">
        <f t="shared" si="101"/>
        <v>559649705.5</v>
      </c>
      <c r="P66" s="60">
        <f t="shared" si="101"/>
        <v>571175736.3</v>
      </c>
      <c r="Q66" s="61">
        <f t="shared" si="101"/>
        <v>568393557.9</v>
      </c>
      <c r="R66" s="59">
        <f t="shared" si="101"/>
        <v>559309202.9</v>
      </c>
      <c r="S66" s="59">
        <f t="shared" si="101"/>
        <v>603691604.4</v>
      </c>
      <c r="T66" s="79">
        <f t="shared" si="78"/>
        <v>6437955603</v>
      </c>
      <c r="U66" s="61">
        <f t="shared" ref="U66:AF66" si="102">SUM(U67:U69)</f>
        <v>522103515.6</v>
      </c>
      <c r="V66" s="59">
        <f t="shared" si="102"/>
        <v>527861348.9</v>
      </c>
      <c r="W66" s="60">
        <f t="shared" si="102"/>
        <v>533553433.3</v>
      </c>
      <c r="X66" s="61">
        <f t="shared" si="102"/>
        <v>513856855.8</v>
      </c>
      <c r="Y66" s="59">
        <f t="shared" si="102"/>
        <v>520314773.1</v>
      </c>
      <c r="Z66" s="60">
        <f t="shared" si="102"/>
        <v>553002020.8</v>
      </c>
      <c r="AA66" s="61">
        <f t="shared" si="102"/>
        <v>541453591</v>
      </c>
      <c r="AB66" s="59">
        <f t="shared" si="102"/>
        <v>570912801.7</v>
      </c>
      <c r="AC66" s="60">
        <f t="shared" si="102"/>
        <v>582594197.1</v>
      </c>
      <c r="AD66" s="61">
        <f t="shared" si="102"/>
        <v>579681182.2</v>
      </c>
      <c r="AE66" s="59">
        <f t="shared" si="102"/>
        <v>570343380.7</v>
      </c>
      <c r="AF66" s="59">
        <f t="shared" si="102"/>
        <v>615523560.4</v>
      </c>
      <c r="AG66" s="79">
        <f t="shared" si="80"/>
        <v>6631200661</v>
      </c>
      <c r="AH66" s="52"/>
      <c r="AI66" s="45"/>
      <c r="AJ66" s="52"/>
      <c r="AK66" s="39"/>
      <c r="AL66" s="52"/>
      <c r="AM66" s="52"/>
    </row>
    <row r="67" ht="15.75" customHeight="1">
      <c r="A67" s="63" t="s">
        <v>67</v>
      </c>
      <c r="B67" s="64" t="s">
        <v>68</v>
      </c>
      <c r="C67" s="80"/>
      <c r="D67" s="66">
        <f>k!D34</f>
        <v>0.000002035701343</v>
      </c>
      <c r="E67" s="67">
        <f>k!D34</f>
        <v>0.000002035701343</v>
      </c>
      <c r="F67" s="82">
        <f t="shared" ref="F67:F69" si="105">-E67</f>
        <v>-0.000002035701343</v>
      </c>
      <c r="G67" s="68">
        <f t="shared" ref="G67:G69" si="106">G$29*$F67</f>
        <v>-50763.58127</v>
      </c>
      <c r="H67" s="71">
        <f t="shared" ref="H67:S67" si="103">H$29*$E67</f>
        <v>4206.153719</v>
      </c>
      <c r="I67" s="69">
        <f t="shared" si="103"/>
        <v>4128.982958</v>
      </c>
      <c r="J67" s="70">
        <f t="shared" si="103"/>
        <v>4301.364999</v>
      </c>
      <c r="K67" s="71">
        <f t="shared" si="103"/>
        <v>4270.233357</v>
      </c>
      <c r="L67" s="69">
        <f t="shared" si="103"/>
        <v>4324.499552</v>
      </c>
      <c r="M67" s="70">
        <f t="shared" si="103"/>
        <v>4596.802585</v>
      </c>
      <c r="N67" s="71">
        <f t="shared" si="103"/>
        <v>4501.414578</v>
      </c>
      <c r="O67" s="69">
        <f t="shared" si="103"/>
        <v>4746.958307</v>
      </c>
      <c r="P67" s="70">
        <f t="shared" si="103"/>
        <v>4844.722296</v>
      </c>
      <c r="Q67" s="71">
        <f t="shared" si="103"/>
        <v>4821.123811</v>
      </c>
      <c r="R67" s="69">
        <f t="shared" si="103"/>
        <v>4744.070158</v>
      </c>
      <c r="S67" s="69">
        <f t="shared" si="103"/>
        <v>5120.522441</v>
      </c>
      <c r="T67" s="76">
        <f t="shared" si="78"/>
        <v>54606.84876</v>
      </c>
      <c r="U67" s="71">
        <f t="shared" ref="U67:AF67" si="104">U$29*$E67</f>
        <v>4428.490887</v>
      </c>
      <c r="V67" s="69">
        <f t="shared" si="104"/>
        <v>4477.328926</v>
      </c>
      <c r="W67" s="70">
        <f t="shared" si="104"/>
        <v>4525.609283</v>
      </c>
      <c r="X67" s="71">
        <f t="shared" si="104"/>
        <v>4358.542578</v>
      </c>
      <c r="Y67" s="69">
        <f t="shared" si="104"/>
        <v>4413.318742</v>
      </c>
      <c r="Z67" s="70">
        <f t="shared" si="104"/>
        <v>4690.572532</v>
      </c>
      <c r="AA67" s="71">
        <f t="shared" si="104"/>
        <v>4592.618555</v>
      </c>
      <c r="AB67" s="69">
        <f t="shared" si="104"/>
        <v>4842.49208</v>
      </c>
      <c r="AC67" s="70">
        <f t="shared" si="104"/>
        <v>4941.573874</v>
      </c>
      <c r="AD67" s="71">
        <f t="shared" si="104"/>
        <v>4916.865632</v>
      </c>
      <c r="AE67" s="69">
        <f t="shared" si="104"/>
        <v>4837.662242</v>
      </c>
      <c r="AF67" s="69">
        <f t="shared" si="104"/>
        <v>5220.881293</v>
      </c>
      <c r="AG67" s="77">
        <f t="shared" si="80"/>
        <v>56245.95662</v>
      </c>
      <c r="AH67" s="45"/>
      <c r="AI67" s="45"/>
      <c r="AJ67" s="45"/>
      <c r="AK67" s="39"/>
      <c r="AL67" s="45"/>
      <c r="AM67" s="45"/>
    </row>
    <row r="68" ht="15.75" customHeight="1">
      <c r="A68" s="63" t="s">
        <v>67</v>
      </c>
      <c r="B68" s="64" t="s">
        <v>38</v>
      </c>
      <c r="C68" s="80"/>
      <c r="D68" s="100">
        <v>0.0018</v>
      </c>
      <c r="E68" s="84">
        <v>0.18</v>
      </c>
      <c r="F68" s="82">
        <f t="shared" si="105"/>
        <v>-0.18</v>
      </c>
      <c r="G68" s="68">
        <f t="shared" si="106"/>
        <v>-4488597829</v>
      </c>
      <c r="H68" s="71">
        <f t="shared" ref="H68:S68" si="107">H$29*$E68</f>
        <v>371914904</v>
      </c>
      <c r="I68" s="69">
        <f t="shared" si="107"/>
        <v>365091340.6</v>
      </c>
      <c r="J68" s="70">
        <f t="shared" si="107"/>
        <v>380333639.1</v>
      </c>
      <c r="K68" s="71">
        <f t="shared" si="107"/>
        <v>377580929</v>
      </c>
      <c r="L68" s="69">
        <f t="shared" si="107"/>
        <v>382379233.6</v>
      </c>
      <c r="M68" s="70">
        <f t="shared" si="107"/>
        <v>406456707.5</v>
      </c>
      <c r="N68" s="71">
        <f t="shared" si="107"/>
        <v>398022345.9</v>
      </c>
      <c r="O68" s="69">
        <f t="shared" si="107"/>
        <v>419733718.9</v>
      </c>
      <c r="P68" s="70">
        <f t="shared" si="107"/>
        <v>428378168.7</v>
      </c>
      <c r="Q68" s="71">
        <f t="shared" si="107"/>
        <v>426291552.6</v>
      </c>
      <c r="R68" s="69">
        <f t="shared" si="107"/>
        <v>419478344.1</v>
      </c>
      <c r="S68" s="69">
        <f t="shared" si="107"/>
        <v>452764862.9</v>
      </c>
      <c r="T68" s="76">
        <f t="shared" si="78"/>
        <v>4828425747</v>
      </c>
      <c r="U68" s="71">
        <f t="shared" ref="U68:AF68" si="108">U$29*$E68</f>
        <v>391574315.4</v>
      </c>
      <c r="V68" s="69">
        <f t="shared" si="108"/>
        <v>395892653.7</v>
      </c>
      <c r="W68" s="70">
        <f t="shared" si="108"/>
        <v>400161680.8</v>
      </c>
      <c r="X68" s="71">
        <f t="shared" si="108"/>
        <v>385389373</v>
      </c>
      <c r="Y68" s="69">
        <f t="shared" si="108"/>
        <v>390232769.9</v>
      </c>
      <c r="Z68" s="70">
        <f t="shared" si="108"/>
        <v>414747997.6</v>
      </c>
      <c r="AA68" s="71">
        <f t="shared" si="108"/>
        <v>406086748.8</v>
      </c>
      <c r="AB68" s="69">
        <f t="shared" si="108"/>
        <v>428180969.4</v>
      </c>
      <c r="AC68" s="70">
        <f t="shared" si="108"/>
        <v>436941941.6</v>
      </c>
      <c r="AD68" s="71">
        <f t="shared" si="108"/>
        <v>434757199</v>
      </c>
      <c r="AE68" s="69">
        <f t="shared" si="108"/>
        <v>427753907.3</v>
      </c>
      <c r="AF68" s="69">
        <f t="shared" si="108"/>
        <v>461638754.6</v>
      </c>
      <c r="AG68" s="77">
        <f t="shared" si="80"/>
        <v>4973358311</v>
      </c>
      <c r="AH68" s="45"/>
      <c r="AI68" s="45"/>
      <c r="AJ68" s="45"/>
      <c r="AK68" s="39"/>
      <c r="AL68" s="45"/>
      <c r="AM68" s="45"/>
    </row>
    <row r="69" ht="15.75" customHeight="1">
      <c r="A69" s="63" t="s">
        <v>67</v>
      </c>
      <c r="B69" s="64" t="s">
        <v>69</v>
      </c>
      <c r="C69" s="80"/>
      <c r="D69" s="66">
        <f>k!D35</f>
        <v>0.000005551912753</v>
      </c>
      <c r="E69" s="84">
        <v>0.06</v>
      </c>
      <c r="F69" s="82">
        <f t="shared" si="105"/>
        <v>-0.06</v>
      </c>
      <c r="G69" s="68">
        <f t="shared" si="106"/>
        <v>-1496199276</v>
      </c>
      <c r="H69" s="71">
        <f t="shared" ref="H69:S69" si="109">H$29*$E69</f>
        <v>123971634.7</v>
      </c>
      <c r="I69" s="69">
        <f t="shared" si="109"/>
        <v>121697113.5</v>
      </c>
      <c r="J69" s="70">
        <f t="shared" si="109"/>
        <v>126777879.7</v>
      </c>
      <c r="K69" s="71">
        <f t="shared" si="109"/>
        <v>125860309.7</v>
      </c>
      <c r="L69" s="69">
        <f t="shared" si="109"/>
        <v>127459744.5</v>
      </c>
      <c r="M69" s="70">
        <f t="shared" si="109"/>
        <v>135485569.2</v>
      </c>
      <c r="N69" s="71">
        <f t="shared" si="109"/>
        <v>132674115.3</v>
      </c>
      <c r="O69" s="69">
        <f t="shared" si="109"/>
        <v>139911239.6</v>
      </c>
      <c r="P69" s="70">
        <f t="shared" si="109"/>
        <v>142792722.9</v>
      </c>
      <c r="Q69" s="71">
        <f t="shared" si="109"/>
        <v>142097184.2</v>
      </c>
      <c r="R69" s="69">
        <f t="shared" si="109"/>
        <v>139826114.7</v>
      </c>
      <c r="S69" s="69">
        <f t="shared" si="109"/>
        <v>150921621</v>
      </c>
      <c r="T69" s="76">
        <f t="shared" si="78"/>
        <v>1609475249</v>
      </c>
      <c r="U69" s="71">
        <f t="shared" ref="U69:AF69" si="110">U$29*$E69</f>
        <v>130524771.8</v>
      </c>
      <c r="V69" s="69">
        <f t="shared" si="110"/>
        <v>131964217.9</v>
      </c>
      <c r="W69" s="70">
        <f t="shared" si="110"/>
        <v>133387226.9</v>
      </c>
      <c r="X69" s="71">
        <f t="shared" si="110"/>
        <v>128463124.3</v>
      </c>
      <c r="Y69" s="69">
        <f t="shared" si="110"/>
        <v>130077590</v>
      </c>
      <c r="Z69" s="70">
        <f t="shared" si="110"/>
        <v>138249332.5</v>
      </c>
      <c r="AA69" s="71">
        <f t="shared" si="110"/>
        <v>135362249.6</v>
      </c>
      <c r="AB69" s="69">
        <f t="shared" si="110"/>
        <v>142726989.8</v>
      </c>
      <c r="AC69" s="70">
        <f t="shared" si="110"/>
        <v>145647313.9</v>
      </c>
      <c r="AD69" s="71">
        <f t="shared" si="110"/>
        <v>144919066.3</v>
      </c>
      <c r="AE69" s="69">
        <f t="shared" si="110"/>
        <v>142584635.8</v>
      </c>
      <c r="AF69" s="69">
        <f t="shared" si="110"/>
        <v>153879584.9</v>
      </c>
      <c r="AG69" s="77">
        <f t="shared" si="80"/>
        <v>1657786104</v>
      </c>
      <c r="AH69" s="45"/>
      <c r="AI69" s="45"/>
      <c r="AJ69" s="45"/>
      <c r="AK69" s="39"/>
      <c r="AL69" s="45"/>
      <c r="AM69" s="45"/>
    </row>
    <row r="70" ht="15.75" customHeight="1">
      <c r="A70" s="53" t="s">
        <v>70</v>
      </c>
      <c r="B70" s="54" t="s">
        <v>70</v>
      </c>
      <c r="C70" s="55"/>
      <c r="D70" s="55"/>
      <c r="E70" s="57"/>
      <c r="F70" s="53"/>
      <c r="G70" s="58"/>
      <c r="H70" s="61">
        <f t="shared" ref="H70:S70" si="111">H62+H65+H66</f>
        <v>1429917506</v>
      </c>
      <c r="I70" s="59">
        <f t="shared" si="111"/>
        <v>1399120611</v>
      </c>
      <c r="J70" s="60">
        <f t="shared" si="111"/>
        <v>1456284366</v>
      </c>
      <c r="K70" s="61">
        <f t="shared" si="111"/>
        <v>1444496023</v>
      </c>
      <c r="L70" s="59">
        <f t="shared" si="111"/>
        <v>1464193551</v>
      </c>
      <c r="M70" s="60">
        <f t="shared" si="111"/>
        <v>1554628544</v>
      </c>
      <c r="N70" s="61">
        <f t="shared" si="111"/>
        <v>1504827469</v>
      </c>
      <c r="O70" s="59">
        <f t="shared" si="111"/>
        <v>1596555803</v>
      </c>
      <c r="P70" s="60">
        <f t="shared" si="111"/>
        <v>1612977500</v>
      </c>
      <c r="Q70" s="61">
        <f t="shared" si="111"/>
        <v>1600121336</v>
      </c>
      <c r="R70" s="59">
        <f t="shared" si="111"/>
        <v>1578664560</v>
      </c>
      <c r="S70" s="59">
        <f t="shared" si="111"/>
        <v>1712687933</v>
      </c>
      <c r="T70" s="79">
        <f t="shared" si="78"/>
        <v>18354475201</v>
      </c>
      <c r="U70" s="61">
        <f t="shared" ref="U70:AF70" si="112">U62+U65+U66</f>
        <v>1505570663</v>
      </c>
      <c r="V70" s="59">
        <f t="shared" si="112"/>
        <v>1517267029</v>
      </c>
      <c r="W70" s="60">
        <f t="shared" si="112"/>
        <v>1532272079</v>
      </c>
      <c r="X70" s="61">
        <f t="shared" si="112"/>
        <v>1474394979</v>
      </c>
      <c r="Y70" s="59">
        <f t="shared" si="112"/>
        <v>1494292372</v>
      </c>
      <c r="Z70" s="60">
        <f t="shared" si="112"/>
        <v>1586367483</v>
      </c>
      <c r="AA70" s="61">
        <f t="shared" si="112"/>
        <v>1535343023</v>
      </c>
      <c r="AB70" s="59">
        <f t="shared" si="112"/>
        <v>1628712703</v>
      </c>
      <c r="AC70" s="60">
        <f t="shared" si="112"/>
        <v>1645248404</v>
      </c>
      <c r="AD70" s="61">
        <f t="shared" si="112"/>
        <v>1631923311</v>
      </c>
      <c r="AE70" s="59">
        <f t="shared" si="112"/>
        <v>1609834098</v>
      </c>
      <c r="AF70" s="59">
        <f t="shared" si="112"/>
        <v>1746280606</v>
      </c>
      <c r="AG70" s="79">
        <f t="shared" si="80"/>
        <v>18907506748</v>
      </c>
      <c r="AH70" s="52"/>
      <c r="AI70" s="45"/>
      <c r="AJ70" s="52"/>
      <c r="AK70" s="39"/>
      <c r="AL70" s="52"/>
      <c r="AM70" s="52"/>
    </row>
    <row r="71" ht="15.75" customHeight="1">
      <c r="A71" s="63" t="s">
        <v>70</v>
      </c>
      <c r="B71" s="64" t="s">
        <v>71</v>
      </c>
      <c r="C71" s="80"/>
      <c r="D71" s="80"/>
      <c r="E71" s="67"/>
      <c r="F71" s="82">
        <f>-E71</f>
        <v>0</v>
      </c>
      <c r="G71" s="68"/>
      <c r="H71" s="71">
        <f t="shared" ref="H71:S71" si="113">H$29*$F71</f>
        <v>0</v>
      </c>
      <c r="I71" s="69">
        <f t="shared" si="113"/>
        <v>0</v>
      </c>
      <c r="J71" s="70">
        <f t="shared" si="113"/>
        <v>0</v>
      </c>
      <c r="K71" s="71">
        <f t="shared" si="113"/>
        <v>0</v>
      </c>
      <c r="L71" s="69">
        <f t="shared" si="113"/>
        <v>0</v>
      </c>
      <c r="M71" s="70">
        <f t="shared" si="113"/>
        <v>0</v>
      </c>
      <c r="N71" s="71">
        <f t="shared" si="113"/>
        <v>0</v>
      </c>
      <c r="O71" s="69">
        <f t="shared" si="113"/>
        <v>0</v>
      </c>
      <c r="P71" s="70">
        <f t="shared" si="113"/>
        <v>0</v>
      </c>
      <c r="Q71" s="71">
        <f t="shared" si="113"/>
        <v>0</v>
      </c>
      <c r="R71" s="69">
        <f t="shared" si="113"/>
        <v>0</v>
      </c>
      <c r="S71" s="69">
        <f t="shared" si="113"/>
        <v>0</v>
      </c>
      <c r="T71" s="76">
        <f t="shared" si="78"/>
        <v>0</v>
      </c>
      <c r="U71" s="71">
        <f t="shared" ref="U71:AF71" si="114">U$29*$F71</f>
        <v>0</v>
      </c>
      <c r="V71" s="69">
        <f t="shared" si="114"/>
        <v>0</v>
      </c>
      <c r="W71" s="70">
        <f t="shared" si="114"/>
        <v>0</v>
      </c>
      <c r="X71" s="71">
        <f t="shared" si="114"/>
        <v>0</v>
      </c>
      <c r="Y71" s="69">
        <f t="shared" si="114"/>
        <v>0</v>
      </c>
      <c r="Z71" s="70">
        <f t="shared" si="114"/>
        <v>0</v>
      </c>
      <c r="AA71" s="71">
        <f t="shared" si="114"/>
        <v>0</v>
      </c>
      <c r="AB71" s="69">
        <f t="shared" si="114"/>
        <v>0</v>
      </c>
      <c r="AC71" s="70">
        <f t="shared" si="114"/>
        <v>0</v>
      </c>
      <c r="AD71" s="71">
        <f t="shared" si="114"/>
        <v>0</v>
      </c>
      <c r="AE71" s="69">
        <f t="shared" si="114"/>
        <v>0</v>
      </c>
      <c r="AF71" s="69">
        <f t="shared" si="114"/>
        <v>0</v>
      </c>
      <c r="AG71" s="77">
        <f t="shared" si="80"/>
        <v>0</v>
      </c>
      <c r="AH71" s="45"/>
      <c r="AI71" s="45"/>
      <c r="AJ71" s="45"/>
      <c r="AK71" s="39"/>
      <c r="AL71" s="45"/>
      <c r="AM71" s="45"/>
    </row>
    <row r="72" ht="15.75" customHeight="1">
      <c r="A72" s="63" t="s">
        <v>72</v>
      </c>
      <c r="B72" s="64" t="s">
        <v>72</v>
      </c>
      <c r="C72" s="80"/>
      <c r="D72" s="66"/>
      <c r="E72" s="67"/>
      <c r="F72" s="82"/>
      <c r="G72" s="68"/>
      <c r="H72" s="71">
        <f t="shared" ref="H72:S72" si="115">H70+H71</f>
        <v>1429917506</v>
      </c>
      <c r="I72" s="69">
        <f t="shared" si="115"/>
        <v>1399120611</v>
      </c>
      <c r="J72" s="70">
        <f t="shared" si="115"/>
        <v>1456284366</v>
      </c>
      <c r="K72" s="71">
        <f t="shared" si="115"/>
        <v>1444496023</v>
      </c>
      <c r="L72" s="69">
        <f t="shared" si="115"/>
        <v>1464193551</v>
      </c>
      <c r="M72" s="70">
        <f t="shared" si="115"/>
        <v>1554628544</v>
      </c>
      <c r="N72" s="71">
        <f t="shared" si="115"/>
        <v>1504827469</v>
      </c>
      <c r="O72" s="69">
        <f t="shared" si="115"/>
        <v>1596555803</v>
      </c>
      <c r="P72" s="70">
        <f t="shared" si="115"/>
        <v>1612977500</v>
      </c>
      <c r="Q72" s="71">
        <f t="shared" si="115"/>
        <v>1600121336</v>
      </c>
      <c r="R72" s="69">
        <f t="shared" si="115"/>
        <v>1578664560</v>
      </c>
      <c r="S72" s="69">
        <f t="shared" si="115"/>
        <v>1712687933</v>
      </c>
      <c r="T72" s="76">
        <f t="shared" si="78"/>
        <v>18354475201</v>
      </c>
      <c r="U72" s="71">
        <f t="shared" ref="U72:AF72" si="116">U70+U71</f>
        <v>1505570663</v>
      </c>
      <c r="V72" s="69">
        <f t="shared" si="116"/>
        <v>1517267029</v>
      </c>
      <c r="W72" s="70">
        <f t="shared" si="116"/>
        <v>1532272079</v>
      </c>
      <c r="X72" s="71">
        <f t="shared" si="116"/>
        <v>1474394979</v>
      </c>
      <c r="Y72" s="69">
        <f t="shared" si="116"/>
        <v>1494292372</v>
      </c>
      <c r="Z72" s="70">
        <f t="shared" si="116"/>
        <v>1586367483</v>
      </c>
      <c r="AA72" s="71">
        <f t="shared" si="116"/>
        <v>1535343023</v>
      </c>
      <c r="AB72" s="69">
        <f t="shared" si="116"/>
        <v>1628712703</v>
      </c>
      <c r="AC72" s="70">
        <f t="shared" si="116"/>
        <v>1645248404</v>
      </c>
      <c r="AD72" s="71">
        <f t="shared" si="116"/>
        <v>1631923311</v>
      </c>
      <c r="AE72" s="69">
        <f t="shared" si="116"/>
        <v>1609834098</v>
      </c>
      <c r="AF72" s="69">
        <f t="shared" si="116"/>
        <v>1746280606</v>
      </c>
      <c r="AG72" s="77">
        <f t="shared" si="80"/>
        <v>18907506748</v>
      </c>
      <c r="AH72" s="45"/>
      <c r="AI72" s="45"/>
      <c r="AJ72" s="45"/>
      <c r="AK72" s="39"/>
      <c r="AL72" s="45"/>
      <c r="AM72" s="45"/>
    </row>
    <row r="73" ht="15.75" customHeight="1">
      <c r="A73" s="63" t="s">
        <v>72</v>
      </c>
      <c r="B73" s="64" t="s">
        <v>73</v>
      </c>
      <c r="C73" s="80"/>
      <c r="D73" s="66"/>
      <c r="E73" s="84">
        <v>0.07</v>
      </c>
      <c r="F73" s="82">
        <f t="shared" ref="F73:F74" si="119">-E73</f>
        <v>-0.07</v>
      </c>
      <c r="G73" s="68"/>
      <c r="H73" s="71">
        <v>0.0</v>
      </c>
      <c r="I73" s="69">
        <v>0.0</v>
      </c>
      <c r="J73" s="70">
        <v>0.0</v>
      </c>
      <c r="K73" s="71">
        <v>0.0</v>
      </c>
      <c r="L73" s="69">
        <f t="shared" ref="L73:S73" si="117">L$29*$F73</f>
        <v>-148703035.3</v>
      </c>
      <c r="M73" s="70">
        <f t="shared" si="117"/>
        <v>-158066497.4</v>
      </c>
      <c r="N73" s="71">
        <f t="shared" si="117"/>
        <v>-154786467.9</v>
      </c>
      <c r="O73" s="69">
        <f t="shared" si="117"/>
        <v>-163229779.6</v>
      </c>
      <c r="P73" s="70">
        <f t="shared" si="117"/>
        <v>-166591510</v>
      </c>
      <c r="Q73" s="71">
        <f t="shared" si="117"/>
        <v>-165780048.2</v>
      </c>
      <c r="R73" s="69">
        <f t="shared" si="117"/>
        <v>-163130467.2</v>
      </c>
      <c r="S73" s="69">
        <f t="shared" si="117"/>
        <v>-176075224.5</v>
      </c>
      <c r="T73" s="76">
        <f t="shared" si="78"/>
        <v>-1296363030</v>
      </c>
      <c r="U73" s="71">
        <v>0.0</v>
      </c>
      <c r="V73" s="69">
        <v>0.0</v>
      </c>
      <c r="W73" s="70">
        <v>0.0</v>
      </c>
      <c r="X73" s="71">
        <v>0.0</v>
      </c>
      <c r="Y73" s="69">
        <f t="shared" ref="Y73:AF73" si="118">Y$29*$F73</f>
        <v>-151757188.3</v>
      </c>
      <c r="Z73" s="70">
        <f t="shared" si="118"/>
        <v>-161290888</v>
      </c>
      <c r="AA73" s="71">
        <f t="shared" si="118"/>
        <v>-157922624.5</v>
      </c>
      <c r="AB73" s="69">
        <f t="shared" si="118"/>
        <v>-166514821.4</v>
      </c>
      <c r="AC73" s="70">
        <f t="shared" si="118"/>
        <v>-169921866.2</v>
      </c>
      <c r="AD73" s="71">
        <f t="shared" si="118"/>
        <v>-169072244.1</v>
      </c>
      <c r="AE73" s="69">
        <f t="shared" si="118"/>
        <v>-166348741.7</v>
      </c>
      <c r="AF73" s="69">
        <f t="shared" si="118"/>
        <v>-179526182.4</v>
      </c>
      <c r="AG73" s="77">
        <f t="shared" si="80"/>
        <v>-1322354557</v>
      </c>
      <c r="AH73" s="45"/>
      <c r="AI73" s="45"/>
      <c r="AJ73" s="45"/>
      <c r="AK73" s="39"/>
      <c r="AL73" s="45"/>
      <c r="AM73" s="45"/>
    </row>
    <row r="74" ht="15.75" customHeight="1">
      <c r="A74" s="63" t="s">
        <v>72</v>
      </c>
      <c r="B74" s="64" t="s">
        <v>74</v>
      </c>
      <c r="C74" s="80"/>
      <c r="D74" s="66"/>
      <c r="E74" s="67"/>
      <c r="F74" s="82">
        <f t="shared" si="119"/>
        <v>0</v>
      </c>
      <c r="G74" s="68"/>
      <c r="H74" s="71">
        <f t="shared" ref="H74:S74" si="120">H$29*$F74</f>
        <v>0</v>
      </c>
      <c r="I74" s="69">
        <f t="shared" si="120"/>
        <v>0</v>
      </c>
      <c r="J74" s="70">
        <f t="shared" si="120"/>
        <v>0</v>
      </c>
      <c r="K74" s="71">
        <f t="shared" si="120"/>
        <v>0</v>
      </c>
      <c r="L74" s="69">
        <f t="shared" si="120"/>
        <v>0</v>
      </c>
      <c r="M74" s="70">
        <f t="shared" si="120"/>
        <v>0</v>
      </c>
      <c r="N74" s="71">
        <f t="shared" si="120"/>
        <v>0</v>
      </c>
      <c r="O74" s="69">
        <f t="shared" si="120"/>
        <v>0</v>
      </c>
      <c r="P74" s="70">
        <f t="shared" si="120"/>
        <v>0</v>
      </c>
      <c r="Q74" s="71">
        <f t="shared" si="120"/>
        <v>0</v>
      </c>
      <c r="R74" s="69">
        <f t="shared" si="120"/>
        <v>0</v>
      </c>
      <c r="S74" s="69">
        <f t="shared" si="120"/>
        <v>0</v>
      </c>
      <c r="T74" s="76">
        <f t="shared" si="78"/>
        <v>0</v>
      </c>
      <c r="U74" s="71">
        <f t="shared" ref="U74:AF74" si="121">U$29*$F74</f>
        <v>0</v>
      </c>
      <c r="V74" s="69">
        <f t="shared" si="121"/>
        <v>0</v>
      </c>
      <c r="W74" s="70">
        <f t="shared" si="121"/>
        <v>0</v>
      </c>
      <c r="X74" s="71">
        <f t="shared" si="121"/>
        <v>0</v>
      </c>
      <c r="Y74" s="69">
        <f t="shared" si="121"/>
        <v>0</v>
      </c>
      <c r="Z74" s="70">
        <f t="shared" si="121"/>
        <v>0</v>
      </c>
      <c r="AA74" s="71">
        <f t="shared" si="121"/>
        <v>0</v>
      </c>
      <c r="AB74" s="69">
        <f t="shared" si="121"/>
        <v>0</v>
      </c>
      <c r="AC74" s="70">
        <f t="shared" si="121"/>
        <v>0</v>
      </c>
      <c r="AD74" s="71">
        <f t="shared" si="121"/>
        <v>0</v>
      </c>
      <c r="AE74" s="69">
        <f t="shared" si="121"/>
        <v>0</v>
      </c>
      <c r="AF74" s="69">
        <f t="shared" si="121"/>
        <v>0</v>
      </c>
      <c r="AG74" s="77">
        <f t="shared" si="80"/>
        <v>0</v>
      </c>
      <c r="AH74" s="45"/>
      <c r="AI74" s="45"/>
      <c r="AJ74" s="45"/>
      <c r="AK74" s="39"/>
      <c r="AL74" s="45"/>
      <c r="AM74" s="45"/>
    </row>
    <row r="75" ht="15.75" customHeight="1">
      <c r="A75" s="63" t="s">
        <v>75</v>
      </c>
      <c r="B75" s="64" t="s">
        <v>75</v>
      </c>
      <c r="C75" s="80"/>
      <c r="D75" s="80"/>
      <c r="E75" s="67"/>
      <c r="F75" s="82"/>
      <c r="G75" s="68"/>
      <c r="H75" s="71">
        <f t="shared" ref="H75:S75" si="122">H72+H73+H74</f>
        <v>1429917506</v>
      </c>
      <c r="I75" s="69">
        <f t="shared" si="122"/>
        <v>1399120611</v>
      </c>
      <c r="J75" s="70">
        <f t="shared" si="122"/>
        <v>1456284366</v>
      </c>
      <c r="K75" s="71">
        <f t="shared" si="122"/>
        <v>1444496023</v>
      </c>
      <c r="L75" s="69">
        <f t="shared" si="122"/>
        <v>1315490516</v>
      </c>
      <c r="M75" s="70">
        <f t="shared" si="122"/>
        <v>1396562047</v>
      </c>
      <c r="N75" s="71">
        <f t="shared" si="122"/>
        <v>1350041001</v>
      </c>
      <c r="O75" s="69">
        <f t="shared" si="122"/>
        <v>1433326024</v>
      </c>
      <c r="P75" s="70">
        <f t="shared" si="122"/>
        <v>1446385990</v>
      </c>
      <c r="Q75" s="71">
        <f t="shared" si="122"/>
        <v>1434341288</v>
      </c>
      <c r="R75" s="69">
        <f t="shared" si="122"/>
        <v>1415534093</v>
      </c>
      <c r="S75" s="69">
        <f t="shared" si="122"/>
        <v>1536612708</v>
      </c>
      <c r="T75" s="76">
        <f t="shared" si="78"/>
        <v>17058112172</v>
      </c>
      <c r="U75" s="71">
        <f t="shared" ref="U75:AF75" si="123">U72+U73+U74</f>
        <v>1505570663</v>
      </c>
      <c r="V75" s="69">
        <f t="shared" si="123"/>
        <v>1517267029</v>
      </c>
      <c r="W75" s="70">
        <f t="shared" si="123"/>
        <v>1532272079</v>
      </c>
      <c r="X75" s="71">
        <f t="shared" si="123"/>
        <v>1474394979</v>
      </c>
      <c r="Y75" s="69">
        <f t="shared" si="123"/>
        <v>1342535184</v>
      </c>
      <c r="Z75" s="70">
        <f t="shared" si="123"/>
        <v>1425076595</v>
      </c>
      <c r="AA75" s="71">
        <f t="shared" si="123"/>
        <v>1377420398</v>
      </c>
      <c r="AB75" s="69">
        <f t="shared" si="123"/>
        <v>1462197881</v>
      </c>
      <c r="AC75" s="70">
        <f t="shared" si="123"/>
        <v>1475326537</v>
      </c>
      <c r="AD75" s="71">
        <f t="shared" si="123"/>
        <v>1462851067</v>
      </c>
      <c r="AE75" s="69">
        <f t="shared" si="123"/>
        <v>1443485356</v>
      </c>
      <c r="AF75" s="69">
        <f t="shared" si="123"/>
        <v>1566754424</v>
      </c>
      <c r="AG75" s="77">
        <f t="shared" si="80"/>
        <v>17585152192</v>
      </c>
      <c r="AH75" s="45"/>
      <c r="AI75" s="45"/>
      <c r="AJ75" s="45"/>
      <c r="AK75" s="39"/>
      <c r="AL75" s="45"/>
      <c r="AM75" s="45"/>
    </row>
    <row r="76" ht="15.75" customHeight="1">
      <c r="A76" s="63" t="s">
        <v>75</v>
      </c>
      <c r="B76" s="64" t="s">
        <v>76</v>
      </c>
      <c r="C76" s="80"/>
      <c r="D76" s="66"/>
      <c r="E76" s="67">
        <v>1.0E-4</v>
      </c>
      <c r="F76" s="82">
        <f t="shared" ref="F76:F77" si="126">-E76</f>
        <v>-0.0001</v>
      </c>
      <c r="G76" s="68"/>
      <c r="H76" s="71">
        <f t="shared" ref="H76:S76" si="124">H$29*$F76</f>
        <v>-206619.3911</v>
      </c>
      <c r="I76" s="69">
        <f t="shared" si="124"/>
        <v>-202828.5226</v>
      </c>
      <c r="J76" s="70">
        <f t="shared" si="124"/>
        <v>-211296.4662</v>
      </c>
      <c r="K76" s="71">
        <f t="shared" si="124"/>
        <v>-209767.1828</v>
      </c>
      <c r="L76" s="69">
        <f t="shared" si="124"/>
        <v>-212432.9076</v>
      </c>
      <c r="M76" s="70">
        <f t="shared" si="124"/>
        <v>-225809.2819</v>
      </c>
      <c r="N76" s="71">
        <f t="shared" si="124"/>
        <v>-221123.5255</v>
      </c>
      <c r="O76" s="69">
        <f t="shared" si="124"/>
        <v>-233185.3994</v>
      </c>
      <c r="P76" s="70">
        <f t="shared" si="124"/>
        <v>-237987.8715</v>
      </c>
      <c r="Q76" s="71">
        <f t="shared" si="124"/>
        <v>-236828.6403</v>
      </c>
      <c r="R76" s="69">
        <f t="shared" si="124"/>
        <v>-233043.5245</v>
      </c>
      <c r="S76" s="69">
        <f t="shared" si="124"/>
        <v>-251536.0349</v>
      </c>
      <c r="T76" s="76">
        <f t="shared" si="78"/>
        <v>-2682458.748</v>
      </c>
      <c r="U76" s="71">
        <f t="shared" ref="U76:AF76" si="125">U$29*$F76</f>
        <v>-217541.2863</v>
      </c>
      <c r="V76" s="69">
        <f t="shared" si="125"/>
        <v>-219940.3631</v>
      </c>
      <c r="W76" s="70">
        <f t="shared" si="125"/>
        <v>-222312.0449</v>
      </c>
      <c r="X76" s="71">
        <f t="shared" si="125"/>
        <v>-214105.2072</v>
      </c>
      <c r="Y76" s="69">
        <f t="shared" si="125"/>
        <v>-216795.9833</v>
      </c>
      <c r="Z76" s="70">
        <f t="shared" si="125"/>
        <v>-230415.5542</v>
      </c>
      <c r="AA76" s="71">
        <f t="shared" si="125"/>
        <v>-225603.7493</v>
      </c>
      <c r="AB76" s="69">
        <f t="shared" si="125"/>
        <v>-237878.3163</v>
      </c>
      <c r="AC76" s="70">
        <f t="shared" si="125"/>
        <v>-242745.5231</v>
      </c>
      <c r="AD76" s="71">
        <f t="shared" si="125"/>
        <v>-241531.7772</v>
      </c>
      <c r="AE76" s="69">
        <f t="shared" si="125"/>
        <v>-237641.0596</v>
      </c>
      <c r="AF76" s="69">
        <f t="shared" si="125"/>
        <v>-256465.9748</v>
      </c>
      <c r="AG76" s="77">
        <f t="shared" si="80"/>
        <v>-2762976.839</v>
      </c>
      <c r="AH76" s="45"/>
      <c r="AI76" s="45"/>
      <c r="AJ76" s="45"/>
      <c r="AK76" s="39"/>
      <c r="AL76" s="45"/>
      <c r="AM76" s="45"/>
    </row>
    <row r="77" ht="15.75" customHeight="1">
      <c r="A77" s="63" t="s">
        <v>75</v>
      </c>
      <c r="B77" s="64" t="s">
        <v>77</v>
      </c>
      <c r="C77" s="80"/>
      <c r="D77" s="66"/>
      <c r="E77" s="67">
        <v>1.0E-4</v>
      </c>
      <c r="F77" s="82">
        <f t="shared" si="126"/>
        <v>-0.0001</v>
      </c>
      <c r="G77" s="68"/>
      <c r="H77" s="71">
        <f t="shared" ref="H77:S77" si="127">H$29*$F77</f>
        <v>-206619.3911</v>
      </c>
      <c r="I77" s="69">
        <f t="shared" si="127"/>
        <v>-202828.5226</v>
      </c>
      <c r="J77" s="70">
        <f t="shared" si="127"/>
        <v>-211296.4662</v>
      </c>
      <c r="K77" s="71">
        <f t="shared" si="127"/>
        <v>-209767.1828</v>
      </c>
      <c r="L77" s="69">
        <f t="shared" si="127"/>
        <v>-212432.9076</v>
      </c>
      <c r="M77" s="70">
        <f t="shared" si="127"/>
        <v>-225809.2819</v>
      </c>
      <c r="N77" s="71">
        <f t="shared" si="127"/>
        <v>-221123.5255</v>
      </c>
      <c r="O77" s="69">
        <f t="shared" si="127"/>
        <v>-233185.3994</v>
      </c>
      <c r="P77" s="70">
        <f t="shared" si="127"/>
        <v>-237987.8715</v>
      </c>
      <c r="Q77" s="71">
        <f t="shared" si="127"/>
        <v>-236828.6403</v>
      </c>
      <c r="R77" s="69">
        <f t="shared" si="127"/>
        <v>-233043.5245</v>
      </c>
      <c r="S77" s="69">
        <f t="shared" si="127"/>
        <v>-251536.0349</v>
      </c>
      <c r="T77" s="76">
        <f t="shared" si="78"/>
        <v>-2682458.748</v>
      </c>
      <c r="U77" s="71">
        <f t="shared" ref="U77:AF77" si="128">U$29*$F77</f>
        <v>-217541.2863</v>
      </c>
      <c r="V77" s="69">
        <f t="shared" si="128"/>
        <v>-219940.3631</v>
      </c>
      <c r="W77" s="70">
        <f t="shared" si="128"/>
        <v>-222312.0449</v>
      </c>
      <c r="X77" s="71">
        <f t="shared" si="128"/>
        <v>-214105.2072</v>
      </c>
      <c r="Y77" s="69">
        <f t="shared" si="128"/>
        <v>-216795.9833</v>
      </c>
      <c r="Z77" s="70">
        <f t="shared" si="128"/>
        <v>-230415.5542</v>
      </c>
      <c r="AA77" s="71">
        <f t="shared" si="128"/>
        <v>-225603.7493</v>
      </c>
      <c r="AB77" s="69">
        <f t="shared" si="128"/>
        <v>-237878.3163</v>
      </c>
      <c r="AC77" s="70">
        <f t="shared" si="128"/>
        <v>-242745.5231</v>
      </c>
      <c r="AD77" s="71">
        <f t="shared" si="128"/>
        <v>-241531.7772</v>
      </c>
      <c r="AE77" s="69">
        <f t="shared" si="128"/>
        <v>-237641.0596</v>
      </c>
      <c r="AF77" s="69">
        <f t="shared" si="128"/>
        <v>-256465.9748</v>
      </c>
      <c r="AG77" s="77">
        <f t="shared" si="80"/>
        <v>-2762976.839</v>
      </c>
      <c r="AH77" s="45"/>
      <c r="AI77" s="45"/>
      <c r="AJ77" s="45"/>
      <c r="AK77" s="39"/>
      <c r="AL77" s="45"/>
      <c r="AM77" s="45"/>
    </row>
    <row r="78" ht="15.75" customHeight="1">
      <c r="A78" s="101" t="s">
        <v>78</v>
      </c>
      <c r="B78" s="101" t="s">
        <v>78</v>
      </c>
      <c r="C78" s="102"/>
      <c r="D78" s="102"/>
      <c r="E78" s="103"/>
      <c r="F78" s="104"/>
      <c r="G78" s="105"/>
      <c r="H78" s="106">
        <f t="shared" ref="H78:S78" si="129">H75+H76+H77</f>
        <v>1429504267</v>
      </c>
      <c r="I78" s="107">
        <f t="shared" si="129"/>
        <v>1398714954</v>
      </c>
      <c r="J78" s="108">
        <f t="shared" si="129"/>
        <v>1455861773</v>
      </c>
      <c r="K78" s="106">
        <f t="shared" si="129"/>
        <v>1444076489</v>
      </c>
      <c r="L78" s="107">
        <f t="shared" si="129"/>
        <v>1315065650</v>
      </c>
      <c r="M78" s="108">
        <f t="shared" si="129"/>
        <v>1396110428</v>
      </c>
      <c r="N78" s="106">
        <f t="shared" si="129"/>
        <v>1349598754</v>
      </c>
      <c r="O78" s="107">
        <f t="shared" si="129"/>
        <v>1432859653</v>
      </c>
      <c r="P78" s="108">
        <f t="shared" si="129"/>
        <v>1445910014</v>
      </c>
      <c r="Q78" s="106">
        <f t="shared" si="129"/>
        <v>1433867631</v>
      </c>
      <c r="R78" s="107">
        <f t="shared" si="129"/>
        <v>1415068005</v>
      </c>
      <c r="S78" s="107">
        <f t="shared" si="129"/>
        <v>1536109636</v>
      </c>
      <c r="T78" s="109">
        <f t="shared" si="78"/>
        <v>17052747254</v>
      </c>
      <c r="U78" s="106">
        <f t="shared" ref="U78:AF78" si="130">U75+U76+U77</f>
        <v>1505135581</v>
      </c>
      <c r="V78" s="107">
        <f t="shared" si="130"/>
        <v>1516827148</v>
      </c>
      <c r="W78" s="108">
        <f t="shared" si="130"/>
        <v>1531827455</v>
      </c>
      <c r="X78" s="106">
        <f t="shared" si="130"/>
        <v>1473966768</v>
      </c>
      <c r="Y78" s="107">
        <f t="shared" si="130"/>
        <v>1342101592</v>
      </c>
      <c r="Z78" s="108">
        <f t="shared" si="130"/>
        <v>1424615764</v>
      </c>
      <c r="AA78" s="106">
        <f t="shared" si="130"/>
        <v>1376969191</v>
      </c>
      <c r="AB78" s="107">
        <f t="shared" si="130"/>
        <v>1461722124</v>
      </c>
      <c r="AC78" s="108">
        <f t="shared" si="130"/>
        <v>1474841046</v>
      </c>
      <c r="AD78" s="106">
        <f t="shared" si="130"/>
        <v>1462368003</v>
      </c>
      <c r="AE78" s="107">
        <f t="shared" si="130"/>
        <v>1443010074</v>
      </c>
      <c r="AF78" s="107">
        <f t="shared" si="130"/>
        <v>1566241492</v>
      </c>
      <c r="AG78" s="109">
        <f t="shared" si="80"/>
        <v>17579626238</v>
      </c>
      <c r="AH78" s="110"/>
      <c r="AI78" s="45"/>
      <c r="AJ78" s="110"/>
      <c r="AK78" s="39"/>
      <c r="AL78" s="110"/>
      <c r="AM78" s="110"/>
    </row>
    <row r="79" ht="15.75" customHeight="1">
      <c r="E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11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E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11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E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11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E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11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E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1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E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1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E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1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E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11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E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1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E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11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E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1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E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1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E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1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E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1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E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1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E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1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E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1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E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11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E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11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E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11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E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11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E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11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E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1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E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11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E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11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E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11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E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11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E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1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E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11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E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11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E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11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E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11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E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1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E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11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E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11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E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11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E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11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E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11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E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11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E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1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E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1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E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11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E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11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E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1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E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11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E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11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E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1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E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1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E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1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E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1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E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1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E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11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E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1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E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1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E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1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E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1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E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1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E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1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E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1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E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1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E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1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E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1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E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11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E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11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E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1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E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11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E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11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E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11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E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11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E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11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E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11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E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11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E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11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E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11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E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11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E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11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E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1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E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11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E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11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E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11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E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11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E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11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E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11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E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1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E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11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E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11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E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11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E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11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E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11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E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11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E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11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E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11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E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11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E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11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E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11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E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11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E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11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E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11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E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1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E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1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E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1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E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11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E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11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E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11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E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11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E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11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E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11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E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11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E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11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E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11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E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11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E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11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E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11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E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11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E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11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E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11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E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11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E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11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E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1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E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11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E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1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E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1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E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11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E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11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E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1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E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11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E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11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E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1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E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11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E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11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E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1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E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11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E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11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E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1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E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11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E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11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E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1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E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11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E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11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E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1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E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11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E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11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E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1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E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11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E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11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E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1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E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11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E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11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E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1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E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11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E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11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E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1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E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11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E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11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E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1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E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11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E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11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E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1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E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11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E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11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E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1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E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11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E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11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E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1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E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11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E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11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E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1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E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11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E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11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E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E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1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E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1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E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1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E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1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E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1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E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1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E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11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E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11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E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11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E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11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E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11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E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11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E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11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E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11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E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11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E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11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E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1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E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1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E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1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E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11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E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11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E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11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E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11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E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11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E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11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E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11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E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11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E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11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E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11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E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11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T279" s="4"/>
    </row>
    <row r="280" ht="15.75" customHeight="1">
      <c r="T280" s="4"/>
    </row>
    <row r="281" ht="15.75" customHeight="1">
      <c r="T281" s="4"/>
    </row>
    <row r="282" ht="15.75" customHeight="1">
      <c r="T282" s="4"/>
    </row>
    <row r="283" ht="15.75" customHeight="1">
      <c r="T283" s="4"/>
    </row>
    <row r="284" ht="15.75" customHeight="1">
      <c r="T284" s="4"/>
    </row>
    <row r="285" ht="15.75" customHeight="1">
      <c r="T285" s="4"/>
    </row>
    <row r="286" ht="15.75" customHeight="1">
      <c r="T286" s="4"/>
    </row>
    <row r="287" ht="15.75" customHeight="1">
      <c r="T287" s="4"/>
    </row>
    <row r="288" ht="15.75" customHeight="1">
      <c r="T288" s="4"/>
    </row>
    <row r="289" ht="15.75" customHeight="1">
      <c r="T289" s="4"/>
    </row>
    <row r="290" ht="15.75" customHeight="1">
      <c r="T290" s="4"/>
    </row>
    <row r="291" ht="15.75" customHeight="1">
      <c r="T291" s="4"/>
    </row>
    <row r="292" ht="15.75" customHeight="1">
      <c r="T292" s="4"/>
    </row>
    <row r="293" ht="15.75" customHeight="1">
      <c r="T293" s="4"/>
    </row>
    <row r="294" ht="15.75" customHeight="1">
      <c r="T294" s="4"/>
    </row>
    <row r="295" ht="15.75" customHeight="1">
      <c r="T295" s="4"/>
    </row>
    <row r="296" ht="15.75" customHeight="1">
      <c r="T296" s="4"/>
    </row>
    <row r="297" ht="15.75" customHeight="1">
      <c r="T297" s="4"/>
    </row>
    <row r="298" ht="15.75" customHeight="1">
      <c r="T298" s="4"/>
    </row>
    <row r="299" ht="15.75" customHeight="1">
      <c r="T299" s="4"/>
    </row>
    <row r="300" ht="15.75" customHeight="1">
      <c r="T300" s="4"/>
    </row>
    <row r="301" ht="15.75" customHeight="1">
      <c r="T301" s="4"/>
    </row>
    <row r="302" ht="15.75" customHeight="1">
      <c r="T302" s="4"/>
    </row>
    <row r="303" ht="15.75" customHeight="1">
      <c r="T303" s="4"/>
    </row>
    <row r="304" ht="15.75" customHeight="1">
      <c r="T304" s="4"/>
    </row>
    <row r="305" ht="15.75" customHeight="1">
      <c r="T305" s="4"/>
    </row>
    <row r="306" ht="15.75" customHeight="1">
      <c r="T306" s="4"/>
    </row>
    <row r="307" ht="15.75" customHeight="1">
      <c r="T307" s="4"/>
    </row>
    <row r="308" ht="15.75" customHeight="1">
      <c r="T308" s="4"/>
    </row>
    <row r="309" ht="15.75" customHeight="1">
      <c r="T309" s="4"/>
    </row>
    <row r="310" ht="15.75" customHeight="1">
      <c r="T310" s="4"/>
    </row>
    <row r="311" ht="15.75" customHeight="1">
      <c r="T311" s="4"/>
    </row>
    <row r="312" ht="15.75" customHeight="1">
      <c r="T312" s="4"/>
    </row>
    <row r="313" ht="15.75" customHeight="1">
      <c r="T313" s="4"/>
    </row>
    <row r="314" ht="15.75" customHeight="1">
      <c r="T314" s="4"/>
    </row>
    <row r="315" ht="15.75" customHeight="1">
      <c r="T315" s="4"/>
    </row>
    <row r="316" ht="15.75" customHeight="1">
      <c r="T316" s="4"/>
    </row>
    <row r="317" ht="15.75" customHeight="1">
      <c r="T317" s="4"/>
    </row>
    <row r="318" ht="15.75" customHeight="1">
      <c r="T318" s="4"/>
    </row>
    <row r="319" ht="15.75" customHeight="1">
      <c r="T319" s="4"/>
    </row>
    <row r="320" ht="15.75" customHeight="1">
      <c r="T320" s="4"/>
    </row>
    <row r="321" ht="15.75" customHeight="1">
      <c r="T321" s="4"/>
    </row>
    <row r="322" ht="15.75" customHeight="1">
      <c r="T322" s="4"/>
    </row>
    <row r="323" ht="15.75" customHeight="1">
      <c r="T323" s="4"/>
    </row>
    <row r="324" ht="15.75" customHeight="1">
      <c r="T324" s="4"/>
    </row>
    <row r="325" ht="15.75" customHeight="1">
      <c r="T325" s="4"/>
    </row>
    <row r="326" ht="15.75" customHeight="1">
      <c r="T326" s="4"/>
    </row>
    <row r="327" ht="15.75" customHeight="1">
      <c r="T327" s="4"/>
    </row>
    <row r="328" ht="15.75" customHeight="1">
      <c r="T328" s="4"/>
    </row>
    <row r="329" ht="15.75" customHeight="1">
      <c r="T329" s="4"/>
    </row>
    <row r="330" ht="15.75" customHeight="1">
      <c r="T330" s="4"/>
    </row>
    <row r="331" ht="15.75" customHeight="1">
      <c r="T331" s="4"/>
    </row>
    <row r="332" ht="15.75" customHeight="1">
      <c r="T332" s="4"/>
    </row>
    <row r="333" ht="15.75" customHeight="1">
      <c r="T333" s="4"/>
    </row>
    <row r="334" ht="15.75" customHeight="1">
      <c r="T334" s="4"/>
    </row>
    <row r="335" ht="15.75" customHeight="1">
      <c r="T335" s="4"/>
    </row>
    <row r="336" ht="15.75" customHeight="1">
      <c r="T336" s="4"/>
    </row>
    <row r="337" ht="15.75" customHeight="1">
      <c r="T337" s="4"/>
    </row>
    <row r="338" ht="15.75" customHeight="1">
      <c r="T338" s="4"/>
    </row>
    <row r="339" ht="15.75" customHeight="1">
      <c r="T339" s="4"/>
    </row>
    <row r="340" ht="15.75" customHeight="1">
      <c r="T340" s="4"/>
    </row>
    <row r="341" ht="15.75" customHeight="1">
      <c r="T341" s="4"/>
    </row>
    <row r="342" ht="15.75" customHeight="1">
      <c r="T342" s="4"/>
    </row>
    <row r="343" ht="15.75" customHeight="1">
      <c r="T343" s="4"/>
    </row>
    <row r="344" ht="15.75" customHeight="1">
      <c r="T344" s="4"/>
    </row>
    <row r="345" ht="15.75" customHeight="1">
      <c r="T345" s="4"/>
    </row>
    <row r="346" ht="15.75" customHeight="1">
      <c r="T346" s="4"/>
    </row>
    <row r="347" ht="15.75" customHeight="1">
      <c r="T347" s="4"/>
    </row>
    <row r="348" ht="15.75" customHeight="1">
      <c r="T348" s="4"/>
    </row>
    <row r="349" ht="15.75" customHeight="1">
      <c r="T349" s="4"/>
    </row>
    <row r="350" ht="15.75" customHeight="1">
      <c r="T350" s="4"/>
    </row>
    <row r="351" ht="15.75" customHeight="1">
      <c r="T351" s="4"/>
    </row>
    <row r="352" ht="15.75" customHeight="1">
      <c r="T352" s="4"/>
    </row>
    <row r="353" ht="15.75" customHeight="1">
      <c r="T353" s="4"/>
    </row>
    <row r="354" ht="15.75" customHeight="1">
      <c r="T354" s="4"/>
    </row>
    <row r="355" ht="15.75" customHeight="1">
      <c r="T355" s="4"/>
    </row>
    <row r="356" ht="15.75" customHeight="1">
      <c r="T356" s="4"/>
    </row>
    <row r="357" ht="15.75" customHeight="1">
      <c r="T357" s="4"/>
    </row>
    <row r="358" ht="15.75" customHeight="1">
      <c r="T358" s="4"/>
    </row>
    <row r="359" ht="15.75" customHeight="1">
      <c r="T359" s="4"/>
    </row>
    <row r="360" ht="15.75" customHeight="1">
      <c r="T360" s="4"/>
    </row>
    <row r="361" ht="15.75" customHeight="1">
      <c r="T361" s="4"/>
    </row>
    <row r="362" ht="15.75" customHeight="1">
      <c r="T362" s="4"/>
    </row>
    <row r="363" ht="15.75" customHeight="1">
      <c r="T363" s="4"/>
    </row>
    <row r="364" ht="15.75" customHeight="1">
      <c r="T364" s="4"/>
    </row>
    <row r="365" ht="15.75" customHeight="1">
      <c r="T365" s="4"/>
    </row>
    <row r="366" ht="15.75" customHeight="1">
      <c r="T366" s="4"/>
    </row>
    <row r="367" ht="15.75" customHeight="1">
      <c r="T367" s="4"/>
    </row>
    <row r="368" ht="15.75" customHeight="1">
      <c r="T368" s="4"/>
    </row>
    <row r="369" ht="15.75" customHeight="1">
      <c r="T369" s="4"/>
    </row>
    <row r="370" ht="15.75" customHeight="1">
      <c r="T370" s="4"/>
    </row>
    <row r="371" ht="15.75" customHeight="1">
      <c r="T371" s="4"/>
    </row>
    <row r="372" ht="15.75" customHeight="1">
      <c r="T372" s="4"/>
    </row>
    <row r="373" ht="15.75" customHeight="1">
      <c r="T373" s="4"/>
    </row>
    <row r="374" ht="15.75" customHeight="1">
      <c r="T374" s="4"/>
    </row>
    <row r="375" ht="15.75" customHeight="1">
      <c r="T375" s="4"/>
    </row>
    <row r="376" ht="15.75" customHeight="1">
      <c r="T376" s="4"/>
    </row>
    <row r="377" ht="15.75" customHeight="1">
      <c r="T377" s="4"/>
    </row>
    <row r="378" ht="15.75" customHeight="1">
      <c r="T378" s="4"/>
    </row>
    <row r="379" ht="15.75" customHeight="1">
      <c r="T379" s="4"/>
    </row>
    <row r="380" ht="15.75" customHeight="1">
      <c r="T380" s="4"/>
    </row>
    <row r="381" ht="15.75" customHeight="1">
      <c r="T381" s="4"/>
    </row>
    <row r="382" ht="15.75" customHeight="1">
      <c r="T382" s="4"/>
    </row>
    <row r="383" ht="15.75" customHeight="1">
      <c r="T383" s="4"/>
    </row>
    <row r="384" ht="15.75" customHeight="1">
      <c r="T384" s="4"/>
    </row>
    <row r="385" ht="15.75" customHeight="1">
      <c r="T385" s="4"/>
    </row>
    <row r="386" ht="15.75" customHeight="1">
      <c r="T386" s="4"/>
    </row>
    <row r="387" ht="15.75" customHeight="1">
      <c r="T387" s="4"/>
    </row>
    <row r="388" ht="15.75" customHeight="1">
      <c r="T388" s="4"/>
    </row>
    <row r="389" ht="15.75" customHeight="1">
      <c r="T389" s="4"/>
    </row>
    <row r="390" ht="15.75" customHeight="1">
      <c r="T390" s="4"/>
    </row>
    <row r="391" ht="15.75" customHeight="1">
      <c r="T391" s="4"/>
    </row>
    <row r="392" ht="15.75" customHeight="1">
      <c r="T392" s="4"/>
    </row>
    <row r="393" ht="15.75" customHeight="1">
      <c r="T393" s="4"/>
    </row>
    <row r="394" ht="15.75" customHeight="1">
      <c r="T394" s="4"/>
    </row>
    <row r="395" ht="15.75" customHeight="1">
      <c r="T395" s="4"/>
    </row>
    <row r="396" ht="15.75" customHeight="1">
      <c r="T396" s="4"/>
    </row>
    <row r="397" ht="15.75" customHeight="1">
      <c r="T397" s="4"/>
    </row>
    <row r="398" ht="15.75" customHeight="1">
      <c r="T398" s="4"/>
    </row>
    <row r="399" ht="15.75" customHeight="1">
      <c r="T399" s="4"/>
    </row>
    <row r="400" ht="15.75" customHeight="1">
      <c r="T400" s="4"/>
    </row>
    <row r="401" ht="15.75" customHeight="1">
      <c r="T401" s="4"/>
    </row>
    <row r="402" ht="15.75" customHeight="1">
      <c r="T402" s="4"/>
    </row>
    <row r="403" ht="15.75" customHeight="1">
      <c r="T403" s="4"/>
    </row>
    <row r="404" ht="15.75" customHeight="1">
      <c r="T404" s="4"/>
    </row>
    <row r="405" ht="15.75" customHeight="1">
      <c r="T405" s="4"/>
    </row>
    <row r="406" ht="15.75" customHeight="1">
      <c r="T406" s="4"/>
    </row>
    <row r="407" ht="15.75" customHeight="1">
      <c r="T407" s="4"/>
    </row>
    <row r="408" ht="15.75" customHeight="1">
      <c r="T408" s="4"/>
    </row>
    <row r="409" ht="15.75" customHeight="1">
      <c r="T409" s="4"/>
    </row>
    <row r="410" ht="15.75" customHeight="1">
      <c r="T410" s="4"/>
    </row>
    <row r="411" ht="15.75" customHeight="1">
      <c r="T411" s="4"/>
    </row>
    <row r="412" ht="15.75" customHeight="1">
      <c r="T412" s="4"/>
    </row>
    <row r="413" ht="15.75" customHeight="1">
      <c r="T413" s="4"/>
    </row>
    <row r="414" ht="15.75" customHeight="1">
      <c r="T414" s="4"/>
    </row>
    <row r="415" ht="15.75" customHeight="1">
      <c r="T415" s="4"/>
    </row>
    <row r="416" ht="15.75" customHeight="1">
      <c r="T416" s="4"/>
    </row>
    <row r="417" ht="15.75" customHeight="1">
      <c r="T417" s="4"/>
    </row>
    <row r="418" ht="15.75" customHeight="1">
      <c r="T418" s="4"/>
    </row>
    <row r="419" ht="15.75" customHeight="1">
      <c r="T419" s="4"/>
    </row>
    <row r="420" ht="15.75" customHeight="1">
      <c r="T420" s="4"/>
    </row>
    <row r="421" ht="15.75" customHeight="1">
      <c r="T421" s="4"/>
    </row>
    <row r="422" ht="15.75" customHeight="1">
      <c r="T422" s="4"/>
    </row>
    <row r="423" ht="15.75" customHeight="1">
      <c r="T423" s="4"/>
    </row>
    <row r="424" ht="15.75" customHeight="1">
      <c r="T424" s="4"/>
    </row>
    <row r="425" ht="15.75" customHeight="1">
      <c r="T425" s="4"/>
    </row>
    <row r="426" ht="15.75" customHeight="1">
      <c r="T426" s="4"/>
    </row>
    <row r="427" ht="15.75" customHeight="1">
      <c r="T427" s="4"/>
    </row>
    <row r="428" ht="15.75" customHeight="1">
      <c r="T428" s="4"/>
    </row>
    <row r="429" ht="15.75" customHeight="1">
      <c r="T429" s="4"/>
    </row>
    <row r="430" ht="15.75" customHeight="1">
      <c r="T430" s="4"/>
    </row>
    <row r="431" ht="15.75" customHeight="1">
      <c r="T431" s="4"/>
    </row>
    <row r="432" ht="15.75" customHeight="1">
      <c r="T432" s="4"/>
    </row>
    <row r="433" ht="15.75" customHeight="1">
      <c r="T433" s="4"/>
    </row>
    <row r="434" ht="15.75" customHeight="1">
      <c r="T434" s="4"/>
    </row>
    <row r="435" ht="15.75" customHeight="1">
      <c r="T435" s="4"/>
    </row>
    <row r="436" ht="15.75" customHeight="1">
      <c r="T436" s="4"/>
    </row>
    <row r="437" ht="15.75" customHeight="1">
      <c r="T437" s="4"/>
    </row>
    <row r="438" ht="15.75" customHeight="1">
      <c r="T438" s="4"/>
    </row>
    <row r="439" ht="15.75" customHeight="1">
      <c r="T439" s="4"/>
    </row>
    <row r="440" ht="15.75" customHeight="1">
      <c r="T440" s="4"/>
    </row>
    <row r="441" ht="15.75" customHeight="1">
      <c r="T441" s="4"/>
    </row>
    <row r="442" ht="15.75" customHeight="1">
      <c r="T442" s="4"/>
    </row>
    <row r="443" ht="15.75" customHeight="1">
      <c r="T443" s="4"/>
    </row>
    <row r="444" ht="15.75" customHeight="1">
      <c r="T444" s="4"/>
    </row>
    <row r="445" ht="15.75" customHeight="1">
      <c r="T445" s="4"/>
    </row>
    <row r="446" ht="15.75" customHeight="1">
      <c r="T446" s="4"/>
    </row>
    <row r="447" ht="15.75" customHeight="1">
      <c r="T447" s="4"/>
    </row>
    <row r="448" ht="15.75" customHeight="1">
      <c r="T448" s="4"/>
    </row>
    <row r="449" ht="15.75" customHeight="1">
      <c r="T449" s="4"/>
    </row>
    <row r="450" ht="15.75" customHeight="1">
      <c r="T450" s="4"/>
    </row>
    <row r="451" ht="15.75" customHeight="1">
      <c r="T451" s="4"/>
    </row>
    <row r="452" ht="15.75" customHeight="1">
      <c r="T452" s="4"/>
    </row>
    <row r="453" ht="15.75" customHeight="1">
      <c r="T453" s="4"/>
    </row>
    <row r="454" ht="15.75" customHeight="1">
      <c r="T454" s="4"/>
    </row>
    <row r="455" ht="15.75" customHeight="1">
      <c r="T455" s="4"/>
    </row>
    <row r="456" ht="15.75" customHeight="1">
      <c r="T456" s="4"/>
    </row>
    <row r="457" ht="15.75" customHeight="1">
      <c r="T457" s="4"/>
    </row>
    <row r="458" ht="15.75" customHeight="1">
      <c r="T458" s="4"/>
    </row>
    <row r="459" ht="15.75" customHeight="1">
      <c r="T459" s="4"/>
    </row>
    <row r="460" ht="15.75" customHeight="1">
      <c r="T460" s="4"/>
    </row>
    <row r="461" ht="15.75" customHeight="1">
      <c r="T461" s="4"/>
    </row>
    <row r="462" ht="15.75" customHeight="1">
      <c r="T462" s="4"/>
    </row>
    <row r="463" ht="15.75" customHeight="1">
      <c r="T463" s="4"/>
    </row>
    <row r="464" ht="15.75" customHeight="1">
      <c r="T464" s="4"/>
    </row>
    <row r="465" ht="15.75" customHeight="1">
      <c r="T465" s="4"/>
    </row>
    <row r="466" ht="15.75" customHeight="1">
      <c r="T466" s="4"/>
    </row>
    <row r="467" ht="15.75" customHeight="1">
      <c r="T467" s="4"/>
    </row>
    <row r="468" ht="15.75" customHeight="1">
      <c r="T468" s="4"/>
    </row>
    <row r="469" ht="15.75" customHeight="1">
      <c r="T469" s="4"/>
    </row>
    <row r="470" ht="15.75" customHeight="1">
      <c r="T470" s="4"/>
    </row>
    <row r="471" ht="15.75" customHeight="1">
      <c r="T471" s="4"/>
    </row>
    <row r="472" ht="15.75" customHeight="1">
      <c r="T472" s="4"/>
    </row>
    <row r="473" ht="15.75" customHeight="1">
      <c r="T473" s="4"/>
    </row>
    <row r="474" ht="15.75" customHeight="1">
      <c r="T474" s="4"/>
    </row>
    <row r="475" ht="15.75" customHeight="1">
      <c r="T475" s="4"/>
    </row>
    <row r="476" ht="15.75" customHeight="1">
      <c r="T476" s="4"/>
    </row>
    <row r="477" ht="15.75" customHeight="1">
      <c r="T477" s="4"/>
    </row>
    <row r="478" ht="15.75" customHeight="1">
      <c r="T478" s="4"/>
    </row>
    <row r="479" ht="15.75" customHeight="1">
      <c r="T479" s="4"/>
    </row>
    <row r="480" ht="15.75" customHeight="1">
      <c r="T480" s="4"/>
    </row>
    <row r="481" ht="15.75" customHeight="1">
      <c r="T481" s="4"/>
    </row>
    <row r="482" ht="15.75" customHeight="1">
      <c r="T482" s="4"/>
    </row>
    <row r="483" ht="15.75" customHeight="1">
      <c r="T483" s="4"/>
    </row>
    <row r="484" ht="15.75" customHeight="1">
      <c r="T484" s="4"/>
    </row>
    <row r="485" ht="15.75" customHeight="1">
      <c r="T485" s="4"/>
    </row>
    <row r="486" ht="15.75" customHeight="1">
      <c r="T486" s="4"/>
    </row>
    <row r="487" ht="15.75" customHeight="1">
      <c r="T487" s="4"/>
    </row>
    <row r="488" ht="15.75" customHeight="1">
      <c r="T488" s="4"/>
    </row>
    <row r="489" ht="15.75" customHeight="1">
      <c r="T489" s="4"/>
    </row>
    <row r="490" ht="15.75" customHeight="1">
      <c r="T490" s="4"/>
    </row>
    <row r="491" ht="15.75" customHeight="1">
      <c r="T491" s="4"/>
    </row>
    <row r="492" ht="15.75" customHeight="1">
      <c r="T492" s="4"/>
    </row>
    <row r="493" ht="15.75" customHeight="1">
      <c r="T493" s="4"/>
    </row>
    <row r="494" ht="15.75" customHeight="1">
      <c r="T494" s="4"/>
    </row>
    <row r="495" ht="15.75" customHeight="1">
      <c r="T495" s="4"/>
    </row>
    <row r="496" ht="15.75" customHeight="1">
      <c r="T496" s="4"/>
    </row>
    <row r="497" ht="15.75" customHeight="1">
      <c r="T497" s="4"/>
    </row>
    <row r="498" ht="15.75" customHeight="1">
      <c r="T498" s="4"/>
    </row>
    <row r="499" ht="15.75" customHeight="1">
      <c r="T499" s="4"/>
    </row>
    <row r="500" ht="15.75" customHeight="1">
      <c r="T500" s="4"/>
    </row>
    <row r="501" ht="15.75" customHeight="1">
      <c r="T501" s="4"/>
    </row>
    <row r="502" ht="15.75" customHeight="1">
      <c r="T502" s="4"/>
    </row>
    <row r="503" ht="15.75" customHeight="1">
      <c r="T503" s="4"/>
    </row>
    <row r="504" ht="15.75" customHeight="1">
      <c r="T504" s="4"/>
    </row>
    <row r="505" ht="15.75" customHeight="1">
      <c r="T505" s="4"/>
    </row>
    <row r="506" ht="15.75" customHeight="1">
      <c r="T506" s="4"/>
    </row>
    <row r="507" ht="15.75" customHeight="1">
      <c r="T507" s="4"/>
    </row>
    <row r="508" ht="15.75" customHeight="1">
      <c r="T508" s="4"/>
    </row>
    <row r="509" ht="15.75" customHeight="1">
      <c r="T509" s="4"/>
    </row>
    <row r="510" ht="15.75" customHeight="1">
      <c r="T510" s="4"/>
    </row>
    <row r="511" ht="15.75" customHeight="1">
      <c r="T511" s="4"/>
    </row>
    <row r="512" ht="15.75" customHeight="1">
      <c r="T512" s="4"/>
    </row>
    <row r="513" ht="15.75" customHeight="1">
      <c r="T513" s="4"/>
    </row>
    <row r="514" ht="15.75" customHeight="1">
      <c r="T514" s="4"/>
    </row>
    <row r="515" ht="15.75" customHeight="1">
      <c r="T515" s="4"/>
    </row>
    <row r="516" ht="15.75" customHeight="1">
      <c r="T516" s="4"/>
    </row>
    <row r="517" ht="15.75" customHeight="1">
      <c r="T517" s="4"/>
    </row>
    <row r="518" ht="15.75" customHeight="1">
      <c r="T518" s="4"/>
    </row>
    <row r="519" ht="15.75" customHeight="1">
      <c r="T519" s="4"/>
    </row>
    <row r="520" ht="15.75" customHeight="1">
      <c r="T520" s="4"/>
    </row>
    <row r="521" ht="15.75" customHeight="1">
      <c r="T521" s="4"/>
    </row>
    <row r="522" ht="15.75" customHeight="1">
      <c r="T522" s="4"/>
    </row>
    <row r="523" ht="15.75" customHeight="1">
      <c r="T523" s="4"/>
    </row>
    <row r="524" ht="15.75" customHeight="1">
      <c r="T524" s="4"/>
    </row>
    <row r="525" ht="15.75" customHeight="1">
      <c r="T525" s="4"/>
    </row>
    <row r="526" ht="15.75" customHeight="1">
      <c r="T526" s="4"/>
    </row>
    <row r="527" ht="15.75" customHeight="1">
      <c r="T527" s="4"/>
    </row>
    <row r="528" ht="15.75" customHeight="1">
      <c r="T528" s="4"/>
    </row>
    <row r="529" ht="15.75" customHeight="1">
      <c r="T529" s="4"/>
    </row>
    <row r="530" ht="15.75" customHeight="1">
      <c r="T530" s="4"/>
    </row>
    <row r="531" ht="15.75" customHeight="1">
      <c r="T531" s="4"/>
    </row>
    <row r="532" ht="15.75" customHeight="1">
      <c r="T532" s="4"/>
    </row>
    <row r="533" ht="15.75" customHeight="1">
      <c r="T533" s="4"/>
    </row>
    <row r="534" ht="15.75" customHeight="1">
      <c r="T534" s="4"/>
    </row>
    <row r="535" ht="15.75" customHeight="1">
      <c r="T535" s="4"/>
    </row>
    <row r="536" ht="15.75" customHeight="1">
      <c r="T536" s="4"/>
    </row>
    <row r="537" ht="15.75" customHeight="1">
      <c r="T537" s="4"/>
    </row>
    <row r="538" ht="15.75" customHeight="1">
      <c r="T538" s="4"/>
    </row>
    <row r="539" ht="15.75" customHeight="1">
      <c r="T539" s="4"/>
    </row>
    <row r="540" ht="15.75" customHeight="1">
      <c r="T540" s="4"/>
    </row>
    <row r="541" ht="15.75" customHeight="1">
      <c r="T541" s="4"/>
    </row>
    <row r="542" ht="15.75" customHeight="1">
      <c r="T542" s="4"/>
    </row>
    <row r="543" ht="15.75" customHeight="1">
      <c r="T543" s="4"/>
    </row>
    <row r="544" ht="15.75" customHeight="1">
      <c r="T544" s="4"/>
    </row>
    <row r="545" ht="15.75" customHeight="1">
      <c r="T545" s="4"/>
    </row>
    <row r="546" ht="15.75" customHeight="1">
      <c r="T546" s="4"/>
    </row>
    <row r="547" ht="15.75" customHeight="1">
      <c r="T547" s="4"/>
    </row>
    <row r="548" ht="15.75" customHeight="1">
      <c r="T548" s="4"/>
    </row>
    <row r="549" ht="15.75" customHeight="1">
      <c r="T549" s="4"/>
    </row>
    <row r="550" ht="15.75" customHeight="1">
      <c r="T550" s="4"/>
    </row>
    <row r="551" ht="15.75" customHeight="1">
      <c r="T551" s="4"/>
    </row>
    <row r="552" ht="15.75" customHeight="1">
      <c r="T552" s="4"/>
    </row>
    <row r="553" ht="15.75" customHeight="1">
      <c r="T553" s="4"/>
    </row>
    <row r="554" ht="15.75" customHeight="1">
      <c r="T554" s="4"/>
    </row>
    <row r="555" ht="15.75" customHeight="1">
      <c r="T555" s="4"/>
    </row>
    <row r="556" ht="15.75" customHeight="1">
      <c r="T556" s="4"/>
    </row>
    <row r="557" ht="15.75" customHeight="1">
      <c r="T557" s="4"/>
    </row>
    <row r="558" ht="15.75" customHeight="1">
      <c r="T558" s="4"/>
    </row>
    <row r="559" ht="15.75" customHeight="1">
      <c r="T559" s="4"/>
    </row>
    <row r="560" ht="15.75" customHeight="1">
      <c r="T560" s="4"/>
    </row>
    <row r="561" ht="15.75" customHeight="1">
      <c r="T561" s="4"/>
    </row>
    <row r="562" ht="15.75" customHeight="1">
      <c r="T562" s="4"/>
    </row>
    <row r="563" ht="15.75" customHeight="1">
      <c r="T563" s="4"/>
    </row>
    <row r="564" ht="15.75" customHeight="1">
      <c r="T564" s="4"/>
    </row>
    <row r="565" ht="15.75" customHeight="1">
      <c r="T565" s="4"/>
    </row>
    <row r="566" ht="15.75" customHeight="1">
      <c r="T566" s="4"/>
    </row>
    <row r="567" ht="15.75" customHeight="1">
      <c r="T567" s="4"/>
    </row>
    <row r="568" ht="15.75" customHeight="1">
      <c r="T568" s="4"/>
    </row>
    <row r="569" ht="15.75" customHeight="1">
      <c r="T569" s="4"/>
    </row>
    <row r="570" ht="15.75" customHeight="1">
      <c r="T570" s="4"/>
    </row>
    <row r="571" ht="15.75" customHeight="1">
      <c r="T571" s="4"/>
    </row>
    <row r="572" ht="15.75" customHeight="1">
      <c r="T572" s="4"/>
    </row>
    <row r="573" ht="15.75" customHeight="1">
      <c r="T573" s="4"/>
    </row>
    <row r="574" ht="15.75" customHeight="1">
      <c r="T574" s="4"/>
    </row>
    <row r="575" ht="15.75" customHeight="1">
      <c r="T575" s="4"/>
    </row>
    <row r="576" ht="15.75" customHeight="1">
      <c r="T576" s="4"/>
    </row>
    <row r="577" ht="15.75" customHeight="1">
      <c r="T577" s="4"/>
    </row>
    <row r="578" ht="15.75" customHeight="1">
      <c r="T578" s="4"/>
    </row>
    <row r="579" ht="15.75" customHeight="1">
      <c r="T579" s="4"/>
    </row>
    <row r="580" ht="15.75" customHeight="1">
      <c r="T580" s="4"/>
    </row>
    <row r="581" ht="15.75" customHeight="1">
      <c r="T581" s="4"/>
    </row>
    <row r="582" ht="15.75" customHeight="1">
      <c r="T582" s="4"/>
    </row>
    <row r="583" ht="15.75" customHeight="1">
      <c r="T583" s="4"/>
    </row>
    <row r="584" ht="15.75" customHeight="1">
      <c r="T584" s="4"/>
    </row>
    <row r="585" ht="15.75" customHeight="1">
      <c r="T585" s="4"/>
    </row>
    <row r="586" ht="15.75" customHeight="1">
      <c r="T586" s="4"/>
    </row>
    <row r="587" ht="15.75" customHeight="1">
      <c r="T587" s="4"/>
    </row>
    <row r="588" ht="15.75" customHeight="1">
      <c r="T588" s="4"/>
    </row>
    <row r="589" ht="15.75" customHeight="1">
      <c r="T589" s="4"/>
    </row>
    <row r="590" ht="15.75" customHeight="1">
      <c r="T590" s="4"/>
    </row>
    <row r="591" ht="15.75" customHeight="1">
      <c r="T591" s="4"/>
    </row>
    <row r="592" ht="15.75" customHeight="1">
      <c r="T592" s="4"/>
    </row>
    <row r="593" ht="15.75" customHeight="1">
      <c r="T593" s="4"/>
    </row>
    <row r="594" ht="15.75" customHeight="1">
      <c r="T594" s="4"/>
    </row>
    <row r="595" ht="15.75" customHeight="1">
      <c r="T595" s="4"/>
    </row>
    <row r="596" ht="15.75" customHeight="1">
      <c r="T596" s="4"/>
    </row>
    <row r="597" ht="15.75" customHeight="1">
      <c r="T597" s="4"/>
    </row>
    <row r="598" ht="15.75" customHeight="1">
      <c r="T598" s="4"/>
    </row>
    <row r="599" ht="15.75" customHeight="1">
      <c r="T599" s="4"/>
    </row>
    <row r="600" ht="15.75" customHeight="1">
      <c r="T600" s="4"/>
    </row>
    <row r="601" ht="15.75" customHeight="1">
      <c r="T601" s="4"/>
    </row>
    <row r="602" ht="15.75" customHeight="1">
      <c r="T602" s="4"/>
    </row>
    <row r="603" ht="15.75" customHeight="1">
      <c r="T603" s="4"/>
    </row>
    <row r="604" ht="15.75" customHeight="1">
      <c r="T604" s="4"/>
    </row>
    <row r="605" ht="15.75" customHeight="1">
      <c r="T605" s="4"/>
    </row>
    <row r="606" ht="15.75" customHeight="1">
      <c r="T606" s="4"/>
    </row>
    <row r="607" ht="15.75" customHeight="1">
      <c r="T607" s="4"/>
    </row>
    <row r="608" ht="15.75" customHeight="1">
      <c r="T608" s="4"/>
    </row>
    <row r="609" ht="15.75" customHeight="1">
      <c r="T609" s="4"/>
    </row>
    <row r="610" ht="15.75" customHeight="1">
      <c r="T610" s="4"/>
    </row>
    <row r="611" ht="15.75" customHeight="1">
      <c r="T611" s="4"/>
    </row>
    <row r="612" ht="15.75" customHeight="1">
      <c r="T612" s="4"/>
    </row>
    <row r="613" ht="15.75" customHeight="1">
      <c r="T613" s="4"/>
    </row>
    <row r="614" ht="15.75" customHeight="1">
      <c r="T614" s="4"/>
    </row>
    <row r="615" ht="15.75" customHeight="1">
      <c r="T615" s="4"/>
    </row>
    <row r="616" ht="15.75" customHeight="1">
      <c r="T616" s="4"/>
    </row>
    <row r="617" ht="15.75" customHeight="1">
      <c r="T617" s="4"/>
    </row>
    <row r="618" ht="15.75" customHeight="1">
      <c r="T618" s="4"/>
    </row>
    <row r="619" ht="15.75" customHeight="1">
      <c r="T619" s="4"/>
    </row>
    <row r="620" ht="15.75" customHeight="1">
      <c r="T620" s="4"/>
    </row>
    <row r="621" ht="15.75" customHeight="1">
      <c r="T621" s="4"/>
    </row>
    <row r="622" ht="15.75" customHeight="1">
      <c r="T622" s="4"/>
    </row>
    <row r="623" ht="15.75" customHeight="1">
      <c r="T623" s="4"/>
    </row>
    <row r="624" ht="15.75" customHeight="1">
      <c r="T624" s="4"/>
    </row>
    <row r="625" ht="15.75" customHeight="1">
      <c r="T625" s="4"/>
    </row>
    <row r="626" ht="15.75" customHeight="1">
      <c r="T626" s="4"/>
    </row>
    <row r="627" ht="15.75" customHeight="1">
      <c r="T627" s="4"/>
    </row>
    <row r="628" ht="15.75" customHeight="1">
      <c r="T628" s="4"/>
    </row>
    <row r="629" ht="15.75" customHeight="1">
      <c r="T629" s="4"/>
    </row>
    <row r="630" ht="15.75" customHeight="1">
      <c r="T630" s="4"/>
    </row>
    <row r="631" ht="15.75" customHeight="1">
      <c r="T631" s="4"/>
    </row>
    <row r="632" ht="15.75" customHeight="1">
      <c r="T632" s="4"/>
    </row>
    <row r="633" ht="15.75" customHeight="1">
      <c r="T633" s="4"/>
    </row>
    <row r="634" ht="15.75" customHeight="1">
      <c r="T634" s="4"/>
    </row>
    <row r="635" ht="15.75" customHeight="1">
      <c r="T635" s="4"/>
    </row>
    <row r="636" ht="15.75" customHeight="1">
      <c r="T636" s="4"/>
    </row>
    <row r="637" ht="15.75" customHeight="1">
      <c r="T637" s="4"/>
    </row>
    <row r="638" ht="15.75" customHeight="1">
      <c r="T638" s="4"/>
    </row>
    <row r="639" ht="15.75" customHeight="1">
      <c r="T639" s="4"/>
    </row>
    <row r="640" ht="15.75" customHeight="1">
      <c r="T640" s="4"/>
    </row>
    <row r="641" ht="15.75" customHeight="1">
      <c r="T641" s="4"/>
    </row>
    <row r="642" ht="15.75" customHeight="1">
      <c r="T642" s="4"/>
    </row>
    <row r="643" ht="15.75" customHeight="1">
      <c r="T643" s="4"/>
    </row>
    <row r="644" ht="15.75" customHeight="1">
      <c r="T644" s="4"/>
    </row>
    <row r="645" ht="15.75" customHeight="1">
      <c r="T645" s="4"/>
    </row>
    <row r="646" ht="15.75" customHeight="1">
      <c r="T646" s="4"/>
    </row>
    <row r="647" ht="15.75" customHeight="1">
      <c r="T647" s="4"/>
    </row>
    <row r="648" ht="15.75" customHeight="1">
      <c r="T648" s="4"/>
    </row>
    <row r="649" ht="15.75" customHeight="1">
      <c r="T649" s="4"/>
    </row>
    <row r="650" ht="15.75" customHeight="1">
      <c r="T650" s="4"/>
    </row>
    <row r="651" ht="15.75" customHeight="1">
      <c r="T651" s="4"/>
    </row>
    <row r="652" ht="15.75" customHeight="1">
      <c r="T652" s="4"/>
    </row>
    <row r="653" ht="15.75" customHeight="1">
      <c r="T653" s="4"/>
    </row>
    <row r="654" ht="15.75" customHeight="1">
      <c r="T654" s="4"/>
    </row>
    <row r="655" ht="15.75" customHeight="1">
      <c r="T655" s="4"/>
    </row>
    <row r="656" ht="15.75" customHeight="1">
      <c r="T656" s="4"/>
    </row>
    <row r="657" ht="15.75" customHeight="1">
      <c r="T657" s="4"/>
    </row>
    <row r="658" ht="15.75" customHeight="1">
      <c r="T658" s="4"/>
    </row>
    <row r="659" ht="15.75" customHeight="1">
      <c r="T659" s="4"/>
    </row>
    <row r="660" ht="15.75" customHeight="1">
      <c r="T660" s="4"/>
    </row>
    <row r="661" ht="15.75" customHeight="1">
      <c r="T661" s="4"/>
    </row>
    <row r="662" ht="15.75" customHeight="1">
      <c r="T662" s="4"/>
    </row>
    <row r="663" ht="15.75" customHeight="1">
      <c r="T663" s="4"/>
    </row>
    <row r="664" ht="15.75" customHeight="1">
      <c r="T664" s="4"/>
    </row>
    <row r="665" ht="15.75" customHeight="1">
      <c r="T665" s="4"/>
    </row>
    <row r="666" ht="15.75" customHeight="1">
      <c r="T666" s="4"/>
    </row>
    <row r="667" ht="15.75" customHeight="1">
      <c r="T667" s="4"/>
    </row>
    <row r="668" ht="15.75" customHeight="1">
      <c r="T668" s="4"/>
    </row>
    <row r="669" ht="15.75" customHeight="1">
      <c r="T669" s="4"/>
    </row>
    <row r="670" ht="15.75" customHeight="1">
      <c r="T670" s="4"/>
    </row>
    <row r="671" ht="15.75" customHeight="1">
      <c r="T671" s="4"/>
    </row>
    <row r="672" ht="15.75" customHeight="1">
      <c r="T672" s="4"/>
    </row>
    <row r="673" ht="15.75" customHeight="1">
      <c r="T673" s="4"/>
    </row>
    <row r="674" ht="15.75" customHeight="1">
      <c r="T674" s="4"/>
    </row>
    <row r="675" ht="15.75" customHeight="1">
      <c r="T675" s="4"/>
    </row>
    <row r="676" ht="15.75" customHeight="1">
      <c r="T676" s="4"/>
    </row>
    <row r="677" ht="15.75" customHeight="1">
      <c r="T677" s="4"/>
    </row>
    <row r="678" ht="15.75" customHeight="1">
      <c r="T678" s="4"/>
    </row>
    <row r="679" ht="15.75" customHeight="1">
      <c r="T679" s="4"/>
    </row>
    <row r="680" ht="15.75" customHeight="1">
      <c r="T680" s="4"/>
    </row>
    <row r="681" ht="15.75" customHeight="1">
      <c r="T681" s="4"/>
    </row>
    <row r="682" ht="15.75" customHeight="1">
      <c r="T682" s="4"/>
    </row>
    <row r="683" ht="15.75" customHeight="1">
      <c r="T683" s="4"/>
    </row>
    <row r="684" ht="15.75" customHeight="1">
      <c r="T684" s="4"/>
    </row>
    <row r="685" ht="15.75" customHeight="1">
      <c r="T685" s="4"/>
    </row>
    <row r="686" ht="15.75" customHeight="1">
      <c r="T686" s="4"/>
    </row>
    <row r="687" ht="15.75" customHeight="1">
      <c r="T687" s="4"/>
    </row>
    <row r="688" ht="15.75" customHeight="1">
      <c r="T688" s="4"/>
    </row>
    <row r="689" ht="15.75" customHeight="1">
      <c r="T689" s="4"/>
    </row>
    <row r="690" ht="15.75" customHeight="1">
      <c r="T690" s="4"/>
    </row>
    <row r="691" ht="15.75" customHeight="1">
      <c r="T691" s="4"/>
    </row>
    <row r="692" ht="15.75" customHeight="1">
      <c r="T692" s="4"/>
    </row>
    <row r="693" ht="15.75" customHeight="1">
      <c r="T693" s="4"/>
    </row>
    <row r="694" ht="15.75" customHeight="1">
      <c r="T694" s="4"/>
    </row>
    <row r="695" ht="15.75" customHeight="1">
      <c r="T695" s="4"/>
    </row>
    <row r="696" ht="15.75" customHeight="1">
      <c r="T696" s="4"/>
    </row>
    <row r="697" ht="15.75" customHeight="1">
      <c r="T697" s="4"/>
    </row>
    <row r="698" ht="15.75" customHeight="1">
      <c r="T698" s="4"/>
    </row>
    <row r="699" ht="15.75" customHeight="1">
      <c r="T699" s="4"/>
    </row>
    <row r="700" ht="15.75" customHeight="1">
      <c r="T700" s="4"/>
    </row>
    <row r="701" ht="15.75" customHeight="1">
      <c r="T701" s="4"/>
    </row>
    <row r="702" ht="15.75" customHeight="1">
      <c r="T702" s="4"/>
    </row>
    <row r="703" ht="15.75" customHeight="1">
      <c r="T703" s="4"/>
    </row>
    <row r="704" ht="15.75" customHeight="1">
      <c r="T704" s="4"/>
    </row>
    <row r="705" ht="15.75" customHeight="1">
      <c r="T705" s="4"/>
    </row>
    <row r="706" ht="15.75" customHeight="1">
      <c r="T706" s="4"/>
    </row>
    <row r="707" ht="15.75" customHeight="1">
      <c r="T707" s="4"/>
    </row>
    <row r="708" ht="15.75" customHeight="1">
      <c r="T708" s="4"/>
    </row>
    <row r="709" ht="15.75" customHeight="1">
      <c r="T709" s="4"/>
    </row>
    <row r="710" ht="15.75" customHeight="1">
      <c r="T710" s="4"/>
    </row>
    <row r="711" ht="15.75" customHeight="1">
      <c r="T711" s="4"/>
    </row>
    <row r="712" ht="15.75" customHeight="1">
      <c r="T712" s="4"/>
    </row>
    <row r="713" ht="15.75" customHeight="1">
      <c r="T713" s="4"/>
    </row>
    <row r="714" ht="15.75" customHeight="1">
      <c r="T714" s="4"/>
    </row>
    <row r="715" ht="15.75" customHeight="1">
      <c r="T715" s="4"/>
    </row>
    <row r="716" ht="15.75" customHeight="1">
      <c r="T716" s="4"/>
    </row>
    <row r="717" ht="15.75" customHeight="1">
      <c r="T717" s="4"/>
    </row>
    <row r="718" ht="15.75" customHeight="1">
      <c r="T718" s="4"/>
    </row>
    <row r="719" ht="15.75" customHeight="1">
      <c r="T719" s="4"/>
    </row>
    <row r="720" ht="15.75" customHeight="1">
      <c r="T720" s="4"/>
    </row>
    <row r="721" ht="15.75" customHeight="1">
      <c r="T721" s="4"/>
    </row>
    <row r="722" ht="15.75" customHeight="1">
      <c r="T722" s="4"/>
    </row>
    <row r="723" ht="15.75" customHeight="1">
      <c r="T723" s="4"/>
    </row>
    <row r="724" ht="15.75" customHeight="1">
      <c r="T724" s="4"/>
    </row>
    <row r="725" ht="15.75" customHeight="1">
      <c r="T725" s="4"/>
    </row>
    <row r="726" ht="15.75" customHeight="1">
      <c r="T726" s="4"/>
    </row>
    <row r="727" ht="15.75" customHeight="1">
      <c r="T727" s="4"/>
    </row>
    <row r="728" ht="15.75" customHeight="1">
      <c r="T728" s="4"/>
    </row>
    <row r="729" ht="15.75" customHeight="1">
      <c r="T729" s="4"/>
    </row>
    <row r="730" ht="15.75" customHeight="1">
      <c r="T730" s="4"/>
    </row>
    <row r="731" ht="15.75" customHeight="1">
      <c r="T731" s="4"/>
    </row>
    <row r="732" ht="15.75" customHeight="1">
      <c r="T732" s="4"/>
    </row>
    <row r="733" ht="15.75" customHeight="1">
      <c r="T733" s="4"/>
    </row>
    <row r="734" ht="15.75" customHeight="1">
      <c r="T734" s="4"/>
    </row>
    <row r="735" ht="15.75" customHeight="1">
      <c r="T735" s="4"/>
    </row>
    <row r="736" ht="15.75" customHeight="1">
      <c r="T736" s="4"/>
    </row>
    <row r="737" ht="15.75" customHeight="1">
      <c r="T737" s="4"/>
    </row>
    <row r="738" ht="15.75" customHeight="1">
      <c r="T738" s="4"/>
    </row>
    <row r="739" ht="15.75" customHeight="1">
      <c r="T739" s="4"/>
    </row>
    <row r="740" ht="15.75" customHeight="1">
      <c r="T740" s="4"/>
    </row>
    <row r="741" ht="15.75" customHeight="1">
      <c r="T741" s="4"/>
    </row>
    <row r="742" ht="15.75" customHeight="1">
      <c r="T742" s="4"/>
    </row>
    <row r="743" ht="15.75" customHeight="1">
      <c r="T743" s="4"/>
    </row>
    <row r="744" ht="15.75" customHeight="1">
      <c r="T744" s="4"/>
    </row>
    <row r="745" ht="15.75" customHeight="1">
      <c r="T745" s="4"/>
    </row>
    <row r="746" ht="15.75" customHeight="1">
      <c r="T746" s="4"/>
    </row>
    <row r="747" ht="15.75" customHeight="1">
      <c r="T747" s="4"/>
    </row>
    <row r="748" ht="15.75" customHeight="1">
      <c r="T748" s="4"/>
    </row>
    <row r="749" ht="15.75" customHeight="1">
      <c r="T749" s="4"/>
    </row>
    <row r="750" ht="15.75" customHeight="1">
      <c r="T750" s="4"/>
    </row>
    <row r="751" ht="15.75" customHeight="1">
      <c r="T751" s="4"/>
    </row>
    <row r="752" ht="15.75" customHeight="1">
      <c r="T752" s="4"/>
    </row>
    <row r="753" ht="15.75" customHeight="1">
      <c r="T753" s="4"/>
    </row>
    <row r="754" ht="15.75" customHeight="1">
      <c r="T754" s="4"/>
    </row>
    <row r="755" ht="15.75" customHeight="1">
      <c r="T755" s="4"/>
    </row>
    <row r="756" ht="15.75" customHeight="1">
      <c r="T756" s="4"/>
    </row>
    <row r="757" ht="15.75" customHeight="1">
      <c r="T757" s="4"/>
    </row>
    <row r="758" ht="15.75" customHeight="1">
      <c r="T758" s="4"/>
    </row>
    <row r="759" ht="15.75" customHeight="1">
      <c r="T759" s="4"/>
    </row>
    <row r="760" ht="15.75" customHeight="1">
      <c r="T760" s="4"/>
    </row>
    <row r="761" ht="15.75" customHeight="1">
      <c r="T761" s="4"/>
    </row>
    <row r="762" ht="15.75" customHeight="1">
      <c r="T762" s="4"/>
    </row>
    <row r="763" ht="15.75" customHeight="1">
      <c r="T763" s="4"/>
    </row>
    <row r="764" ht="15.75" customHeight="1">
      <c r="T764" s="4"/>
    </row>
    <row r="765" ht="15.75" customHeight="1">
      <c r="T765" s="4"/>
    </row>
    <row r="766" ht="15.75" customHeight="1">
      <c r="T766" s="4"/>
    </row>
    <row r="767" ht="15.75" customHeight="1">
      <c r="T767" s="4"/>
    </row>
    <row r="768" ht="15.75" customHeight="1">
      <c r="T768" s="4"/>
    </row>
    <row r="769" ht="15.75" customHeight="1">
      <c r="T769" s="4"/>
    </row>
    <row r="770" ht="15.75" customHeight="1">
      <c r="T770" s="4"/>
    </row>
    <row r="771" ht="15.75" customHeight="1">
      <c r="T771" s="4"/>
    </row>
    <row r="772" ht="15.75" customHeight="1">
      <c r="T772" s="4"/>
    </row>
    <row r="773" ht="15.75" customHeight="1">
      <c r="T773" s="4"/>
    </row>
    <row r="774" ht="15.75" customHeight="1">
      <c r="T774" s="4"/>
    </row>
    <row r="775" ht="15.75" customHeight="1">
      <c r="T775" s="4"/>
    </row>
    <row r="776" ht="15.75" customHeight="1">
      <c r="T776" s="4"/>
    </row>
    <row r="777" ht="15.75" customHeight="1">
      <c r="T777" s="4"/>
    </row>
    <row r="778" ht="15.75" customHeight="1">
      <c r="T778" s="4"/>
    </row>
    <row r="779" ht="15.75" customHeight="1">
      <c r="T779" s="4"/>
    </row>
    <row r="780" ht="15.75" customHeight="1">
      <c r="T780" s="4"/>
    </row>
    <row r="781" ht="15.75" customHeight="1">
      <c r="T781" s="4"/>
    </row>
    <row r="782" ht="15.75" customHeight="1">
      <c r="T782" s="4"/>
    </row>
    <row r="783" ht="15.75" customHeight="1">
      <c r="T783" s="4"/>
    </row>
    <row r="784" ht="15.75" customHeight="1">
      <c r="T784" s="4"/>
    </row>
    <row r="785" ht="15.75" customHeight="1">
      <c r="T785" s="4"/>
    </row>
    <row r="786" ht="15.75" customHeight="1">
      <c r="T786" s="4"/>
    </row>
    <row r="787" ht="15.75" customHeight="1">
      <c r="T787" s="4"/>
    </row>
    <row r="788" ht="15.75" customHeight="1">
      <c r="T788" s="4"/>
    </row>
    <row r="789" ht="15.75" customHeight="1">
      <c r="T789" s="4"/>
    </row>
    <row r="790" ht="15.75" customHeight="1">
      <c r="T790" s="4"/>
    </row>
    <row r="791" ht="15.75" customHeight="1">
      <c r="T791" s="4"/>
    </row>
    <row r="792" ht="15.75" customHeight="1">
      <c r="T792" s="4"/>
    </row>
    <row r="793" ht="15.75" customHeight="1">
      <c r="T793" s="4"/>
    </row>
    <row r="794" ht="15.75" customHeight="1">
      <c r="T794" s="4"/>
    </row>
    <row r="795" ht="15.75" customHeight="1">
      <c r="T795" s="4"/>
    </row>
    <row r="796" ht="15.75" customHeight="1">
      <c r="T796" s="4"/>
    </row>
    <row r="797" ht="15.75" customHeight="1">
      <c r="T797" s="4"/>
    </row>
    <row r="798" ht="15.75" customHeight="1">
      <c r="T798" s="4"/>
    </row>
    <row r="799" ht="15.75" customHeight="1">
      <c r="T799" s="4"/>
    </row>
    <row r="800" ht="15.75" customHeight="1">
      <c r="T800" s="4"/>
    </row>
    <row r="801" ht="15.75" customHeight="1">
      <c r="T801" s="4"/>
    </row>
    <row r="802" ht="15.75" customHeight="1">
      <c r="T802" s="4"/>
    </row>
    <row r="803" ht="15.75" customHeight="1">
      <c r="T803" s="4"/>
    </row>
    <row r="804" ht="15.75" customHeight="1">
      <c r="T804" s="4"/>
    </row>
    <row r="805" ht="15.75" customHeight="1">
      <c r="T805" s="4"/>
    </row>
    <row r="806" ht="15.75" customHeight="1">
      <c r="T806" s="4"/>
    </row>
    <row r="807" ht="15.75" customHeight="1">
      <c r="T807" s="4"/>
    </row>
    <row r="808" ht="15.75" customHeight="1">
      <c r="T808" s="4"/>
    </row>
    <row r="809" ht="15.75" customHeight="1">
      <c r="T809" s="4"/>
    </row>
    <row r="810" ht="15.75" customHeight="1">
      <c r="T810" s="4"/>
    </row>
    <row r="811" ht="15.75" customHeight="1">
      <c r="T811" s="4"/>
    </row>
    <row r="812" ht="15.75" customHeight="1">
      <c r="T812" s="4"/>
    </row>
    <row r="813" ht="15.75" customHeight="1">
      <c r="T813" s="4"/>
    </row>
    <row r="814" ht="15.75" customHeight="1">
      <c r="T814" s="4"/>
    </row>
    <row r="815" ht="15.75" customHeight="1">
      <c r="T815" s="4"/>
    </row>
    <row r="816" ht="15.75" customHeight="1">
      <c r="T816" s="4"/>
    </row>
    <row r="817" ht="15.75" customHeight="1">
      <c r="T817" s="4"/>
    </row>
    <row r="818" ht="15.75" customHeight="1">
      <c r="T818" s="4"/>
    </row>
    <row r="819" ht="15.75" customHeight="1">
      <c r="T819" s="4"/>
    </row>
    <row r="820" ht="15.75" customHeight="1">
      <c r="T820" s="4"/>
    </row>
    <row r="821" ht="15.75" customHeight="1">
      <c r="T821" s="4"/>
    </row>
    <row r="822" ht="15.75" customHeight="1">
      <c r="T822" s="4"/>
    </row>
    <row r="823" ht="15.75" customHeight="1">
      <c r="T823" s="4"/>
    </row>
    <row r="824" ht="15.75" customHeight="1">
      <c r="T824" s="4"/>
    </row>
    <row r="825" ht="15.75" customHeight="1">
      <c r="T825" s="4"/>
    </row>
    <row r="826" ht="15.75" customHeight="1">
      <c r="T826" s="4"/>
    </row>
    <row r="827" ht="15.75" customHeight="1">
      <c r="T827" s="4"/>
    </row>
    <row r="828" ht="15.75" customHeight="1">
      <c r="T828" s="4"/>
    </row>
    <row r="829" ht="15.75" customHeight="1">
      <c r="T829" s="4"/>
    </row>
    <row r="830" ht="15.75" customHeight="1">
      <c r="T830" s="4"/>
    </row>
    <row r="831" ht="15.75" customHeight="1">
      <c r="T831" s="4"/>
    </row>
    <row r="832" ht="15.75" customHeight="1">
      <c r="T832" s="4"/>
    </row>
    <row r="833" ht="15.75" customHeight="1">
      <c r="T833" s="4"/>
    </row>
    <row r="834" ht="15.75" customHeight="1">
      <c r="T834" s="4"/>
    </row>
    <row r="835" ht="15.75" customHeight="1">
      <c r="T835" s="4"/>
    </row>
    <row r="836" ht="15.75" customHeight="1">
      <c r="T836" s="4"/>
    </row>
    <row r="837" ht="15.75" customHeight="1">
      <c r="T837" s="4"/>
    </row>
    <row r="838" ht="15.75" customHeight="1">
      <c r="T838" s="4"/>
    </row>
    <row r="839" ht="15.75" customHeight="1">
      <c r="T839" s="4"/>
    </row>
    <row r="840" ht="15.75" customHeight="1">
      <c r="T840" s="4"/>
    </row>
    <row r="841" ht="15.75" customHeight="1">
      <c r="T841" s="4"/>
    </row>
    <row r="842" ht="15.75" customHeight="1">
      <c r="T842" s="4"/>
    </row>
    <row r="843" ht="15.75" customHeight="1">
      <c r="T843" s="4"/>
    </row>
    <row r="844" ht="15.75" customHeight="1">
      <c r="T844" s="4"/>
    </row>
    <row r="845" ht="15.75" customHeight="1">
      <c r="T845" s="4"/>
    </row>
    <row r="846" ht="15.75" customHeight="1">
      <c r="T846" s="4"/>
    </row>
    <row r="847" ht="15.75" customHeight="1">
      <c r="T847" s="4"/>
    </row>
    <row r="848" ht="15.75" customHeight="1">
      <c r="T848" s="4"/>
    </row>
    <row r="849" ht="15.75" customHeight="1">
      <c r="T849" s="4"/>
    </row>
    <row r="850" ht="15.75" customHeight="1">
      <c r="T850" s="4"/>
    </row>
    <row r="851" ht="15.75" customHeight="1">
      <c r="T851" s="4"/>
    </row>
    <row r="852" ht="15.75" customHeight="1">
      <c r="T852" s="4"/>
    </row>
    <row r="853" ht="15.75" customHeight="1">
      <c r="T853" s="4"/>
    </row>
    <row r="854" ht="15.75" customHeight="1">
      <c r="T854" s="4"/>
    </row>
    <row r="855" ht="15.75" customHeight="1">
      <c r="T855" s="4"/>
    </row>
    <row r="856" ht="15.75" customHeight="1">
      <c r="T856" s="4"/>
    </row>
    <row r="857" ht="15.75" customHeight="1">
      <c r="T857" s="4"/>
    </row>
    <row r="858" ht="15.75" customHeight="1">
      <c r="T858" s="4"/>
    </row>
    <row r="859" ht="15.75" customHeight="1">
      <c r="T859" s="4"/>
    </row>
    <row r="860" ht="15.75" customHeight="1">
      <c r="T860" s="4"/>
    </row>
    <row r="861" ht="15.75" customHeight="1">
      <c r="T861" s="4"/>
    </row>
    <row r="862" ht="15.75" customHeight="1">
      <c r="T862" s="4"/>
    </row>
    <row r="863" ht="15.75" customHeight="1">
      <c r="T863" s="4"/>
    </row>
    <row r="864" ht="15.75" customHeight="1">
      <c r="T864" s="4"/>
    </row>
    <row r="865" ht="15.75" customHeight="1">
      <c r="T865" s="4"/>
    </row>
    <row r="866" ht="15.75" customHeight="1">
      <c r="T866" s="4"/>
    </row>
    <row r="867" ht="15.75" customHeight="1">
      <c r="T867" s="4"/>
    </row>
    <row r="868" ht="15.75" customHeight="1">
      <c r="T868" s="4"/>
    </row>
    <row r="869" ht="15.75" customHeight="1">
      <c r="T869" s="4"/>
    </row>
    <row r="870" ht="15.75" customHeight="1">
      <c r="T870" s="4"/>
    </row>
    <row r="871" ht="15.75" customHeight="1">
      <c r="T871" s="4"/>
    </row>
    <row r="872" ht="15.75" customHeight="1">
      <c r="T872" s="4"/>
    </row>
    <row r="873" ht="15.75" customHeight="1">
      <c r="T873" s="4"/>
    </row>
    <row r="874" ht="15.75" customHeight="1">
      <c r="T874" s="4"/>
    </row>
    <row r="875" ht="15.75" customHeight="1">
      <c r="T875" s="4"/>
    </row>
    <row r="876" ht="15.75" customHeight="1">
      <c r="T876" s="4"/>
    </row>
    <row r="877" ht="15.75" customHeight="1">
      <c r="T877" s="4"/>
    </row>
    <row r="878" ht="15.75" customHeight="1">
      <c r="T878" s="4"/>
    </row>
    <row r="879" ht="15.75" customHeight="1">
      <c r="T879" s="4"/>
    </row>
    <row r="880" ht="15.75" customHeight="1">
      <c r="T880" s="4"/>
    </row>
    <row r="881" ht="15.75" customHeight="1">
      <c r="T881" s="4"/>
    </row>
    <row r="882" ht="15.75" customHeight="1">
      <c r="T882" s="4"/>
    </row>
    <row r="883" ht="15.75" customHeight="1">
      <c r="T883" s="4"/>
    </row>
    <row r="884" ht="15.75" customHeight="1">
      <c r="T884" s="4"/>
    </row>
    <row r="885" ht="15.75" customHeight="1">
      <c r="T885" s="4"/>
    </row>
    <row r="886" ht="15.75" customHeight="1">
      <c r="T886" s="4"/>
    </row>
    <row r="887" ht="15.75" customHeight="1">
      <c r="T887" s="4"/>
    </row>
    <row r="888" ht="15.75" customHeight="1">
      <c r="T888" s="4"/>
    </row>
    <row r="889" ht="15.75" customHeight="1">
      <c r="T889" s="4"/>
    </row>
    <row r="890" ht="15.75" customHeight="1">
      <c r="T890" s="4"/>
    </row>
    <row r="891" ht="15.75" customHeight="1">
      <c r="T891" s="4"/>
    </row>
    <row r="892" ht="15.75" customHeight="1">
      <c r="T892" s="4"/>
    </row>
    <row r="893" ht="15.75" customHeight="1">
      <c r="T893" s="4"/>
    </row>
    <row r="894" ht="15.75" customHeight="1">
      <c r="T894" s="4"/>
    </row>
    <row r="895" ht="15.75" customHeight="1">
      <c r="T895" s="4"/>
    </row>
    <row r="896" ht="15.75" customHeight="1">
      <c r="T896" s="4"/>
    </row>
    <row r="897" ht="15.75" customHeight="1">
      <c r="T897" s="4"/>
    </row>
    <row r="898" ht="15.75" customHeight="1">
      <c r="T898" s="4"/>
    </row>
    <row r="899" ht="15.75" customHeight="1">
      <c r="T899" s="4"/>
    </row>
    <row r="900" ht="15.75" customHeight="1">
      <c r="T900" s="4"/>
    </row>
    <row r="901" ht="15.75" customHeight="1">
      <c r="T901" s="4"/>
    </row>
    <row r="902" ht="15.75" customHeight="1">
      <c r="T902" s="4"/>
    </row>
    <row r="903" ht="15.75" customHeight="1">
      <c r="T903" s="4"/>
    </row>
    <row r="904" ht="15.75" customHeight="1">
      <c r="T904" s="4"/>
    </row>
    <row r="905" ht="15.75" customHeight="1">
      <c r="T905" s="4"/>
    </row>
    <row r="906" ht="15.75" customHeight="1">
      <c r="T906" s="4"/>
    </row>
    <row r="907" ht="15.75" customHeight="1">
      <c r="T907" s="4"/>
    </row>
    <row r="908" ht="15.75" customHeight="1">
      <c r="T908" s="4"/>
    </row>
    <row r="909" ht="15.75" customHeight="1">
      <c r="T909" s="4"/>
    </row>
    <row r="910" ht="15.75" customHeight="1">
      <c r="T910" s="4"/>
    </row>
    <row r="911" ht="15.75" customHeight="1">
      <c r="T911" s="4"/>
    </row>
    <row r="912" ht="15.75" customHeight="1">
      <c r="T912" s="4"/>
    </row>
    <row r="913" ht="15.75" customHeight="1">
      <c r="T913" s="4"/>
    </row>
    <row r="914" ht="15.75" customHeight="1">
      <c r="T914" s="4"/>
    </row>
    <row r="915" ht="15.75" customHeight="1">
      <c r="T915" s="4"/>
    </row>
    <row r="916" ht="15.75" customHeight="1">
      <c r="T916" s="4"/>
    </row>
    <row r="917" ht="15.75" customHeight="1">
      <c r="T917" s="4"/>
    </row>
    <row r="918" ht="15.75" customHeight="1">
      <c r="T918" s="4"/>
    </row>
    <row r="919" ht="15.75" customHeight="1">
      <c r="T919" s="4"/>
    </row>
    <row r="920" ht="15.75" customHeight="1">
      <c r="T920" s="4"/>
    </row>
    <row r="921" ht="15.75" customHeight="1">
      <c r="T921" s="4"/>
    </row>
    <row r="922" ht="15.75" customHeight="1">
      <c r="T922" s="4"/>
    </row>
    <row r="923" ht="15.75" customHeight="1">
      <c r="T923" s="4"/>
    </row>
    <row r="924" ht="15.75" customHeight="1">
      <c r="T924" s="4"/>
    </row>
    <row r="925" ht="15.75" customHeight="1">
      <c r="T925" s="4"/>
    </row>
    <row r="926" ht="15.75" customHeight="1">
      <c r="T926" s="4"/>
    </row>
    <row r="927" ht="15.75" customHeight="1">
      <c r="T927" s="4"/>
    </row>
    <row r="928" ht="15.75" customHeight="1">
      <c r="T928" s="4"/>
    </row>
    <row r="929" ht="15.75" customHeight="1">
      <c r="T929" s="4"/>
    </row>
    <row r="930" ht="15.75" customHeight="1">
      <c r="T930" s="4"/>
    </row>
    <row r="931" ht="15.75" customHeight="1">
      <c r="T931" s="4"/>
    </row>
    <row r="932" ht="15.75" customHeight="1">
      <c r="T932" s="4"/>
    </row>
    <row r="933" ht="15.75" customHeight="1">
      <c r="T933" s="4"/>
    </row>
    <row r="934" ht="15.75" customHeight="1">
      <c r="T934" s="4"/>
    </row>
    <row r="935" ht="15.75" customHeight="1">
      <c r="T935" s="4"/>
    </row>
    <row r="936" ht="15.75" customHeight="1">
      <c r="T936" s="4"/>
    </row>
    <row r="937" ht="15.75" customHeight="1">
      <c r="T937" s="4"/>
    </row>
    <row r="938" ht="15.75" customHeight="1">
      <c r="T938" s="4"/>
    </row>
    <row r="939" ht="15.75" customHeight="1">
      <c r="T939" s="4"/>
    </row>
    <row r="940" ht="15.75" customHeight="1">
      <c r="T940" s="4"/>
    </row>
    <row r="941" ht="15.75" customHeight="1">
      <c r="T941" s="4"/>
    </row>
    <row r="942" ht="15.75" customHeight="1">
      <c r="T942" s="4"/>
    </row>
    <row r="943" ht="15.75" customHeight="1">
      <c r="T943" s="4"/>
    </row>
    <row r="944" ht="15.75" customHeight="1">
      <c r="T944" s="4"/>
    </row>
    <row r="945" ht="15.75" customHeight="1">
      <c r="T945" s="4"/>
    </row>
    <row r="946" ht="15.75" customHeight="1">
      <c r="T946" s="4"/>
    </row>
    <row r="947" ht="15.75" customHeight="1">
      <c r="T947" s="4"/>
    </row>
    <row r="948" ht="15.75" customHeight="1">
      <c r="T948" s="4"/>
    </row>
    <row r="949" ht="15.75" customHeight="1">
      <c r="T949" s="4"/>
    </row>
    <row r="950" ht="15.75" customHeight="1">
      <c r="T950" s="4"/>
    </row>
    <row r="951" ht="15.75" customHeight="1">
      <c r="T951" s="4"/>
    </row>
    <row r="952" ht="15.75" customHeight="1">
      <c r="T952" s="4"/>
    </row>
    <row r="953" ht="15.75" customHeight="1">
      <c r="T953" s="4"/>
    </row>
    <row r="954" ht="15.75" customHeight="1">
      <c r="T954" s="4"/>
    </row>
    <row r="955" ht="15.75" customHeight="1">
      <c r="T955" s="4"/>
    </row>
    <row r="956" ht="15.75" customHeight="1">
      <c r="T956" s="4"/>
    </row>
    <row r="957" ht="15.75" customHeight="1">
      <c r="T957" s="4"/>
    </row>
    <row r="958" ht="15.75" customHeight="1">
      <c r="T958" s="4"/>
    </row>
    <row r="959" ht="15.75" customHeight="1">
      <c r="T959" s="4"/>
    </row>
    <row r="960" ht="15.75" customHeight="1">
      <c r="T960" s="4"/>
    </row>
    <row r="961" ht="15.75" customHeight="1">
      <c r="T961" s="4"/>
    </row>
    <row r="962" ht="15.75" customHeight="1">
      <c r="T962" s="4"/>
    </row>
    <row r="963" ht="15.75" customHeight="1">
      <c r="T963" s="4"/>
    </row>
    <row r="964" ht="15.75" customHeight="1">
      <c r="T964" s="4"/>
    </row>
    <row r="965" ht="15.75" customHeight="1">
      <c r="T965" s="4"/>
    </row>
    <row r="966" ht="15.75" customHeight="1">
      <c r="T966" s="4"/>
    </row>
    <row r="967" ht="15.75" customHeight="1">
      <c r="T967" s="4"/>
    </row>
    <row r="968" ht="15.75" customHeight="1">
      <c r="T968" s="4"/>
    </row>
    <row r="969" ht="15.75" customHeight="1">
      <c r="T969" s="4"/>
    </row>
    <row r="970" ht="15.75" customHeight="1">
      <c r="T970" s="4"/>
    </row>
    <row r="971" ht="15.75" customHeight="1">
      <c r="T971" s="4"/>
    </row>
    <row r="972" ht="15.75" customHeight="1">
      <c r="T972" s="4"/>
    </row>
    <row r="973" ht="15.75" customHeight="1">
      <c r="T973" s="4"/>
    </row>
    <row r="974" ht="15.75" customHeight="1">
      <c r="T974" s="4"/>
    </row>
    <row r="975" ht="15.75" customHeight="1">
      <c r="T975" s="4"/>
    </row>
    <row r="976" ht="15.75" customHeight="1">
      <c r="T976" s="4"/>
    </row>
    <row r="977" ht="15.75" customHeight="1">
      <c r="T977" s="4"/>
    </row>
    <row r="978" ht="15.75" customHeight="1">
      <c r="T978" s="4"/>
    </row>
    <row r="979" ht="15.75" customHeight="1">
      <c r="T979" s="4"/>
    </row>
    <row r="980" ht="15.75" customHeight="1">
      <c r="T980" s="4"/>
    </row>
    <row r="981" ht="15.75" customHeight="1">
      <c r="T981" s="4"/>
    </row>
    <row r="982" ht="15.75" customHeight="1">
      <c r="T982" s="4"/>
    </row>
    <row r="983" ht="15.75" customHeight="1">
      <c r="T983" s="4"/>
    </row>
    <row r="984" ht="15.75" customHeight="1">
      <c r="T984" s="4"/>
    </row>
    <row r="985" ht="15.75" customHeight="1">
      <c r="T985" s="4"/>
    </row>
    <row r="986" ht="15.75" customHeight="1">
      <c r="T986" s="4"/>
    </row>
    <row r="987" ht="15.75" customHeight="1">
      <c r="T987" s="4"/>
    </row>
    <row r="988" ht="15.75" customHeight="1">
      <c r="T988" s="4"/>
    </row>
    <row r="989" ht="15.75" customHeight="1">
      <c r="T989" s="4"/>
    </row>
    <row r="990" ht="15.75" customHeight="1">
      <c r="T990" s="4"/>
    </row>
    <row r="991" ht="15.75" customHeight="1">
      <c r="T991" s="4"/>
    </row>
    <row r="992" ht="15.75" customHeight="1">
      <c r="T992" s="4"/>
    </row>
    <row r="993" ht="15.75" customHeight="1">
      <c r="T993" s="4"/>
    </row>
    <row r="994" ht="15.75" customHeight="1">
      <c r="T994" s="4"/>
    </row>
    <row r="995" ht="15.75" customHeight="1">
      <c r="T995" s="4"/>
    </row>
    <row r="996" ht="15.75" customHeight="1">
      <c r="T996" s="4"/>
    </row>
    <row r="997" ht="15.75" customHeight="1">
      <c r="T997" s="4"/>
    </row>
    <row r="998" ht="15.75" customHeight="1">
      <c r="T998" s="4"/>
    </row>
    <row r="999" ht="15.75" customHeight="1">
      <c r="T999" s="4"/>
    </row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7.29"/>
    <col customWidth="1" min="3" max="4" width="12.14"/>
    <col customWidth="1" min="5" max="10" width="8.71"/>
    <col customWidth="1" min="11" max="11" width="17.71"/>
    <col customWidth="1" min="12" max="12" width="8.71"/>
  </cols>
  <sheetData>
    <row r="1">
      <c r="A1" s="262" t="s">
        <v>208</v>
      </c>
      <c r="B1" s="317" t="s">
        <v>209</v>
      </c>
      <c r="C1" s="318" t="s">
        <v>210</v>
      </c>
      <c r="D1" s="318" t="s">
        <v>211</v>
      </c>
    </row>
    <row r="2">
      <c r="A2" s="266">
        <v>1.0</v>
      </c>
      <c r="B2" s="319">
        <v>5200000.0</v>
      </c>
      <c r="C2" s="320">
        <f t="shared" ref="C2:C13" si="1">B2/$B$14</f>
        <v>0.04886512532</v>
      </c>
      <c r="D2" s="321">
        <f t="shared" ref="D2:D13" si="2">B2/$B$28</f>
        <v>0.02067468391</v>
      </c>
    </row>
    <row r="3">
      <c r="A3" s="270">
        <v>2.0</v>
      </c>
      <c r="B3" s="319">
        <v>3565000.0</v>
      </c>
      <c r="C3" s="320">
        <f t="shared" si="1"/>
        <v>0.03350080226</v>
      </c>
      <c r="D3" s="321">
        <f t="shared" si="2"/>
        <v>0.01417408618</v>
      </c>
    </row>
    <row r="4">
      <c r="A4" s="270">
        <v>3.0</v>
      </c>
      <c r="B4" s="319">
        <v>6960242.0</v>
      </c>
      <c r="C4" s="320">
        <f t="shared" si="1"/>
        <v>0.06540636492</v>
      </c>
      <c r="D4" s="321">
        <f t="shared" si="2"/>
        <v>0.0276732314</v>
      </c>
    </row>
    <row r="5">
      <c r="A5" s="270">
        <v>4.0</v>
      </c>
      <c r="B5" s="319">
        <v>8511914.0</v>
      </c>
      <c r="C5" s="320">
        <f t="shared" si="1"/>
        <v>0.07998764314</v>
      </c>
      <c r="D5" s="321">
        <f t="shared" si="2"/>
        <v>0.03384252527</v>
      </c>
    </row>
    <row r="6">
      <c r="A6" s="270">
        <v>5.0</v>
      </c>
      <c r="B6" s="319">
        <v>9566538.0</v>
      </c>
      <c r="C6" s="320">
        <f t="shared" si="1"/>
        <v>0.08989809197</v>
      </c>
      <c r="D6" s="321">
        <f t="shared" si="2"/>
        <v>0.03803560563</v>
      </c>
    </row>
    <row r="7">
      <c r="A7" s="270">
        <v>6.0</v>
      </c>
      <c r="B7" s="319">
        <v>1.1203532E7</v>
      </c>
      <c r="C7" s="320">
        <f t="shared" si="1"/>
        <v>0.1052811529</v>
      </c>
      <c r="D7" s="321">
        <f t="shared" si="2"/>
        <v>0.0445441313</v>
      </c>
    </row>
    <row r="8">
      <c r="A8" s="270">
        <v>7.0</v>
      </c>
      <c r="B8" s="319">
        <v>1.0375058E7</v>
      </c>
      <c r="C8" s="320">
        <f t="shared" si="1"/>
        <v>0.09749586719</v>
      </c>
      <c r="D8" s="321">
        <f t="shared" si="2"/>
        <v>0.0412502009</v>
      </c>
    </row>
    <row r="9">
      <c r="A9" s="270">
        <v>8.0</v>
      </c>
      <c r="B9" s="319">
        <v>1.3856836E7</v>
      </c>
      <c r="C9" s="320">
        <f t="shared" si="1"/>
        <v>0.1302146207</v>
      </c>
      <c r="D9" s="321">
        <f t="shared" si="2"/>
        <v>0.05509340467</v>
      </c>
    </row>
    <row r="10">
      <c r="A10" s="270">
        <v>9.0</v>
      </c>
      <c r="B10" s="319">
        <v>1.0243538E7</v>
      </c>
      <c r="C10" s="320">
        <f t="shared" si="1"/>
        <v>0.0962599554</v>
      </c>
      <c r="D10" s="321">
        <f t="shared" si="2"/>
        <v>0.04072729044</v>
      </c>
    </row>
    <row r="11">
      <c r="A11" s="270">
        <v>10.0</v>
      </c>
      <c r="B11" s="319">
        <v>1.1406278E7</v>
      </c>
      <c r="C11" s="320">
        <f t="shared" si="1"/>
        <v>0.1071863854</v>
      </c>
      <c r="D11" s="321">
        <f t="shared" si="2"/>
        <v>0.04535022928</v>
      </c>
    </row>
    <row r="12">
      <c r="A12" s="270">
        <v>11.0</v>
      </c>
      <c r="B12" s="319">
        <v>9046330.0</v>
      </c>
      <c r="C12" s="320">
        <f t="shared" si="1"/>
        <v>0.08500962483</v>
      </c>
      <c r="D12" s="321">
        <f t="shared" si="2"/>
        <v>0.03596731025</v>
      </c>
    </row>
    <row r="13">
      <c r="A13" s="281">
        <v>12.0</v>
      </c>
      <c r="B13" s="319">
        <v>1.1680096E7</v>
      </c>
      <c r="C13" s="320">
        <f t="shared" si="1"/>
        <v>0.1097594913</v>
      </c>
      <c r="D13" s="321">
        <f t="shared" si="2"/>
        <v>0.04643890247</v>
      </c>
    </row>
    <row r="14">
      <c r="A14" s="262">
        <v>2019.0</v>
      </c>
      <c r="B14" s="322">
        <f>SUM(B3:B13)</f>
        <v>106415362</v>
      </c>
      <c r="C14" s="323"/>
      <c r="D14" s="318"/>
    </row>
    <row r="15">
      <c r="A15" s="266">
        <v>13.0</v>
      </c>
      <c r="B15" s="319">
        <v>6760000.0</v>
      </c>
      <c r="C15" s="320">
        <f t="shared" ref="C15:C26" si="3">B15/$B$27</f>
        <v>0.04658856905</v>
      </c>
      <c r="D15" s="321">
        <f t="shared" ref="D15:D26" si="4">B15/$B$28</f>
        <v>0.02687708908</v>
      </c>
    </row>
    <row r="16">
      <c r="A16" s="270">
        <v>14.0</v>
      </c>
      <c r="B16" s="319">
        <v>4634500.0</v>
      </c>
      <c r="C16" s="324">
        <f t="shared" si="3"/>
        <v>0.03194004782</v>
      </c>
      <c r="D16" s="325">
        <f t="shared" si="4"/>
        <v>0.01842631203</v>
      </c>
      <c r="K16" s="326"/>
    </row>
    <row r="17">
      <c r="A17" s="270">
        <v>15.0</v>
      </c>
      <c r="B17" s="319">
        <v>9048314.6</v>
      </c>
      <c r="C17" s="324">
        <f t="shared" si="3"/>
        <v>0.06235917597</v>
      </c>
      <c r="D17" s="325">
        <f t="shared" si="4"/>
        <v>0.03597520082</v>
      </c>
    </row>
    <row r="18">
      <c r="A18" s="270">
        <v>16.0</v>
      </c>
      <c r="B18" s="319">
        <v>1.10654882E7</v>
      </c>
      <c r="C18" s="324">
        <f t="shared" si="3"/>
        <v>0.0762611333</v>
      </c>
      <c r="D18" s="325">
        <f t="shared" si="4"/>
        <v>0.04399528285</v>
      </c>
      <c r="L18" s="326"/>
    </row>
    <row r="19">
      <c r="A19" s="270">
        <v>17.0</v>
      </c>
      <c r="B19" s="319">
        <v>1.24364994E7</v>
      </c>
      <c r="C19" s="324">
        <f t="shared" si="3"/>
        <v>0.0857098685</v>
      </c>
      <c r="D19" s="325">
        <f t="shared" si="4"/>
        <v>0.04944628732</v>
      </c>
    </row>
    <row r="20">
      <c r="A20" s="270">
        <v>18.0</v>
      </c>
      <c r="B20" s="319">
        <v>1.45645916E7</v>
      </c>
      <c r="C20" s="324">
        <f t="shared" si="3"/>
        <v>0.1003762547</v>
      </c>
      <c r="D20" s="325">
        <f t="shared" si="4"/>
        <v>0.05790737069</v>
      </c>
    </row>
    <row r="21" ht="15.75" customHeight="1">
      <c r="A21" s="270">
        <v>19.0</v>
      </c>
      <c r="B21" s="319">
        <v>1.34875754E7</v>
      </c>
      <c r="C21" s="324">
        <f t="shared" si="3"/>
        <v>0.09295367424</v>
      </c>
      <c r="D21" s="325">
        <f t="shared" si="4"/>
        <v>0.05362526117</v>
      </c>
    </row>
    <row r="22" ht="15.75" customHeight="1">
      <c r="A22" s="270">
        <v>20.0</v>
      </c>
      <c r="B22" s="319">
        <v>1.80138868E7</v>
      </c>
      <c r="C22" s="324">
        <f t="shared" si="3"/>
        <v>0.1241481079</v>
      </c>
      <c r="D22" s="325">
        <f t="shared" si="4"/>
        <v>0.07162142607</v>
      </c>
    </row>
    <row r="23" ht="15.75" customHeight="1">
      <c r="A23" s="270">
        <v>21.0</v>
      </c>
      <c r="B23" s="319">
        <v>1.33165994E7</v>
      </c>
      <c r="C23" s="324">
        <f t="shared" si="3"/>
        <v>0.09177534182</v>
      </c>
      <c r="D23" s="325">
        <f t="shared" si="4"/>
        <v>0.05294547757</v>
      </c>
    </row>
    <row r="24" ht="15.75" customHeight="1">
      <c r="A24" s="270">
        <v>22.0</v>
      </c>
      <c r="B24" s="319">
        <v>1.48281614E7</v>
      </c>
      <c r="C24" s="324">
        <f t="shared" si="3"/>
        <v>0.102192725</v>
      </c>
      <c r="D24" s="325">
        <f t="shared" si="4"/>
        <v>0.05895529806</v>
      </c>
    </row>
    <row r="25" ht="15.75" customHeight="1">
      <c r="A25" s="270">
        <v>23.0</v>
      </c>
      <c r="B25" s="319">
        <v>1.1760229E7</v>
      </c>
      <c r="C25" s="324">
        <f t="shared" si="3"/>
        <v>0.08104914806</v>
      </c>
      <c r="D25" s="325">
        <f t="shared" si="4"/>
        <v>0.04675750332</v>
      </c>
    </row>
    <row r="26" ht="15.75" customHeight="1">
      <c r="A26" s="281">
        <v>24.0</v>
      </c>
      <c r="B26" s="319">
        <v>1.51841248E7</v>
      </c>
      <c r="C26" s="327">
        <f t="shared" si="3"/>
        <v>0.1046459537</v>
      </c>
      <c r="D26" s="328">
        <f t="shared" si="4"/>
        <v>0.06037057321</v>
      </c>
    </row>
    <row r="27" ht="15.75" customHeight="1">
      <c r="A27" s="262">
        <v>2020.0</v>
      </c>
      <c r="B27" s="322">
        <f>SUM(B15:B26)</f>
        <v>145099970.6</v>
      </c>
      <c r="C27" s="323"/>
      <c r="D27" s="318"/>
    </row>
    <row r="28" ht="15.75" customHeight="1">
      <c r="A28" s="262" t="s">
        <v>212</v>
      </c>
      <c r="B28" s="322">
        <f>B27+B14</f>
        <v>251515332.6</v>
      </c>
      <c r="C28" s="323"/>
      <c r="D28" s="318"/>
    </row>
    <row r="29" ht="15.75" customHeight="1">
      <c r="B29" s="3"/>
      <c r="C29" s="326"/>
      <c r="D29" s="326"/>
    </row>
    <row r="30" ht="15.75" customHeight="1">
      <c r="B30" s="3"/>
      <c r="C30" s="326"/>
      <c r="D30" s="326"/>
    </row>
    <row r="31" ht="15.75" customHeight="1">
      <c r="B31" s="3"/>
      <c r="C31" s="326"/>
      <c r="D31" s="326"/>
    </row>
    <row r="32" ht="15.75" customHeight="1"/>
    <row r="33" ht="15.75" customHeight="1">
      <c r="B33" s="3"/>
      <c r="C33" s="326"/>
      <c r="D33" s="326"/>
    </row>
    <row r="34" ht="15.75" customHeight="1">
      <c r="B34" s="3"/>
      <c r="C34" s="326"/>
      <c r="D34" s="326"/>
    </row>
    <row r="35" ht="15.75" customHeight="1">
      <c r="B35" s="3"/>
      <c r="C35" s="326"/>
      <c r="D35" s="326"/>
    </row>
    <row r="36" ht="15.75" customHeight="1">
      <c r="B36" s="3"/>
      <c r="C36" s="326"/>
      <c r="D36" s="326"/>
    </row>
    <row r="37" ht="15.75" customHeight="1">
      <c r="B37" s="3"/>
      <c r="C37" s="326"/>
      <c r="D37" s="326"/>
    </row>
    <row r="38" ht="15.75" customHeight="1">
      <c r="B38" s="3"/>
      <c r="C38" s="326"/>
      <c r="D38" s="326"/>
    </row>
    <row r="39" ht="15.75" customHeight="1">
      <c r="B39" s="3"/>
      <c r="C39" s="326"/>
      <c r="D39" s="326"/>
    </row>
    <row r="40" ht="15.75" customHeight="1">
      <c r="B40" s="3"/>
      <c r="C40" s="326"/>
      <c r="D40" s="326"/>
    </row>
    <row r="41" ht="15.75" customHeight="1">
      <c r="B41" s="3"/>
      <c r="C41" s="326"/>
      <c r="D41" s="326"/>
    </row>
    <row r="42" ht="15.75" customHeight="1">
      <c r="B42" s="3"/>
      <c r="C42" s="326"/>
      <c r="D42" s="326"/>
    </row>
    <row r="43" ht="15.75" customHeight="1">
      <c r="B43" s="3"/>
      <c r="C43" s="326"/>
      <c r="D43" s="326"/>
    </row>
    <row r="44" ht="15.75" customHeight="1">
      <c r="B44" s="3"/>
      <c r="C44" s="326"/>
      <c r="D44" s="326"/>
    </row>
    <row r="45" ht="15.75" customHeight="1">
      <c r="B45" s="3"/>
      <c r="C45" s="326"/>
      <c r="D45" s="326"/>
    </row>
    <row r="46" ht="15.75" customHeight="1">
      <c r="B46" s="3"/>
      <c r="C46" s="326"/>
      <c r="D46" s="326"/>
    </row>
    <row r="47" ht="15.75" customHeight="1">
      <c r="B47" s="3"/>
      <c r="C47" s="326"/>
      <c r="D47" s="326"/>
    </row>
    <row r="48" ht="15.75" customHeight="1">
      <c r="B48" s="3"/>
      <c r="C48" s="326"/>
      <c r="D48" s="326"/>
    </row>
    <row r="49" ht="15.75" customHeight="1">
      <c r="B49" s="3"/>
      <c r="C49" s="326"/>
      <c r="D49" s="326"/>
    </row>
    <row r="50" ht="15.75" customHeight="1">
      <c r="B50" s="3"/>
      <c r="C50" s="326"/>
      <c r="D50" s="326"/>
    </row>
    <row r="51" ht="15.75" customHeight="1">
      <c r="B51" s="3"/>
      <c r="C51" s="326"/>
      <c r="D51" s="326"/>
    </row>
    <row r="52" ht="15.75" customHeight="1">
      <c r="B52" s="3"/>
      <c r="C52" s="326"/>
      <c r="D52" s="326"/>
    </row>
    <row r="53" ht="15.75" customHeight="1">
      <c r="B53" s="3"/>
      <c r="C53" s="326"/>
      <c r="D53" s="326"/>
    </row>
    <row r="54" ht="15.75" customHeight="1">
      <c r="B54" s="3"/>
      <c r="C54" s="326"/>
      <c r="D54" s="326"/>
    </row>
    <row r="55" ht="15.75" customHeight="1">
      <c r="B55" s="3"/>
      <c r="C55" s="326"/>
      <c r="D55" s="326"/>
    </row>
    <row r="56" ht="15.75" customHeight="1">
      <c r="B56" s="3"/>
      <c r="C56" s="326"/>
      <c r="D56" s="326"/>
    </row>
    <row r="57" ht="15.75" customHeight="1">
      <c r="B57" s="3"/>
      <c r="C57" s="326"/>
      <c r="D57" s="326"/>
    </row>
    <row r="58" ht="15.75" customHeight="1">
      <c r="B58" s="3"/>
      <c r="C58" s="326"/>
      <c r="D58" s="326"/>
    </row>
    <row r="59" ht="15.75" customHeight="1">
      <c r="B59" s="3"/>
      <c r="C59" s="326"/>
      <c r="D59" s="326"/>
    </row>
    <row r="60" ht="15.75" customHeight="1">
      <c r="B60" s="3"/>
      <c r="C60" s="326"/>
      <c r="D60" s="326"/>
    </row>
    <row r="61" ht="15.75" customHeight="1">
      <c r="B61" s="3"/>
      <c r="C61" s="326"/>
      <c r="D61" s="326"/>
    </row>
    <row r="62" ht="15.75" customHeight="1">
      <c r="B62" s="3"/>
      <c r="C62" s="326"/>
      <c r="D62" s="326"/>
    </row>
    <row r="63" ht="15.75" customHeight="1">
      <c r="B63" s="3"/>
      <c r="C63" s="326"/>
      <c r="D63" s="326"/>
    </row>
    <row r="64" ht="15.75" customHeight="1">
      <c r="B64" s="3"/>
      <c r="C64" s="326"/>
      <c r="D64" s="326"/>
    </row>
    <row r="65" ht="15.75" customHeight="1">
      <c r="B65" s="3"/>
      <c r="C65" s="326"/>
      <c r="D65" s="326"/>
    </row>
    <row r="66" ht="15.75" customHeight="1">
      <c r="B66" s="3"/>
      <c r="C66" s="326"/>
      <c r="D66" s="326"/>
    </row>
    <row r="67" ht="15.75" customHeight="1">
      <c r="B67" s="3"/>
      <c r="C67" s="326"/>
      <c r="D67" s="326"/>
    </row>
    <row r="68" ht="15.75" customHeight="1">
      <c r="B68" s="3"/>
      <c r="C68" s="326"/>
      <c r="D68" s="326"/>
    </row>
    <row r="69" ht="15.75" customHeight="1">
      <c r="B69" s="3"/>
      <c r="C69" s="326"/>
      <c r="D69" s="326"/>
    </row>
    <row r="70" ht="15.75" customHeight="1">
      <c r="B70" s="3"/>
      <c r="C70" s="326"/>
      <c r="D70" s="326"/>
    </row>
    <row r="71" ht="15.75" customHeight="1">
      <c r="B71" s="3"/>
      <c r="C71" s="326"/>
      <c r="D71" s="326"/>
    </row>
    <row r="72" ht="15.75" customHeight="1">
      <c r="B72" s="3"/>
      <c r="C72" s="326"/>
      <c r="D72" s="326"/>
    </row>
    <row r="73" ht="15.75" customHeight="1">
      <c r="B73" s="3"/>
      <c r="C73" s="326"/>
      <c r="D73" s="326"/>
    </row>
    <row r="74" ht="15.75" customHeight="1">
      <c r="B74" s="3"/>
      <c r="C74" s="326"/>
      <c r="D74" s="326"/>
    </row>
    <row r="75" ht="15.75" customHeight="1">
      <c r="B75" s="3"/>
      <c r="C75" s="326"/>
      <c r="D75" s="326"/>
    </row>
    <row r="76" ht="15.75" customHeight="1">
      <c r="B76" s="3"/>
      <c r="C76" s="326"/>
      <c r="D76" s="326"/>
    </row>
    <row r="77" ht="15.75" customHeight="1">
      <c r="B77" s="3"/>
      <c r="C77" s="326"/>
      <c r="D77" s="326"/>
    </row>
    <row r="78" ht="15.75" customHeight="1">
      <c r="B78" s="3"/>
      <c r="C78" s="326"/>
      <c r="D78" s="326"/>
    </row>
    <row r="79" ht="15.75" customHeight="1">
      <c r="B79" s="3"/>
      <c r="C79" s="326"/>
      <c r="D79" s="326"/>
    </row>
    <row r="80" ht="15.75" customHeight="1">
      <c r="B80" s="3"/>
      <c r="C80" s="326"/>
      <c r="D80" s="326"/>
    </row>
    <row r="81" ht="15.75" customHeight="1">
      <c r="B81" s="3"/>
      <c r="C81" s="326"/>
      <c r="D81" s="326"/>
    </row>
    <row r="82" ht="15.75" customHeight="1">
      <c r="B82" s="3"/>
      <c r="C82" s="326"/>
      <c r="D82" s="326"/>
    </row>
    <row r="83" ht="15.75" customHeight="1">
      <c r="B83" s="3"/>
      <c r="C83" s="326"/>
      <c r="D83" s="326"/>
    </row>
    <row r="84" ht="15.75" customHeight="1">
      <c r="B84" s="3"/>
      <c r="C84" s="326"/>
      <c r="D84" s="326"/>
    </row>
    <row r="85" ht="15.75" customHeight="1">
      <c r="B85" s="3"/>
      <c r="C85" s="326"/>
      <c r="D85" s="326"/>
    </row>
    <row r="86" ht="15.75" customHeight="1">
      <c r="B86" s="3"/>
      <c r="C86" s="326"/>
      <c r="D86" s="326"/>
    </row>
    <row r="87" ht="15.75" customHeight="1">
      <c r="B87" s="3"/>
      <c r="C87" s="326"/>
      <c r="D87" s="326"/>
    </row>
    <row r="88" ht="15.75" customHeight="1">
      <c r="B88" s="3"/>
      <c r="C88" s="326"/>
      <c r="D88" s="326"/>
    </row>
    <row r="89" ht="15.75" customHeight="1">
      <c r="B89" s="3"/>
      <c r="C89" s="326"/>
      <c r="D89" s="326"/>
    </row>
    <row r="90" ht="15.75" customHeight="1">
      <c r="B90" s="3"/>
      <c r="C90" s="326"/>
      <c r="D90" s="326"/>
    </row>
    <row r="91" ht="15.75" customHeight="1">
      <c r="B91" s="3"/>
      <c r="C91" s="326"/>
      <c r="D91" s="326"/>
    </row>
    <row r="92" ht="15.75" customHeight="1">
      <c r="B92" s="3"/>
      <c r="C92" s="326"/>
      <c r="D92" s="326"/>
    </row>
    <row r="93" ht="15.75" customHeight="1">
      <c r="B93" s="3"/>
      <c r="C93" s="326"/>
      <c r="D93" s="326"/>
    </row>
    <row r="94" ht="15.75" customHeight="1">
      <c r="B94" s="3"/>
      <c r="C94" s="326"/>
      <c r="D94" s="326"/>
    </row>
    <row r="95" ht="15.75" customHeight="1">
      <c r="B95" s="3"/>
      <c r="C95" s="326"/>
      <c r="D95" s="326"/>
    </row>
    <row r="96" ht="15.75" customHeight="1">
      <c r="B96" s="3"/>
      <c r="C96" s="326"/>
      <c r="D96" s="326"/>
    </row>
    <row r="97" ht="15.75" customHeight="1">
      <c r="B97" s="3"/>
      <c r="C97" s="326"/>
      <c r="D97" s="326"/>
    </row>
    <row r="98" ht="15.75" customHeight="1">
      <c r="B98" s="3"/>
      <c r="C98" s="326"/>
      <c r="D98" s="326"/>
    </row>
    <row r="99" ht="15.75" customHeight="1">
      <c r="B99" s="3"/>
      <c r="C99" s="326"/>
      <c r="D99" s="326"/>
    </row>
    <row r="100" ht="15.75" customHeight="1">
      <c r="B100" s="3"/>
      <c r="C100" s="326"/>
      <c r="D100" s="326"/>
    </row>
    <row r="101" ht="15.75" customHeight="1">
      <c r="B101" s="3"/>
      <c r="C101" s="326"/>
      <c r="D101" s="326"/>
    </row>
    <row r="102" ht="15.75" customHeight="1">
      <c r="B102" s="3"/>
      <c r="C102" s="326"/>
      <c r="D102" s="326"/>
    </row>
    <row r="103" ht="15.75" customHeight="1">
      <c r="B103" s="3"/>
      <c r="C103" s="326"/>
      <c r="D103" s="326"/>
    </row>
    <row r="104" ht="15.75" customHeight="1">
      <c r="B104" s="3"/>
      <c r="C104" s="326"/>
      <c r="D104" s="326"/>
    </row>
    <row r="105" ht="15.75" customHeight="1">
      <c r="B105" s="3"/>
      <c r="C105" s="326"/>
      <c r="D105" s="326"/>
    </row>
    <row r="106" ht="15.75" customHeight="1">
      <c r="B106" s="3"/>
      <c r="C106" s="326"/>
      <c r="D106" s="326"/>
    </row>
    <row r="107" ht="15.75" customHeight="1">
      <c r="B107" s="3"/>
      <c r="C107" s="326"/>
      <c r="D107" s="326"/>
    </row>
    <row r="108" ht="15.75" customHeight="1">
      <c r="B108" s="3"/>
      <c r="C108" s="326"/>
      <c r="D108" s="326"/>
    </row>
    <row r="109" ht="15.75" customHeight="1">
      <c r="B109" s="3"/>
      <c r="C109" s="326"/>
      <c r="D109" s="326"/>
    </row>
    <row r="110" ht="15.75" customHeight="1">
      <c r="B110" s="3"/>
      <c r="C110" s="326"/>
      <c r="D110" s="326"/>
    </row>
    <row r="111" ht="15.75" customHeight="1">
      <c r="B111" s="3"/>
      <c r="C111" s="326"/>
      <c r="D111" s="326"/>
    </row>
    <row r="112" ht="15.75" customHeight="1">
      <c r="B112" s="3"/>
      <c r="C112" s="326"/>
      <c r="D112" s="326"/>
    </row>
    <row r="113" ht="15.75" customHeight="1">
      <c r="B113" s="3"/>
      <c r="C113" s="326"/>
      <c r="D113" s="326"/>
    </row>
    <row r="114" ht="15.75" customHeight="1">
      <c r="B114" s="3"/>
      <c r="C114" s="326"/>
      <c r="D114" s="326"/>
    </row>
    <row r="115" ht="15.75" customHeight="1">
      <c r="B115" s="3"/>
      <c r="C115" s="326"/>
      <c r="D115" s="326"/>
    </row>
    <row r="116" ht="15.75" customHeight="1">
      <c r="B116" s="3"/>
      <c r="C116" s="326"/>
      <c r="D116" s="326"/>
    </row>
    <row r="117" ht="15.75" customHeight="1">
      <c r="B117" s="3"/>
      <c r="C117" s="326"/>
      <c r="D117" s="326"/>
    </row>
    <row r="118" ht="15.75" customHeight="1">
      <c r="B118" s="3"/>
      <c r="C118" s="326"/>
      <c r="D118" s="326"/>
    </row>
    <row r="119" ht="15.75" customHeight="1">
      <c r="B119" s="3"/>
      <c r="C119" s="326"/>
      <c r="D119" s="326"/>
    </row>
    <row r="120" ht="15.75" customHeight="1">
      <c r="B120" s="3"/>
      <c r="C120" s="326"/>
      <c r="D120" s="326"/>
    </row>
    <row r="121" ht="15.75" customHeight="1">
      <c r="B121" s="3"/>
      <c r="C121" s="326"/>
      <c r="D121" s="326"/>
    </row>
    <row r="122" ht="15.75" customHeight="1">
      <c r="B122" s="3"/>
      <c r="C122" s="326"/>
      <c r="D122" s="326"/>
    </row>
    <row r="123" ht="15.75" customHeight="1">
      <c r="B123" s="3"/>
      <c r="C123" s="326"/>
      <c r="D123" s="326"/>
    </row>
    <row r="124" ht="15.75" customHeight="1">
      <c r="B124" s="3"/>
      <c r="C124" s="326"/>
      <c r="D124" s="326"/>
    </row>
    <row r="125" ht="15.75" customHeight="1">
      <c r="B125" s="3"/>
      <c r="C125" s="326"/>
      <c r="D125" s="326"/>
    </row>
    <row r="126" ht="15.75" customHeight="1">
      <c r="B126" s="3"/>
      <c r="C126" s="326"/>
      <c r="D126" s="326"/>
    </row>
    <row r="127" ht="15.75" customHeight="1">
      <c r="B127" s="3"/>
      <c r="C127" s="326"/>
      <c r="D127" s="326"/>
    </row>
    <row r="128" ht="15.75" customHeight="1">
      <c r="B128" s="3"/>
      <c r="C128" s="326"/>
      <c r="D128" s="326"/>
    </row>
    <row r="129" ht="15.75" customHeight="1">
      <c r="B129" s="3"/>
      <c r="C129" s="326"/>
      <c r="D129" s="326"/>
    </row>
    <row r="130" ht="15.75" customHeight="1">
      <c r="B130" s="3"/>
      <c r="C130" s="326"/>
      <c r="D130" s="326"/>
    </row>
    <row r="131" ht="15.75" customHeight="1">
      <c r="B131" s="3"/>
      <c r="C131" s="326"/>
      <c r="D131" s="326"/>
    </row>
    <row r="132" ht="15.75" customHeight="1">
      <c r="B132" s="3"/>
      <c r="C132" s="326"/>
      <c r="D132" s="326"/>
    </row>
    <row r="133" ht="15.75" customHeight="1">
      <c r="B133" s="3"/>
      <c r="C133" s="326"/>
      <c r="D133" s="326"/>
    </row>
    <row r="134" ht="15.75" customHeight="1">
      <c r="B134" s="3"/>
      <c r="C134" s="326"/>
      <c r="D134" s="326"/>
    </row>
    <row r="135" ht="15.75" customHeight="1">
      <c r="B135" s="3"/>
      <c r="C135" s="326"/>
      <c r="D135" s="326"/>
    </row>
    <row r="136" ht="15.75" customHeight="1">
      <c r="B136" s="3"/>
      <c r="C136" s="326"/>
      <c r="D136" s="326"/>
    </row>
    <row r="137" ht="15.75" customHeight="1">
      <c r="B137" s="3"/>
      <c r="C137" s="326"/>
      <c r="D137" s="326"/>
    </row>
    <row r="138" ht="15.75" customHeight="1">
      <c r="B138" s="3"/>
      <c r="C138" s="326"/>
      <c r="D138" s="326"/>
    </row>
    <row r="139" ht="15.75" customHeight="1">
      <c r="B139" s="3"/>
      <c r="C139" s="326"/>
      <c r="D139" s="326"/>
    </row>
    <row r="140" ht="15.75" customHeight="1">
      <c r="B140" s="3"/>
      <c r="C140" s="326"/>
      <c r="D140" s="326"/>
    </row>
    <row r="141" ht="15.75" customHeight="1">
      <c r="B141" s="3"/>
      <c r="C141" s="326"/>
      <c r="D141" s="326"/>
    </row>
    <row r="142" ht="15.75" customHeight="1">
      <c r="B142" s="3"/>
      <c r="C142" s="326"/>
      <c r="D142" s="326"/>
    </row>
    <row r="143" ht="15.75" customHeight="1">
      <c r="B143" s="3"/>
      <c r="C143" s="326"/>
      <c r="D143" s="326"/>
    </row>
    <row r="144" ht="15.75" customHeight="1">
      <c r="B144" s="3"/>
      <c r="C144" s="326"/>
      <c r="D144" s="326"/>
    </row>
    <row r="145" ht="15.75" customHeight="1">
      <c r="B145" s="3"/>
      <c r="C145" s="326"/>
      <c r="D145" s="326"/>
    </row>
    <row r="146" ht="15.75" customHeight="1">
      <c r="B146" s="3"/>
      <c r="C146" s="326"/>
      <c r="D146" s="326"/>
    </row>
    <row r="147" ht="15.75" customHeight="1">
      <c r="B147" s="3"/>
      <c r="C147" s="326"/>
      <c r="D147" s="326"/>
    </row>
    <row r="148" ht="15.75" customHeight="1">
      <c r="B148" s="3"/>
      <c r="C148" s="326"/>
      <c r="D148" s="326"/>
    </row>
    <row r="149" ht="15.75" customHeight="1">
      <c r="B149" s="3"/>
      <c r="C149" s="326"/>
      <c r="D149" s="326"/>
    </row>
    <row r="150" ht="15.75" customHeight="1">
      <c r="B150" s="3"/>
      <c r="C150" s="326"/>
      <c r="D150" s="326"/>
    </row>
    <row r="151" ht="15.75" customHeight="1">
      <c r="B151" s="3"/>
      <c r="C151" s="326"/>
      <c r="D151" s="326"/>
    </row>
    <row r="152" ht="15.75" customHeight="1">
      <c r="B152" s="3"/>
      <c r="C152" s="326"/>
      <c r="D152" s="326"/>
    </row>
    <row r="153" ht="15.75" customHeight="1">
      <c r="B153" s="3"/>
      <c r="C153" s="326"/>
      <c r="D153" s="326"/>
    </row>
    <row r="154" ht="15.75" customHeight="1">
      <c r="B154" s="3"/>
      <c r="C154" s="326"/>
      <c r="D154" s="326"/>
    </row>
    <row r="155" ht="15.75" customHeight="1">
      <c r="B155" s="3"/>
      <c r="C155" s="326"/>
      <c r="D155" s="326"/>
    </row>
    <row r="156" ht="15.75" customHeight="1">
      <c r="B156" s="3"/>
      <c r="C156" s="326"/>
      <c r="D156" s="326"/>
    </row>
    <row r="157" ht="15.75" customHeight="1">
      <c r="B157" s="3"/>
      <c r="C157" s="326"/>
      <c r="D157" s="326"/>
    </row>
    <row r="158" ht="15.75" customHeight="1">
      <c r="B158" s="3"/>
      <c r="C158" s="326"/>
      <c r="D158" s="326"/>
    </row>
    <row r="159" ht="15.75" customHeight="1">
      <c r="B159" s="3"/>
      <c r="C159" s="326"/>
      <c r="D159" s="326"/>
    </row>
    <row r="160" ht="15.75" customHeight="1">
      <c r="B160" s="3"/>
      <c r="C160" s="326"/>
      <c r="D160" s="326"/>
    </row>
    <row r="161" ht="15.75" customHeight="1">
      <c r="B161" s="3"/>
      <c r="C161" s="326"/>
      <c r="D161" s="326"/>
    </row>
    <row r="162" ht="15.75" customHeight="1">
      <c r="B162" s="3"/>
      <c r="C162" s="326"/>
      <c r="D162" s="326"/>
    </row>
    <row r="163" ht="15.75" customHeight="1">
      <c r="B163" s="3"/>
      <c r="C163" s="326"/>
      <c r="D163" s="326"/>
    </row>
    <row r="164" ht="15.75" customHeight="1">
      <c r="B164" s="3"/>
      <c r="C164" s="326"/>
      <c r="D164" s="326"/>
    </row>
    <row r="165" ht="15.75" customHeight="1">
      <c r="B165" s="3"/>
      <c r="C165" s="326"/>
      <c r="D165" s="326"/>
    </row>
    <row r="166" ht="15.75" customHeight="1">
      <c r="B166" s="3"/>
      <c r="C166" s="326"/>
      <c r="D166" s="326"/>
    </row>
    <row r="167" ht="15.75" customHeight="1">
      <c r="B167" s="3"/>
      <c r="C167" s="326"/>
      <c r="D167" s="326"/>
    </row>
    <row r="168" ht="15.75" customHeight="1">
      <c r="B168" s="3"/>
      <c r="C168" s="326"/>
      <c r="D168" s="326"/>
    </row>
    <row r="169" ht="15.75" customHeight="1">
      <c r="B169" s="3"/>
      <c r="C169" s="326"/>
      <c r="D169" s="326"/>
    </row>
    <row r="170" ht="15.75" customHeight="1">
      <c r="B170" s="3"/>
      <c r="C170" s="326"/>
      <c r="D170" s="326"/>
    </row>
    <row r="171" ht="15.75" customHeight="1">
      <c r="B171" s="3"/>
      <c r="C171" s="326"/>
      <c r="D171" s="326"/>
    </row>
    <row r="172" ht="15.75" customHeight="1">
      <c r="B172" s="3"/>
      <c r="C172" s="326"/>
      <c r="D172" s="326"/>
    </row>
    <row r="173" ht="15.75" customHeight="1">
      <c r="B173" s="3"/>
      <c r="C173" s="326"/>
      <c r="D173" s="326"/>
    </row>
    <row r="174" ht="15.75" customHeight="1">
      <c r="B174" s="3"/>
      <c r="C174" s="326"/>
      <c r="D174" s="326"/>
    </row>
    <row r="175" ht="15.75" customHeight="1">
      <c r="B175" s="3"/>
      <c r="C175" s="326"/>
      <c r="D175" s="326"/>
    </row>
    <row r="176" ht="15.75" customHeight="1">
      <c r="B176" s="3"/>
      <c r="C176" s="326"/>
      <c r="D176" s="326"/>
    </row>
    <row r="177" ht="15.75" customHeight="1">
      <c r="B177" s="3"/>
      <c r="C177" s="326"/>
      <c r="D177" s="326"/>
    </row>
    <row r="178" ht="15.75" customHeight="1">
      <c r="B178" s="3"/>
      <c r="C178" s="326"/>
      <c r="D178" s="326"/>
    </row>
    <row r="179" ht="15.75" customHeight="1">
      <c r="B179" s="3"/>
      <c r="C179" s="326"/>
      <c r="D179" s="326"/>
    </row>
    <row r="180" ht="15.75" customHeight="1">
      <c r="B180" s="3"/>
      <c r="C180" s="326"/>
      <c r="D180" s="326"/>
    </row>
    <row r="181" ht="15.75" customHeight="1">
      <c r="B181" s="3"/>
      <c r="C181" s="326"/>
      <c r="D181" s="326"/>
    </row>
    <row r="182" ht="15.75" customHeight="1">
      <c r="B182" s="3"/>
      <c r="C182" s="326"/>
      <c r="D182" s="326"/>
    </row>
    <row r="183" ht="15.75" customHeight="1">
      <c r="B183" s="3"/>
      <c r="C183" s="326"/>
      <c r="D183" s="326"/>
    </row>
    <row r="184" ht="15.75" customHeight="1">
      <c r="B184" s="3"/>
      <c r="C184" s="326"/>
      <c r="D184" s="326"/>
    </row>
    <row r="185" ht="15.75" customHeight="1">
      <c r="B185" s="3"/>
      <c r="C185" s="326"/>
      <c r="D185" s="326"/>
    </row>
    <row r="186" ht="15.75" customHeight="1">
      <c r="B186" s="3"/>
      <c r="C186" s="326"/>
      <c r="D186" s="326"/>
    </row>
    <row r="187" ht="15.75" customHeight="1">
      <c r="B187" s="3"/>
      <c r="C187" s="326"/>
      <c r="D187" s="326"/>
    </row>
    <row r="188" ht="15.75" customHeight="1">
      <c r="B188" s="3"/>
      <c r="C188" s="326"/>
      <c r="D188" s="326"/>
    </row>
    <row r="189" ht="15.75" customHeight="1">
      <c r="B189" s="3"/>
      <c r="C189" s="326"/>
      <c r="D189" s="326"/>
    </row>
    <row r="190" ht="15.75" customHeight="1">
      <c r="B190" s="3"/>
      <c r="C190" s="326"/>
      <c r="D190" s="326"/>
    </row>
    <row r="191" ht="15.75" customHeight="1">
      <c r="B191" s="3"/>
      <c r="C191" s="326"/>
      <c r="D191" s="326"/>
    </row>
    <row r="192" ht="15.75" customHeight="1">
      <c r="B192" s="3"/>
      <c r="C192" s="326"/>
      <c r="D192" s="326"/>
    </row>
    <row r="193" ht="15.75" customHeight="1">
      <c r="B193" s="3"/>
      <c r="C193" s="326"/>
      <c r="D193" s="326"/>
    </row>
    <row r="194" ht="15.75" customHeight="1">
      <c r="B194" s="3"/>
      <c r="C194" s="326"/>
      <c r="D194" s="326"/>
    </row>
    <row r="195" ht="15.75" customHeight="1">
      <c r="B195" s="3"/>
      <c r="C195" s="326"/>
      <c r="D195" s="326"/>
    </row>
    <row r="196" ht="15.75" customHeight="1">
      <c r="B196" s="3"/>
      <c r="C196" s="326"/>
      <c r="D196" s="326"/>
    </row>
    <row r="197" ht="15.75" customHeight="1">
      <c r="B197" s="3"/>
      <c r="C197" s="326"/>
      <c r="D197" s="326"/>
    </row>
    <row r="198" ht="15.75" customHeight="1">
      <c r="B198" s="3"/>
      <c r="C198" s="326"/>
      <c r="D198" s="326"/>
    </row>
    <row r="199" ht="15.75" customHeight="1">
      <c r="B199" s="3"/>
      <c r="C199" s="326"/>
      <c r="D199" s="326"/>
    </row>
    <row r="200" ht="15.75" customHeight="1">
      <c r="B200" s="3"/>
      <c r="C200" s="326"/>
      <c r="D200" s="326"/>
    </row>
    <row r="201" ht="15.75" customHeight="1">
      <c r="B201" s="3"/>
      <c r="C201" s="326"/>
      <c r="D201" s="326"/>
    </row>
    <row r="202" ht="15.75" customHeight="1">
      <c r="B202" s="3"/>
      <c r="C202" s="326"/>
      <c r="D202" s="326"/>
    </row>
    <row r="203" ht="15.75" customHeight="1">
      <c r="B203" s="3"/>
      <c r="C203" s="326"/>
      <c r="D203" s="326"/>
    </row>
    <row r="204" ht="15.75" customHeight="1">
      <c r="B204" s="3"/>
      <c r="C204" s="326"/>
      <c r="D204" s="326"/>
    </row>
    <row r="205" ht="15.75" customHeight="1">
      <c r="B205" s="3"/>
      <c r="C205" s="326"/>
      <c r="D205" s="326"/>
    </row>
    <row r="206" ht="15.75" customHeight="1">
      <c r="B206" s="3"/>
      <c r="C206" s="326"/>
      <c r="D206" s="326"/>
    </row>
    <row r="207" ht="15.75" customHeight="1">
      <c r="B207" s="3"/>
      <c r="C207" s="326"/>
      <c r="D207" s="326"/>
    </row>
    <row r="208" ht="15.75" customHeight="1">
      <c r="B208" s="3"/>
      <c r="C208" s="326"/>
      <c r="D208" s="326"/>
    </row>
    <row r="209" ht="15.75" customHeight="1">
      <c r="B209" s="3"/>
      <c r="C209" s="326"/>
      <c r="D209" s="326"/>
    </row>
    <row r="210" ht="15.75" customHeight="1">
      <c r="B210" s="3"/>
      <c r="C210" s="326"/>
      <c r="D210" s="326"/>
    </row>
    <row r="211" ht="15.75" customHeight="1">
      <c r="B211" s="3"/>
      <c r="C211" s="326"/>
      <c r="D211" s="326"/>
    </row>
    <row r="212" ht="15.75" customHeight="1">
      <c r="B212" s="3"/>
      <c r="C212" s="326"/>
      <c r="D212" s="326"/>
    </row>
    <row r="213" ht="15.75" customHeight="1">
      <c r="B213" s="3"/>
      <c r="C213" s="326"/>
      <c r="D213" s="326"/>
    </row>
    <row r="214" ht="15.75" customHeight="1">
      <c r="B214" s="3"/>
      <c r="C214" s="326"/>
      <c r="D214" s="326"/>
    </row>
    <row r="215" ht="15.75" customHeight="1">
      <c r="B215" s="3"/>
      <c r="C215" s="326"/>
      <c r="D215" s="326"/>
    </row>
    <row r="216" ht="15.75" customHeight="1">
      <c r="B216" s="3"/>
      <c r="C216" s="326"/>
      <c r="D216" s="326"/>
    </row>
    <row r="217" ht="15.75" customHeight="1">
      <c r="B217" s="3"/>
      <c r="C217" s="326"/>
      <c r="D217" s="326"/>
    </row>
    <row r="218" ht="15.75" customHeight="1">
      <c r="B218" s="3"/>
      <c r="C218" s="326"/>
      <c r="D218" s="326"/>
    </row>
    <row r="219" ht="15.75" customHeight="1">
      <c r="B219" s="3"/>
      <c r="C219" s="326"/>
      <c r="D219" s="326"/>
    </row>
    <row r="220" ht="15.75" customHeight="1">
      <c r="B220" s="3"/>
      <c r="C220" s="326"/>
      <c r="D220" s="326"/>
    </row>
    <row r="221" ht="15.75" customHeight="1">
      <c r="B221" s="3"/>
      <c r="C221" s="326"/>
      <c r="D221" s="326"/>
    </row>
    <row r="222" ht="15.75" customHeight="1">
      <c r="B222" s="3"/>
      <c r="C222" s="326"/>
      <c r="D222" s="326"/>
    </row>
    <row r="223" ht="15.75" customHeight="1">
      <c r="B223" s="3"/>
      <c r="C223" s="326"/>
      <c r="D223" s="326"/>
    </row>
    <row r="224" ht="15.75" customHeight="1">
      <c r="B224" s="3"/>
      <c r="C224" s="326"/>
      <c r="D224" s="326"/>
    </row>
    <row r="225" ht="15.75" customHeight="1">
      <c r="B225" s="3"/>
      <c r="C225" s="326"/>
      <c r="D225" s="326"/>
    </row>
    <row r="226" ht="15.75" customHeight="1">
      <c r="B226" s="3"/>
      <c r="C226" s="326"/>
      <c r="D226" s="326"/>
    </row>
    <row r="227" ht="15.75" customHeight="1">
      <c r="B227" s="3"/>
      <c r="C227" s="326"/>
      <c r="D227" s="326"/>
    </row>
    <row r="228" ht="15.75" customHeight="1">
      <c r="B228" s="3"/>
      <c r="C228" s="326"/>
      <c r="D228" s="32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Col="1"/>
  <cols>
    <col customWidth="1" min="1" max="1" width="45.86"/>
    <col customWidth="1" min="2" max="6" width="14.43" outlineLevel="1"/>
  </cols>
  <sheetData>
    <row r="1">
      <c r="A1" s="111" t="str">
        <f>'План БДР'!A16</f>
        <v>Показатель</v>
      </c>
      <c r="B1" s="111" t="str">
        <f>'План БДР'!B16</f>
        <v>Статьи. Детализация</v>
      </c>
      <c r="C1" s="111" t="str">
        <f>'План БДР'!C16</f>
        <v>Плановый годовой показатель 2017</v>
      </c>
      <c r="D1" s="111" t="str">
        <f>'План БДР'!D16</f>
        <v>k в группе расходов</v>
      </c>
      <c r="E1" s="112" t="str">
        <f>'План БДР'!E16</f>
        <v>k от общего</v>
      </c>
      <c r="F1" s="113" t="str">
        <f>'План БДР'!F16</f>
        <v>k к пересчету</v>
      </c>
      <c r="G1" s="113">
        <f>'План БДР'!H16</f>
        <v>1</v>
      </c>
      <c r="H1" s="113">
        <f>'План БДР'!I16</f>
        <v>2</v>
      </c>
      <c r="I1" s="113">
        <f>'План БДР'!J16</f>
        <v>3</v>
      </c>
      <c r="J1" s="113">
        <f>'План БДР'!K16</f>
        <v>4</v>
      </c>
      <c r="K1" s="113">
        <f>'План БДР'!L16</f>
        <v>5</v>
      </c>
      <c r="L1" s="113">
        <f>'План БДР'!M16</f>
        <v>6</v>
      </c>
      <c r="M1" s="113">
        <f>'План БДР'!N16</f>
        <v>7</v>
      </c>
      <c r="N1" s="113">
        <f>'План БДР'!O16</f>
        <v>8</v>
      </c>
      <c r="O1" s="113">
        <f>'План БДР'!P16</f>
        <v>9</v>
      </c>
      <c r="P1" s="113">
        <f>'План БДР'!Q16</f>
        <v>10</v>
      </c>
      <c r="Q1" s="113">
        <f>'План БДР'!R16</f>
        <v>11</v>
      </c>
      <c r="R1" s="113">
        <f>'План БДР'!S16</f>
        <v>12</v>
      </c>
      <c r="S1" s="114" t="str">
        <f>'План БДР'!T16</f>
        <v>ИТОГО 2022 год</v>
      </c>
      <c r="T1" s="115">
        <v>13.0</v>
      </c>
      <c r="U1" s="113">
        <f>'План БДР'!V16</f>
        <v>14</v>
      </c>
      <c r="V1" s="113">
        <f>'План БДР'!W16</f>
        <v>15</v>
      </c>
      <c r="W1" s="113">
        <f>'План БДР'!X16</f>
        <v>16</v>
      </c>
      <c r="X1" s="113">
        <f>'План БДР'!Y16</f>
        <v>17</v>
      </c>
      <c r="Y1" s="113">
        <f>'План БДР'!Z16</f>
        <v>18</v>
      </c>
      <c r="Z1" s="113">
        <f>'План БДР'!AA16</f>
        <v>19</v>
      </c>
      <c r="AA1" s="113">
        <f>'План БДР'!AB16</f>
        <v>20</v>
      </c>
      <c r="AB1" s="113">
        <f>'План БДР'!AC16</f>
        <v>21</v>
      </c>
      <c r="AC1" s="113">
        <f>'План БДР'!AD16</f>
        <v>22</v>
      </c>
      <c r="AD1" s="113">
        <f>'План БДР'!AE16</f>
        <v>23</v>
      </c>
      <c r="AE1" s="113">
        <f>'План БДР'!AF16</f>
        <v>24</v>
      </c>
      <c r="AF1" s="114">
        <f>'План БДР'!AG16</f>
        <v>2023</v>
      </c>
    </row>
    <row r="2">
      <c r="A2" s="25" t="str">
        <f>'План БДР'!A17</f>
        <v>динамика по рынку база</v>
      </c>
      <c r="B2" s="25" t="str">
        <f>'План БДР'!B17</f>
        <v/>
      </c>
      <c r="C2" s="25" t="str">
        <f>'План БДР'!C17</f>
        <v/>
      </c>
      <c r="D2" s="25" t="str">
        <f>'План БДР'!D17</f>
        <v/>
      </c>
      <c r="E2" s="26" t="str">
        <f>'План БДР'!E17</f>
        <v/>
      </c>
      <c r="F2" s="23" t="str">
        <f>'План БДР'!F17</f>
        <v/>
      </c>
      <c r="G2" s="116">
        <f>'План БДР'!H17</f>
        <v>0.01616026912</v>
      </c>
      <c r="H2" s="23">
        <f>'План БДР'!I17</f>
        <v>0.02061059177</v>
      </c>
      <c r="I2" s="23">
        <f>'План БДР'!J17</f>
        <v>0.02487647187</v>
      </c>
      <c r="J2" s="23">
        <f>'План БДР'!K17</f>
        <v>0.02037335901</v>
      </c>
      <c r="K2" s="23">
        <f>'План БДР'!L17</f>
        <v>0.02626582408</v>
      </c>
      <c r="L2" s="23">
        <f>'План БДР'!M17</f>
        <v>0.08346959134</v>
      </c>
      <c r="M2" s="23">
        <f>'План БДР'!N17</f>
        <v>0.05382095752</v>
      </c>
      <c r="N2" s="23">
        <f>'План БДР'!O17</f>
        <v>0.1038498152</v>
      </c>
      <c r="O2" s="23">
        <f>'План БДР'!P17</f>
        <v>0.119076456</v>
      </c>
      <c r="P2" s="23">
        <f>'План БДР'!Q17</f>
        <v>0.1062537091</v>
      </c>
      <c r="Q2" s="23">
        <f>'План БДР'!R17</f>
        <v>0.0814144619</v>
      </c>
      <c r="R2" s="23">
        <f>'План БДР'!S17</f>
        <v>0.159601425</v>
      </c>
      <c r="S2" s="117" t="str">
        <f>'План БДР'!T17</f>
        <v/>
      </c>
      <c r="T2" s="116">
        <f>'План БДР'!U17</f>
        <v>0.01616026912</v>
      </c>
      <c r="U2" s="23">
        <f>'План БДР'!V17</f>
        <v>0.02061059177</v>
      </c>
      <c r="V2" s="23">
        <f>'План БДР'!W17</f>
        <v>0.02487647187</v>
      </c>
      <c r="W2" s="23">
        <f>'План БДР'!X17</f>
        <v>0.02037335901</v>
      </c>
      <c r="X2" s="23">
        <f>'План БДР'!Y17</f>
        <v>0.02626582408</v>
      </c>
      <c r="Y2" s="23">
        <f>'План БДР'!Z17</f>
        <v>0.08346959134</v>
      </c>
      <c r="Z2" s="23">
        <f>'План БДР'!AA17</f>
        <v>0.05382095752</v>
      </c>
      <c r="AA2" s="23">
        <f>'План БДР'!AB17</f>
        <v>0.1038498152</v>
      </c>
      <c r="AB2" s="23">
        <f>'План БДР'!AC17</f>
        <v>0.119076456</v>
      </c>
      <c r="AC2" s="23">
        <f>'План БДР'!AD17</f>
        <v>0.1062537091</v>
      </c>
      <c r="AD2" s="23">
        <f>'План БДР'!AE17</f>
        <v>0.0814144619</v>
      </c>
      <c r="AE2" s="23">
        <f>'План БДР'!AF17</f>
        <v>0.159601425</v>
      </c>
      <c r="AF2" s="117" t="str">
        <f>'План БДР'!AG17</f>
        <v/>
      </c>
    </row>
    <row r="3">
      <c r="A3" s="34" t="str">
        <f>'План БДР'!A18</f>
        <v>динамика по рынку динамический</v>
      </c>
      <c r="B3" s="34" t="str">
        <f>'План БДР'!B18</f>
        <v/>
      </c>
      <c r="C3" s="34" t="str">
        <f>'План БДР'!C18</f>
        <v/>
      </c>
      <c r="D3" s="34" t="str">
        <f>'План БДР'!D18</f>
        <v/>
      </c>
      <c r="E3" s="35" t="str">
        <f>'План БДР'!E18</f>
        <v/>
      </c>
      <c r="F3" s="35">
        <f>'План БДР'!F18</f>
        <v>0</v>
      </c>
      <c r="G3" s="118">
        <f>'План БДР'!H18</f>
        <v>0.01616026912</v>
      </c>
      <c r="H3" s="118">
        <f>'План БДР'!I18</f>
        <v>0.02061059177</v>
      </c>
      <c r="I3" s="118">
        <f>'План БДР'!J18</f>
        <v>0.02487647187</v>
      </c>
      <c r="J3" s="118">
        <f>'План БДР'!K18</f>
        <v>0.02037335901</v>
      </c>
      <c r="K3" s="118">
        <f>'План БДР'!L18</f>
        <v>0.02626582408</v>
      </c>
      <c r="L3" s="118">
        <f>'План БДР'!M18</f>
        <v>0.08346959134</v>
      </c>
      <c r="M3" s="118">
        <f>'План БДР'!N18</f>
        <v>0.05382095752</v>
      </c>
      <c r="N3" s="118">
        <f>'План БДР'!O18</f>
        <v>0.1038498152</v>
      </c>
      <c r="O3" s="118">
        <f>'План БДР'!P18</f>
        <v>0.119076456</v>
      </c>
      <c r="P3" s="118">
        <f>'План БДР'!Q18</f>
        <v>0.1062537091</v>
      </c>
      <c r="Q3" s="118">
        <f>'План БДР'!R18</f>
        <v>0.0814144619</v>
      </c>
      <c r="R3" s="118">
        <f>'План БДР'!S18</f>
        <v>0.159601425</v>
      </c>
      <c r="S3" s="119" t="str">
        <f>'План БДР'!T18</f>
        <v/>
      </c>
      <c r="T3" s="118">
        <f>'План БДР'!U18</f>
        <v>0.01616026912</v>
      </c>
      <c r="U3" s="118">
        <f>'План БДР'!V18</f>
        <v>0.02061059177</v>
      </c>
      <c r="V3" s="118">
        <f>'План БДР'!W18</f>
        <v>0.02487647187</v>
      </c>
      <c r="W3" s="118">
        <f>'План БДР'!X18</f>
        <v>0.02037335901</v>
      </c>
      <c r="X3" s="118">
        <f>'План БДР'!Y18</f>
        <v>0.02626582408</v>
      </c>
      <c r="Y3" s="118">
        <f>'План БДР'!Z18</f>
        <v>0.08346959134</v>
      </c>
      <c r="Z3" s="118">
        <f>'План БДР'!AA18</f>
        <v>0.05382095752</v>
      </c>
      <c r="AA3" s="118">
        <f>'План БДР'!AB18</f>
        <v>0.1038498152</v>
      </c>
      <c r="AB3" s="118">
        <f>'План БДР'!AC18</f>
        <v>0.119076456</v>
      </c>
      <c r="AC3" s="118">
        <f>'План БДР'!AD18</f>
        <v>0.1062537091</v>
      </c>
      <c r="AD3" s="118">
        <f>'План БДР'!AE18</f>
        <v>0.0814144619</v>
      </c>
      <c r="AE3" s="118">
        <f>'План БДР'!AF18</f>
        <v>0.159601425</v>
      </c>
      <c r="AF3" s="119" t="str">
        <f>'План БДР'!AG18</f>
        <v/>
      </c>
    </row>
    <row r="4">
      <c r="A4" s="42" t="str">
        <f>'План БДР'!A19</f>
        <v>Средний чек месяца база</v>
      </c>
      <c r="B4" s="42" t="str">
        <f>'План БДР'!B19</f>
        <v/>
      </c>
      <c r="C4" s="42" t="str">
        <f>'План БДР'!C19</f>
        <v/>
      </c>
      <c r="D4" s="42" t="str">
        <f>'План БДР'!D19</f>
        <v/>
      </c>
      <c r="E4" s="43" t="str">
        <f>'План БДР'!E19</f>
        <v/>
      </c>
      <c r="F4" s="43">
        <f>'План БДР'!F19</f>
        <v>0</v>
      </c>
      <c r="G4" s="41">
        <f>'План БДР'!H19</f>
        <v>14861.06931</v>
      </c>
      <c r="H4" s="41">
        <f>'План БДР'!I19</f>
        <v>14926.15408</v>
      </c>
      <c r="I4" s="41">
        <f>'План БДР'!J19</f>
        <v>14988.54142</v>
      </c>
      <c r="J4" s="41">
        <f>'План БДР'!K19</f>
        <v>14922.68462</v>
      </c>
      <c r="K4" s="41">
        <f>'План БДР'!L19</f>
        <v>15008.86032</v>
      </c>
      <c r="L4" s="41">
        <f>'План БДР'!M19</f>
        <v>15845.44996</v>
      </c>
      <c r="M4" s="41">
        <f>'План БДР'!N19</f>
        <v>15411.8467</v>
      </c>
      <c r="N4" s="41">
        <f>'План БДР'!O19</f>
        <v>16143.50523</v>
      </c>
      <c r="O4" s="41">
        <f>'План БДР'!P19</f>
        <v>16366.19073</v>
      </c>
      <c r="P4" s="41">
        <f>'План БДР'!Q19</f>
        <v>16178.66153</v>
      </c>
      <c r="Q4" s="41">
        <f>'План БДР'!R19</f>
        <v>15815.39425</v>
      </c>
      <c r="R4" s="41">
        <f>'План БДР'!S19</f>
        <v>16958.85745</v>
      </c>
      <c r="S4" s="37">
        <f>'План БДР'!T19</f>
        <v>187427.2156</v>
      </c>
      <c r="T4" s="41">
        <f>'План БДР'!U19</f>
        <v>14861.06931</v>
      </c>
      <c r="U4" s="41">
        <f>'План БДР'!V19</f>
        <v>14926.15408</v>
      </c>
      <c r="V4" s="41">
        <f>'План БДР'!W19</f>
        <v>14988.54142</v>
      </c>
      <c r="W4" s="41">
        <f>'План БДР'!X19</f>
        <v>14922.68462</v>
      </c>
      <c r="X4" s="41">
        <f>'План БДР'!Y19</f>
        <v>15008.86032</v>
      </c>
      <c r="Y4" s="41">
        <f>'План БДР'!Z19</f>
        <v>15845.44996</v>
      </c>
      <c r="Z4" s="41">
        <f>'План БДР'!AA19</f>
        <v>15411.8467</v>
      </c>
      <c r="AA4" s="41">
        <f>'План БДР'!AB19</f>
        <v>16143.50523</v>
      </c>
      <c r="AB4" s="41">
        <f>'План БДР'!AC19</f>
        <v>16366.19073</v>
      </c>
      <c r="AC4" s="41">
        <f>'План БДР'!AD19</f>
        <v>16178.66153</v>
      </c>
      <c r="AD4" s="41">
        <f>'План БДР'!AE19</f>
        <v>15815.39425</v>
      </c>
      <c r="AE4" s="41">
        <f>'План БДР'!AF19</f>
        <v>16958.85745</v>
      </c>
      <c r="AF4" s="37">
        <f>'План БДР'!AG19</f>
        <v>187427.2156</v>
      </c>
    </row>
    <row r="5">
      <c r="A5" s="42" t="str">
        <f>'План БДР'!A20</f>
        <v>Средний чек месяца динамический</v>
      </c>
      <c r="B5" s="42" t="str">
        <f>'План БДР'!B20</f>
        <v/>
      </c>
      <c r="C5" s="42" t="str">
        <f>'План БДР'!C20</f>
        <v/>
      </c>
      <c r="D5" s="42" t="str">
        <f>'План БДР'!D20</f>
        <v/>
      </c>
      <c r="E5" s="43" t="str">
        <f>'План БДР'!E20</f>
        <v/>
      </c>
      <c r="F5" s="43">
        <f>'План БДР'!F20</f>
        <v>0</v>
      </c>
      <c r="G5" s="41">
        <f>'План БДР'!H20</f>
        <v>14861.06931</v>
      </c>
      <c r="H5" s="41">
        <f>'План БДР'!I20</f>
        <v>14926.15408</v>
      </c>
      <c r="I5" s="41">
        <f>'План БДР'!J20</f>
        <v>14988.54142</v>
      </c>
      <c r="J5" s="41">
        <f>'План БДР'!K20</f>
        <v>14922.68462</v>
      </c>
      <c r="K5" s="41">
        <f>'План БДР'!L20</f>
        <v>15008.86032</v>
      </c>
      <c r="L5" s="41">
        <f>'План БДР'!M20</f>
        <v>15845.44996</v>
      </c>
      <c r="M5" s="41">
        <f>'План БДР'!N20</f>
        <v>15411.8467</v>
      </c>
      <c r="N5" s="41">
        <f>'План БДР'!O20</f>
        <v>16143.50523</v>
      </c>
      <c r="O5" s="41">
        <f>'План БДР'!P20</f>
        <v>16366.19073</v>
      </c>
      <c r="P5" s="41">
        <f>'План БДР'!Q20</f>
        <v>16178.66153</v>
      </c>
      <c r="Q5" s="41">
        <f>'План БДР'!R20</f>
        <v>15815.39425</v>
      </c>
      <c r="R5" s="41">
        <f>'План БДР'!S20</f>
        <v>16958.85745</v>
      </c>
      <c r="S5" s="37">
        <f>'План БДР'!T20</f>
        <v>187427.2156</v>
      </c>
      <c r="T5" s="41">
        <f>'План БДР'!U20</f>
        <v>14861.06931</v>
      </c>
      <c r="U5" s="41">
        <f>'План БДР'!V20</f>
        <v>14926.15408</v>
      </c>
      <c r="V5" s="41">
        <f>'План БДР'!W20</f>
        <v>14988.54142</v>
      </c>
      <c r="W5" s="41">
        <f>'План БДР'!X20</f>
        <v>14922.68462</v>
      </c>
      <c r="X5" s="41">
        <f>'План БДР'!Y20</f>
        <v>15008.86032</v>
      </c>
      <c r="Y5" s="41">
        <f>'План БДР'!Z20</f>
        <v>15845.44996</v>
      </c>
      <c r="Z5" s="41">
        <f>'План БДР'!AA20</f>
        <v>15411.8467</v>
      </c>
      <c r="AA5" s="41">
        <f>'План БДР'!AB20</f>
        <v>16143.50523</v>
      </c>
      <c r="AB5" s="41">
        <f>'План БДР'!AC20</f>
        <v>16366.19073</v>
      </c>
      <c r="AC5" s="41">
        <f>'План БДР'!AD20</f>
        <v>16178.66153</v>
      </c>
      <c r="AD5" s="41">
        <f>'План БДР'!AE20</f>
        <v>15815.39425</v>
      </c>
      <c r="AE5" s="41">
        <f>'План БДР'!AF20</f>
        <v>16958.85745</v>
      </c>
      <c r="AF5" s="37">
        <f>'План БДР'!AG20</f>
        <v>187427.2156</v>
      </c>
    </row>
    <row r="6">
      <c r="A6" s="42" t="str">
        <f>'План БДР'!A21</f>
        <v>Кол-во клиентов база </v>
      </c>
      <c r="B6" s="42" t="str">
        <f>'План БДР'!B21</f>
        <v/>
      </c>
      <c r="C6" s="42" t="str">
        <f>'План БДР'!C21</f>
        <v/>
      </c>
      <c r="D6" s="42" t="str">
        <f>'План БДР'!D21</f>
        <v/>
      </c>
      <c r="E6" s="43" t="str">
        <f>'План БДР'!E21</f>
        <v/>
      </c>
      <c r="F6" s="43">
        <f>'План БДР'!F21</f>
        <v>0</v>
      </c>
      <c r="G6" s="41">
        <f>'План БДР'!H21</f>
        <v>139034</v>
      </c>
      <c r="H6" s="41">
        <f>'План БДР'!J21</f>
        <v>140972</v>
      </c>
      <c r="I6" s="41">
        <f>'План БДР'!I21</f>
        <v>135888</v>
      </c>
      <c r="J6" s="41">
        <f>'План БДР'!J21</f>
        <v>140972</v>
      </c>
      <c r="K6" s="41">
        <f>'План БДР'!L21</f>
        <v>141538.3333</v>
      </c>
      <c r="L6" s="41">
        <f>'План БДР'!M21</f>
        <v>142507.3333</v>
      </c>
      <c r="M6" s="41">
        <f>'План БДР'!N21</f>
        <v>143476.3333</v>
      </c>
      <c r="N6" s="41">
        <f>'План БДР'!O21</f>
        <v>144445.3333</v>
      </c>
      <c r="O6" s="41">
        <f>'План БДР'!P21</f>
        <v>145414.3333</v>
      </c>
      <c r="P6" s="41">
        <f>'План БДР'!Q21</f>
        <v>146383.3333</v>
      </c>
      <c r="Q6" s="41">
        <f>'План БДР'!R21</f>
        <v>147352.3333</v>
      </c>
      <c r="R6" s="41">
        <f>'План БДР'!S21</f>
        <v>148321.3333</v>
      </c>
      <c r="S6" s="37">
        <f>'План БДР'!T21</f>
        <v>1715902</v>
      </c>
      <c r="T6" s="41">
        <f>'План БДР'!U21</f>
        <v>146383.3333</v>
      </c>
      <c r="U6" s="41">
        <f>'План БДР'!W21</f>
        <v>148321.3333</v>
      </c>
      <c r="V6" s="41">
        <f>'План БДР'!V21</f>
        <v>147352.3333</v>
      </c>
      <c r="W6" s="41">
        <f>'План БДР'!W21</f>
        <v>148321.3333</v>
      </c>
      <c r="X6" s="41">
        <f>'План БДР'!Y21</f>
        <v>144445.3333</v>
      </c>
      <c r="Y6" s="41">
        <f>'План БДР'!Z21</f>
        <v>145414.3333</v>
      </c>
      <c r="Z6" s="41">
        <f>'План БДР'!AA21</f>
        <v>146383.3333</v>
      </c>
      <c r="AA6" s="41">
        <f>'План БДР'!AB21</f>
        <v>147352.3333</v>
      </c>
      <c r="AB6" s="41">
        <f>'План БДР'!AC21</f>
        <v>148321.3333</v>
      </c>
      <c r="AC6" s="41">
        <f>'План БДР'!AD21</f>
        <v>149290.3333</v>
      </c>
      <c r="AD6" s="41">
        <f>'План БДР'!AE21</f>
        <v>150259.3333</v>
      </c>
      <c r="AE6" s="41">
        <f>'План БДР'!AF21</f>
        <v>151228.3333</v>
      </c>
      <c r="AF6" s="37">
        <f>'План БДР'!AG21</f>
        <v>1768228</v>
      </c>
    </row>
    <row r="7">
      <c r="A7" s="42" t="str">
        <f>'План БДР'!A22</f>
        <v>кол-во клиентов динамический</v>
      </c>
      <c r="B7" s="42" t="str">
        <f>'План БДР'!B22</f>
        <v/>
      </c>
      <c r="C7" s="42" t="str">
        <f>'План БДР'!C22</f>
        <v/>
      </c>
      <c r="D7" s="42" t="str">
        <f>'План БДР'!D22</f>
        <v/>
      </c>
      <c r="E7" s="43" t="str">
        <f>'План БДР'!E22</f>
        <v/>
      </c>
      <c r="F7" s="43">
        <f>'План БДР'!F22</f>
        <v>0</v>
      </c>
      <c r="G7" s="41">
        <f>'План БДР'!H22</f>
        <v>139034</v>
      </c>
      <c r="H7" s="41">
        <f>'План БДР'!I22</f>
        <v>135888</v>
      </c>
      <c r="I7" s="41">
        <f>'План БДР'!J22</f>
        <v>140972</v>
      </c>
      <c r="J7" s="41">
        <f>'План БДР'!K22</f>
        <v>140569.3333</v>
      </c>
      <c r="K7" s="41">
        <f>'План БДР'!L22</f>
        <v>141538.3333</v>
      </c>
      <c r="L7" s="41">
        <f>'План БДР'!M22</f>
        <v>142507.3333</v>
      </c>
      <c r="M7" s="41">
        <f>'План БДР'!N22</f>
        <v>143476.3333</v>
      </c>
      <c r="N7" s="41">
        <f>'План БДР'!O22</f>
        <v>144445.3333</v>
      </c>
      <c r="O7" s="41">
        <f>'План БДР'!P22</f>
        <v>145414.3333</v>
      </c>
      <c r="P7" s="41">
        <f>'План БДР'!Q22</f>
        <v>146383.3333</v>
      </c>
      <c r="Q7" s="41">
        <f>'План БДР'!R22</f>
        <v>147352.3333</v>
      </c>
      <c r="R7" s="41">
        <f>'План БДР'!S22</f>
        <v>148321.3333</v>
      </c>
      <c r="S7" s="37">
        <f>'План БДР'!T22</f>
        <v>1715902</v>
      </c>
      <c r="T7" s="41">
        <f>'План БДР'!U22</f>
        <v>146383.3333</v>
      </c>
      <c r="U7" s="41">
        <f>'План БДР'!V22</f>
        <v>147352.3333</v>
      </c>
      <c r="V7" s="41">
        <f>'План БДР'!W22</f>
        <v>148321.3333</v>
      </c>
      <c r="W7" s="41">
        <f>'План БДР'!X22</f>
        <v>143476.3333</v>
      </c>
      <c r="X7" s="41">
        <f>'План БДР'!Y22</f>
        <v>144445.3333</v>
      </c>
      <c r="Y7" s="41">
        <f>'План БДР'!Z22</f>
        <v>145414.3333</v>
      </c>
      <c r="Z7" s="41">
        <f>'План БДР'!AA22</f>
        <v>146383.3333</v>
      </c>
      <c r="AA7" s="41">
        <f>'План БДР'!AB22</f>
        <v>147352.3333</v>
      </c>
      <c r="AB7" s="41">
        <f>'План БДР'!AC22</f>
        <v>148321.3333</v>
      </c>
      <c r="AC7" s="41">
        <f>'План БДР'!AD22</f>
        <v>149290.3333</v>
      </c>
      <c r="AD7" s="41">
        <f>'План БДР'!AE22</f>
        <v>150259.3333</v>
      </c>
      <c r="AE7" s="41">
        <f>'План БДР'!AF22</f>
        <v>151228.3333</v>
      </c>
      <c r="AF7" s="37">
        <f>'План БДР'!AG22</f>
        <v>1768228</v>
      </c>
    </row>
    <row r="8">
      <c r="A8" s="42" t="str">
        <f>'План БДР'!A23</f>
        <v>Выручка потенциал</v>
      </c>
      <c r="B8" s="42" t="str">
        <f>'План БДР'!B23</f>
        <v>Выручка</v>
      </c>
      <c r="C8" s="42">
        <f>'План БДР'!C23</f>
        <v>106415362</v>
      </c>
      <c r="D8" s="42">
        <f>'План БДР'!D23</f>
        <v>0.94</v>
      </c>
      <c r="E8" s="43" t="str">
        <f>'План БДР'!E23</f>
        <v/>
      </c>
      <c r="F8" s="43" t="str">
        <f>'План БДР'!F23</f>
        <v/>
      </c>
      <c r="G8" s="41">
        <f>'План БДР'!H23</f>
        <v>1719700.888</v>
      </c>
      <c r="H8" s="41">
        <f>'План БДР'!I23</f>
        <v>2193283.584</v>
      </c>
      <c r="I8" s="41">
        <f>'План БДР'!J23</f>
        <v>2647238.76</v>
      </c>
      <c r="J8" s="41">
        <f>'План БДР'!K23</f>
        <v>2168038.375</v>
      </c>
      <c r="K8" s="41">
        <f>'План БДР'!L23</f>
        <v>2795087.177</v>
      </c>
      <c r="L8" s="41">
        <f>'План БДР'!M23</f>
        <v>8882446.778</v>
      </c>
      <c r="M8" s="41">
        <f>'План БДР'!N23</f>
        <v>5727376.677</v>
      </c>
      <c r="N8" s="41">
        <f>'План БДР'!O23</f>
        <v>11051215.68</v>
      </c>
      <c r="O8" s="41">
        <f>'План БДР'!P23</f>
        <v>12671564.18</v>
      </c>
      <c r="P8" s="41">
        <f>'План БДР'!Q23</f>
        <v>11307026.92</v>
      </c>
      <c r="Q8" s="41">
        <f>'План БДР'!R23</f>
        <v>8663749.435</v>
      </c>
      <c r="R8" s="41">
        <f>'План БДР'!S23</f>
        <v>16984043.42</v>
      </c>
      <c r="S8" s="37">
        <f>'План БДР'!T23</f>
        <v>86810771.87</v>
      </c>
      <c r="T8" s="41">
        <f>'План БДР'!U23</f>
        <v>1719700.888</v>
      </c>
      <c r="U8" s="41">
        <f>'План БДР'!V23</f>
        <v>2193283.584</v>
      </c>
      <c r="V8" s="41">
        <f>'План БДР'!W23</f>
        <v>2647238.76</v>
      </c>
      <c r="W8" s="41">
        <f>'План БДР'!X23</f>
        <v>2168038.375</v>
      </c>
      <c r="X8" s="41">
        <f>'План БДР'!Y23</f>
        <v>2795087.177</v>
      </c>
      <c r="Y8" s="41">
        <f>'План БДР'!Z23</f>
        <v>8882446.778</v>
      </c>
      <c r="Z8" s="41">
        <f>'План БДР'!AA23</f>
        <v>5727376.677</v>
      </c>
      <c r="AA8" s="41">
        <f>'План БДР'!AB23</f>
        <v>11051215.68</v>
      </c>
      <c r="AB8" s="41">
        <f>'План БДР'!AC23</f>
        <v>12671564.18</v>
      </c>
      <c r="AC8" s="41">
        <f>'План БДР'!AD23</f>
        <v>11307026.92</v>
      </c>
      <c r="AD8" s="41">
        <f>'План БДР'!AE23</f>
        <v>8663749.435</v>
      </c>
      <c r="AE8" s="41">
        <f>'План БДР'!AF23</f>
        <v>16984043.42</v>
      </c>
      <c r="AF8" s="37">
        <f>'План БДР'!AG23</f>
        <v>86810771.87</v>
      </c>
    </row>
    <row r="9">
      <c r="A9" s="42" t="str">
        <f>'План БДР'!A26</f>
        <v>Потеря в выручке, руб</v>
      </c>
      <c r="B9" s="42" t="str">
        <f>'План БДР'!B26</f>
        <v/>
      </c>
      <c r="C9" s="42" t="str">
        <f>'План БДР'!C26</f>
        <v/>
      </c>
      <c r="D9" s="42" t="str">
        <f>'План БДР'!D26</f>
        <v/>
      </c>
      <c r="E9" s="43" t="str">
        <f>'План БДР'!E26</f>
        <v/>
      </c>
      <c r="F9" s="43">
        <f>'План БДР'!F26</f>
        <v>0</v>
      </c>
      <c r="G9" s="41">
        <f>'План БДР'!H24</f>
        <v>1696701305</v>
      </c>
      <c r="H9" s="41">
        <f>'План БДР'!I24</f>
        <v>1705305269</v>
      </c>
      <c r="I9" s="41">
        <f>'План БДР'!J24</f>
        <v>1731557254</v>
      </c>
      <c r="J9" s="41">
        <f>'План БДР'!K24</f>
        <v>1771225618</v>
      </c>
      <c r="K9" s="41">
        <f>'План БДР'!L24</f>
        <v>1802266288</v>
      </c>
      <c r="L9" s="41">
        <f>'План БДР'!M24</f>
        <v>1858989765</v>
      </c>
      <c r="M9" s="41">
        <f>'План БДР'!N24</f>
        <v>1892277910</v>
      </c>
      <c r="N9" s="41">
        <f>'План БДР'!O24</f>
        <v>1935205224</v>
      </c>
      <c r="O9" s="41">
        <f>'План БДР'!P24</f>
        <v>1934817433</v>
      </c>
      <c r="P9" s="41">
        <f>'План БДР'!Q24</f>
        <v>1971849079</v>
      </c>
      <c r="Q9" s="41">
        <f>'План БДР'!R24</f>
        <v>8656571374</v>
      </c>
      <c r="R9" s="41">
        <f>'План БДР'!S24</f>
        <v>4624771826</v>
      </c>
      <c r="S9" s="37">
        <f>'План БДР'!T26</f>
        <v>21909350964</v>
      </c>
      <c r="T9" s="41">
        <f>'План БДР'!U24</f>
        <v>1803436098</v>
      </c>
      <c r="U9" s="41">
        <f>'План БДР'!V24</f>
        <v>1794044148</v>
      </c>
      <c r="V9" s="41">
        <f>'План БДР'!W24</f>
        <v>1785449510</v>
      </c>
      <c r="W9" s="41">
        <f>'План БДР'!X24</f>
        <v>1807599102</v>
      </c>
      <c r="X9" s="41">
        <f>'План БДР'!Y24</f>
        <v>1839028451</v>
      </c>
      <c r="Y9" s="41">
        <f>'План БДР'!Z24</f>
        <v>1896653494</v>
      </c>
      <c r="Z9" s="41">
        <f>'План БДР'!AA24</f>
        <v>1930355409</v>
      </c>
      <c r="AA9" s="41">
        <f>'План БДР'!AB24</f>
        <v>1973892019</v>
      </c>
      <c r="AB9" s="41">
        <f>'План БДР'!AC24</f>
        <v>1973243517</v>
      </c>
      <c r="AC9" s="41">
        <f>'План БДР'!AD24</f>
        <v>2010746085</v>
      </c>
      <c r="AD9" s="41">
        <f>'План БДР'!AE24</f>
        <v>8902695922</v>
      </c>
      <c r="AE9" s="41">
        <f>'План БДР'!AF24</f>
        <v>12379715539</v>
      </c>
      <c r="AF9" s="37">
        <f>'План БДР'!AG26</f>
        <v>22569599312</v>
      </c>
    </row>
    <row r="10">
      <c r="A10" s="42" t="str">
        <f>'План БДР'!A27</f>
        <v>Потеря ЧП, руб</v>
      </c>
      <c r="B10" s="42" t="str">
        <f>'План БДР'!B27</f>
        <v/>
      </c>
      <c r="C10" s="42" t="str">
        <f>'План БДР'!C27</f>
        <v/>
      </c>
      <c r="D10" s="42" t="str">
        <f>'План БДР'!D27</f>
        <v/>
      </c>
      <c r="E10" s="43" t="str">
        <f>'План БДР'!E27</f>
        <v/>
      </c>
      <c r="F10" s="43">
        <f>'План БДР'!F27</f>
        <v>0</v>
      </c>
      <c r="G10" s="120">
        <f>'План БДР'!H27</f>
        <v>2857557581</v>
      </c>
      <c r="H10" s="120">
        <f>'План БДР'!I27</f>
        <v>2795585397</v>
      </c>
      <c r="I10" s="120">
        <f>'План БДР'!J27</f>
        <v>2909499175</v>
      </c>
      <c r="J10" s="120">
        <f>'План БДР'!K27</f>
        <v>2886332833</v>
      </c>
      <c r="K10" s="120">
        <f>'План БДР'!L27</f>
        <v>2628021180</v>
      </c>
      <c r="L10" s="120">
        <f>'План БДР'!M27</f>
        <v>2785523603</v>
      </c>
      <c r="M10" s="120">
        <f>'План БДР'!N27</f>
        <v>2694934544</v>
      </c>
      <c r="N10" s="120">
        <f>'План БДР'!O27</f>
        <v>2857438006</v>
      </c>
      <c r="O10" s="120">
        <f>'План БДР'!P27</f>
        <v>2882431386</v>
      </c>
      <c r="P10" s="120">
        <f>'План БДР'!Q27</f>
        <v>2859386743</v>
      </c>
      <c r="Q10" s="120">
        <f>'План БДР'!R27</f>
        <v>2823720484</v>
      </c>
      <c r="R10" s="120">
        <f>'План БДР'!S27</f>
        <v>3059570475</v>
      </c>
      <c r="S10" s="37">
        <f>'План БДР'!T27</f>
        <v>34040001407</v>
      </c>
      <c r="T10" s="120">
        <f>'План БДР'!U27</f>
        <v>3008820143</v>
      </c>
      <c r="U10" s="120">
        <f>'План БДР'!V27</f>
        <v>3031809655</v>
      </c>
      <c r="V10" s="120">
        <f>'План БДР'!W27</f>
        <v>3061430442</v>
      </c>
      <c r="W10" s="120">
        <f>'План БДР'!X27</f>
        <v>2946113360</v>
      </c>
      <c r="X10" s="120">
        <f>'План БДР'!Y27</f>
        <v>2682093023</v>
      </c>
      <c r="Y10" s="120">
        <f>'План БДР'!Z27</f>
        <v>2842534151</v>
      </c>
      <c r="Z10" s="120">
        <f>'План БДР'!AA27</f>
        <v>2749675337</v>
      </c>
      <c r="AA10" s="120">
        <f>'План БДР'!AB27</f>
        <v>2915162803</v>
      </c>
      <c r="AB10" s="120">
        <f>'План БДР'!AC27</f>
        <v>2940293287</v>
      </c>
      <c r="AC10" s="120">
        <f>'План БДР'!AD27</f>
        <v>2916387342</v>
      </c>
      <c r="AD10" s="120">
        <f>'План БДР'!AE27</f>
        <v>2879604509</v>
      </c>
      <c r="AE10" s="120">
        <f>'План БДР'!AF27</f>
        <v>3119833983</v>
      </c>
      <c r="AF10" s="37">
        <f>'План БДР'!AG27</f>
        <v>35093758035</v>
      </c>
    </row>
    <row r="11">
      <c r="A11" s="56" t="str">
        <f>'План БДР'!A28</f>
        <v>Выручка</v>
      </c>
      <c r="B11" s="56" t="str">
        <f>'План БДР'!B28</f>
        <v>Выручка</v>
      </c>
      <c r="C11" s="56" t="str">
        <f>'План БДР'!C28</f>
        <v/>
      </c>
      <c r="D11" s="56">
        <f>'План БДР'!D28</f>
        <v>1</v>
      </c>
      <c r="E11" s="57" t="str">
        <f>'План БДР'!E28</f>
        <v/>
      </c>
      <c r="F11" s="53" t="str">
        <f>'План БДР'!F28</f>
        <v/>
      </c>
      <c r="G11" s="121">
        <f>'План БДР'!H28</f>
        <v>1694279007</v>
      </c>
      <c r="H11" s="60">
        <f>'План БДР'!I28</f>
        <v>1663193885</v>
      </c>
      <c r="I11" s="60">
        <f>'План БДР'!J28</f>
        <v>1732631023</v>
      </c>
      <c r="J11" s="60">
        <f>'План БДР'!K28</f>
        <v>1720090899</v>
      </c>
      <c r="K11" s="60">
        <f>'План БДР'!L28</f>
        <v>1741949842</v>
      </c>
      <c r="L11" s="60">
        <f>'План БДР'!M28</f>
        <v>1851636112</v>
      </c>
      <c r="M11" s="60">
        <f>'План БДР'!N28</f>
        <v>1813212909</v>
      </c>
      <c r="N11" s="60">
        <f>'План БДР'!O28</f>
        <v>1912120275</v>
      </c>
      <c r="O11" s="60">
        <f>'План БДР'!P28</f>
        <v>1951500546</v>
      </c>
      <c r="P11" s="60">
        <f>'План БДР'!Q28</f>
        <v>1941994851</v>
      </c>
      <c r="Q11" s="60">
        <f>'План БДР'!R28</f>
        <v>1910956901</v>
      </c>
      <c r="R11" s="60">
        <f>'План БДР'!S28</f>
        <v>2062595486</v>
      </c>
      <c r="S11" s="122">
        <f>'План БДР'!T28</f>
        <v>21996161736</v>
      </c>
      <c r="T11" s="121">
        <f>'План БДР'!U28</f>
        <v>1783838548</v>
      </c>
      <c r="U11" s="60">
        <f>'План БДР'!V28</f>
        <v>1803510978</v>
      </c>
      <c r="V11" s="60">
        <f>'План БДР'!W28</f>
        <v>1822958768</v>
      </c>
      <c r="W11" s="60">
        <f>'План БДР'!X28</f>
        <v>1755662699</v>
      </c>
      <c r="X11" s="60">
        <f>'План БДР'!Y28</f>
        <v>1777727063</v>
      </c>
      <c r="Y11" s="60">
        <f>'План БДР'!Z28</f>
        <v>1889407545</v>
      </c>
      <c r="Z11" s="60">
        <f>'План БДР'!AA28</f>
        <v>1849950745</v>
      </c>
      <c r="AA11" s="60">
        <f>'План БДР'!AB28</f>
        <v>1950602194</v>
      </c>
      <c r="AB11" s="60">
        <f>'План БДР'!AC28</f>
        <v>1990513290</v>
      </c>
      <c r="AC11" s="60">
        <f>'План БДР'!AD28</f>
        <v>1980560573</v>
      </c>
      <c r="AD11" s="60">
        <f>'План БДР'!AE28</f>
        <v>1948656689</v>
      </c>
      <c r="AE11" s="60">
        <f>'План БДР'!AF28</f>
        <v>2103020993</v>
      </c>
      <c r="AF11" s="122">
        <f>'План БДР'!AG28</f>
        <v>22656410084</v>
      </c>
    </row>
    <row r="12">
      <c r="A12" s="123" t="str">
        <f>'План БДР'!A29</f>
        <v>Выручка прогноз до вычета НДС</v>
      </c>
      <c r="B12" s="123" t="str">
        <f>'План БДР'!B29</f>
        <v>Выручка</v>
      </c>
      <c r="C12" s="123">
        <f>'План БДР'!C29</f>
        <v>106415362</v>
      </c>
      <c r="D12" s="66">
        <f>'План БДР'!D29</f>
        <v>0.82</v>
      </c>
      <c r="E12" s="67" t="str">
        <f>'План БДР'!E29</f>
        <v/>
      </c>
      <c r="F12" s="63" t="str">
        <f>'План БДР'!F29</f>
        <v/>
      </c>
      <c r="G12" s="70">
        <f>'План БДР'!H29</f>
        <v>2066193911</v>
      </c>
      <c r="H12" s="70">
        <f>'План БДР'!I29</f>
        <v>2028285226</v>
      </c>
      <c r="I12" s="70">
        <f>'План БДР'!J29</f>
        <v>2112964662</v>
      </c>
      <c r="J12" s="70">
        <f>'План БДР'!K29</f>
        <v>2097671828</v>
      </c>
      <c r="K12" s="70">
        <f>'План БДР'!L29</f>
        <v>2124329076</v>
      </c>
      <c r="L12" s="70">
        <f>'План БДР'!M29</f>
        <v>2258092819</v>
      </c>
      <c r="M12" s="70">
        <f>'План БДР'!N29</f>
        <v>2211235255</v>
      </c>
      <c r="N12" s="70">
        <f>'План БДР'!O29</f>
        <v>2331853994</v>
      </c>
      <c r="O12" s="70">
        <f>'План БДР'!P29</f>
        <v>2379878715</v>
      </c>
      <c r="P12" s="70">
        <f>'План БДР'!Q29</f>
        <v>2368286403</v>
      </c>
      <c r="Q12" s="70">
        <f>'План БДР'!R29</f>
        <v>2330435245</v>
      </c>
      <c r="R12" s="70">
        <f>'План БДР'!S29</f>
        <v>2515360349</v>
      </c>
      <c r="S12" s="37">
        <f>'План БДР'!T29</f>
        <v>26824587482</v>
      </c>
      <c r="T12" s="70">
        <f>'План БДР'!U29</f>
        <v>2175412863</v>
      </c>
      <c r="U12" s="70">
        <f>'План БДР'!V29</f>
        <v>2199403631</v>
      </c>
      <c r="V12" s="70">
        <f>'План БДР'!W29</f>
        <v>2223120449</v>
      </c>
      <c r="W12" s="70">
        <f>'План БДР'!X29</f>
        <v>2141052072</v>
      </c>
      <c r="X12" s="70">
        <f>'План БДР'!Y29</f>
        <v>2167959833</v>
      </c>
      <c r="Y12" s="70">
        <f>'План БДР'!Z29</f>
        <v>2304155542</v>
      </c>
      <c r="Z12" s="70">
        <f>'План БДР'!AA29</f>
        <v>2256037493</v>
      </c>
      <c r="AA12" s="70">
        <f>'План БДР'!AB29</f>
        <v>2378783163</v>
      </c>
      <c r="AB12" s="70">
        <f>'План БДР'!AC29</f>
        <v>2427455231</v>
      </c>
      <c r="AC12" s="70">
        <f>'План БДР'!AD29</f>
        <v>2415317772</v>
      </c>
      <c r="AD12" s="70">
        <f>'План БДР'!AE29</f>
        <v>2376410596</v>
      </c>
      <c r="AE12" s="70">
        <f>'План БДР'!AF29</f>
        <v>2564659748</v>
      </c>
      <c r="AF12" s="37">
        <f>'План БДР'!AG29</f>
        <v>27629768395</v>
      </c>
    </row>
    <row r="13">
      <c r="A13" s="124" t="str">
        <f>'План БДР'!A30</f>
        <v>Выручка прогноз за вычетом НДС</v>
      </c>
      <c r="B13" s="124" t="str">
        <f>'План БДР'!B30</f>
        <v>НДС</v>
      </c>
      <c r="C13" s="124" t="str">
        <f>'План БДР'!C30</f>
        <v/>
      </c>
      <c r="D13" s="75">
        <f>'План БДР'!D30</f>
        <v>-0.18</v>
      </c>
      <c r="E13" s="67" t="str">
        <f>'План БДР'!E30</f>
        <v/>
      </c>
      <c r="F13" s="63" t="str">
        <f>'План БДР'!F30</f>
        <v/>
      </c>
      <c r="G13" s="70">
        <f>'План БДР'!H30</f>
        <v>-371914904</v>
      </c>
      <c r="H13" s="70">
        <f>'План БДР'!I30</f>
        <v>-365091340.6</v>
      </c>
      <c r="I13" s="70">
        <f>'План БДР'!J30</f>
        <v>-380333639.1</v>
      </c>
      <c r="J13" s="70">
        <f>'План БДР'!K30</f>
        <v>-377580929</v>
      </c>
      <c r="K13" s="70">
        <f>'План БДР'!L30</f>
        <v>-382379233.6</v>
      </c>
      <c r="L13" s="70">
        <f>'План БДР'!M30</f>
        <v>-406456707.5</v>
      </c>
      <c r="M13" s="70">
        <f>'План БДР'!N30</f>
        <v>-398022345.9</v>
      </c>
      <c r="N13" s="70">
        <f>'План БДР'!O30</f>
        <v>-419733718.9</v>
      </c>
      <c r="O13" s="70">
        <f>'План БДР'!P30</f>
        <v>-428378168.7</v>
      </c>
      <c r="P13" s="70">
        <f>'План БДР'!Q30</f>
        <v>-426291552.6</v>
      </c>
      <c r="Q13" s="70">
        <f>'План БДР'!R30</f>
        <v>-419478344.1</v>
      </c>
      <c r="R13" s="70">
        <f>'План БДР'!S30</f>
        <v>-452764862.9</v>
      </c>
      <c r="S13" s="37">
        <f>'План БДР'!T30</f>
        <v>-4828425747</v>
      </c>
      <c r="T13" s="70">
        <f>'План БДР'!U30</f>
        <v>-391574315.4</v>
      </c>
      <c r="U13" s="70">
        <f>'План БДР'!V30</f>
        <v>-395892653.7</v>
      </c>
      <c r="V13" s="70">
        <f>'План БДР'!W30</f>
        <v>-400161680.8</v>
      </c>
      <c r="W13" s="70">
        <f>'План БДР'!X30</f>
        <v>-385389373</v>
      </c>
      <c r="X13" s="70">
        <f>'План БДР'!Y30</f>
        <v>-390232769.9</v>
      </c>
      <c r="Y13" s="70">
        <f>'План БДР'!Z30</f>
        <v>-414747997.6</v>
      </c>
      <c r="Z13" s="70">
        <f>'План БДР'!AA30</f>
        <v>-406086748.8</v>
      </c>
      <c r="AA13" s="70">
        <f>'План БДР'!AB30</f>
        <v>-428180969.4</v>
      </c>
      <c r="AB13" s="70">
        <f>'План БДР'!AC30</f>
        <v>-436941941.6</v>
      </c>
      <c r="AC13" s="70">
        <f>'План БДР'!AD30</f>
        <v>-434757199</v>
      </c>
      <c r="AD13" s="70">
        <f>'План БДР'!AE30</f>
        <v>-427753907.3</v>
      </c>
      <c r="AE13" s="70">
        <f>'План БДР'!AF30</f>
        <v>-461638754.6</v>
      </c>
      <c r="AF13" s="37">
        <f>'План БДР'!AG30</f>
        <v>-4973358311</v>
      </c>
    </row>
    <row r="14">
      <c r="A14" s="87" t="s">
        <v>56</v>
      </c>
      <c r="B14" s="124" t="str">
        <f>'План БДР'!B48</f>
        <v>Расходы на маркетинг</v>
      </c>
      <c r="C14" s="124" t="str">
        <f>'План БДР'!C48</f>
        <v/>
      </c>
      <c r="D14" s="75">
        <f>'План БДР'!D48</f>
        <v>0.03</v>
      </c>
      <c r="E14" s="67">
        <f>'План БДР'!E48</f>
        <v>0.03</v>
      </c>
      <c r="F14" s="82">
        <f>'План БДР'!F48</f>
        <v>-0.03</v>
      </c>
      <c r="G14" s="70">
        <f>'План БДР'!H48</f>
        <v>-61985817.33</v>
      </c>
      <c r="H14" s="70">
        <f>'План БДР'!I48</f>
        <v>-60848556.77</v>
      </c>
      <c r="I14" s="70">
        <f>'План БДР'!J48</f>
        <v>-63388939.85</v>
      </c>
      <c r="J14" s="70">
        <f>'План БДР'!K48</f>
        <v>-62930154.84</v>
      </c>
      <c r="K14" s="70">
        <f>'План БДР'!L48</f>
        <v>-63729872.27</v>
      </c>
      <c r="L14" s="70">
        <f>'План БДР'!M48</f>
        <v>-67742784.58</v>
      </c>
      <c r="M14" s="70">
        <f>'План БДР'!N48</f>
        <v>-66337057.65</v>
      </c>
      <c r="N14" s="70">
        <f>'План БДР'!O48</f>
        <v>-69955619.81</v>
      </c>
      <c r="O14" s="70">
        <f>'План БДР'!P48</f>
        <v>-71396361.45</v>
      </c>
      <c r="P14" s="70">
        <f>'План БДР'!Q48</f>
        <v>-71048592.09</v>
      </c>
      <c r="Q14" s="70">
        <f>'План БДР'!R48</f>
        <v>-69913057.35</v>
      </c>
      <c r="R14" s="70">
        <f>'План БДР'!S48</f>
        <v>-75460810.48</v>
      </c>
      <c r="S14" s="37">
        <f>'План БДР'!T48</f>
        <v>-804737624.5</v>
      </c>
      <c r="T14" s="70">
        <f>'План БДР'!U48</f>
        <v>-65262385.89</v>
      </c>
      <c r="U14" s="70">
        <f>'План БДР'!V48</f>
        <v>-65982108.94</v>
      </c>
      <c r="V14" s="70">
        <f>'План БДР'!W48</f>
        <v>-66693613.46</v>
      </c>
      <c r="W14" s="70">
        <f>'План БДР'!X48</f>
        <v>-64231562.16</v>
      </c>
      <c r="X14" s="70">
        <f>'План БДР'!Y48</f>
        <v>-65038794.98</v>
      </c>
      <c r="Y14" s="70">
        <f>'План БДР'!Z48</f>
        <v>-69124666.27</v>
      </c>
      <c r="Z14" s="70">
        <f>'План БДР'!AA48</f>
        <v>-67681124.8</v>
      </c>
      <c r="AA14" s="70">
        <f>'План БДР'!AB48</f>
        <v>-71363494.9</v>
      </c>
      <c r="AB14" s="70">
        <f>'План БДР'!AC48</f>
        <v>-72823656.94</v>
      </c>
      <c r="AC14" s="70">
        <f>'План БДР'!AD48</f>
        <v>-72459533.16</v>
      </c>
      <c r="AD14" s="70">
        <f>'План БДР'!AE48</f>
        <v>-71292317.89</v>
      </c>
      <c r="AE14" s="70">
        <f>'План БДР'!AF48</f>
        <v>-76939792.44</v>
      </c>
      <c r="AF14" s="37">
        <f>'План БДР'!AG48</f>
        <v>-828893051.8</v>
      </c>
    </row>
    <row r="15">
      <c r="A15" s="125"/>
      <c r="B15" s="125" t="str">
        <f>'План БДР'!B49</f>
        <v>Итоговые расходы на маркетинг</v>
      </c>
      <c r="C15" s="125" t="str">
        <f>'План БДР'!C49</f>
        <v/>
      </c>
      <c r="D15" s="126" t="str">
        <f>'План БДР'!D49</f>
        <v/>
      </c>
      <c r="E15" s="127" t="str">
        <f>'План БДР'!E49</f>
        <v/>
      </c>
      <c r="F15" s="128" t="str">
        <f>'План БДР'!F49</f>
        <v/>
      </c>
      <c r="G15" s="129">
        <f>-'План БДР'!H49</f>
        <v>286088516.6</v>
      </c>
      <c r="H15" s="129">
        <f>-'План БДР'!I49</f>
        <v>285378050.4</v>
      </c>
      <c r="I15" s="129">
        <f>-'План БДР'!J49</f>
        <v>298594621.9</v>
      </c>
      <c r="J15" s="129">
        <f>-'План БДР'!K49</f>
        <v>297672504.8</v>
      </c>
      <c r="K15" s="129">
        <f>-'План БДР'!L49</f>
        <v>300130836.9</v>
      </c>
      <c r="L15" s="129">
        <f>-'План БДР'!M49</f>
        <v>320872023.9</v>
      </c>
      <c r="M15" s="129">
        <f>-'План БДР'!N49</f>
        <v>331727978.8</v>
      </c>
      <c r="N15" s="129">
        <f>-'План БДР'!O49</f>
        <v>340250506.4</v>
      </c>
      <c r="O15" s="129">
        <f>-'План БДР'!P49</f>
        <v>363743996.5</v>
      </c>
      <c r="P15" s="129">
        <f>-'План БДР'!Q49</f>
        <v>366965346.5</v>
      </c>
      <c r="Q15" s="129">
        <f>-'План БДР'!R49</f>
        <v>356962572.5</v>
      </c>
      <c r="R15" s="129">
        <f>-'План БДР'!S49</f>
        <v>376637548.8</v>
      </c>
      <c r="S15" s="48">
        <f>'План БДР'!T49</f>
        <v>-3925024504</v>
      </c>
      <c r="T15" s="129">
        <f>-'План БДР'!U49</f>
        <v>301211420.2</v>
      </c>
      <c r="U15" s="129">
        <f>-'План БДР'!V49</f>
        <v>309454703.4</v>
      </c>
      <c r="V15" s="129">
        <f>-'План БДР'!W49</f>
        <v>314161609.1</v>
      </c>
      <c r="W15" s="129">
        <f>-'План БДР'!X49</f>
        <v>303828534.4</v>
      </c>
      <c r="X15" s="129">
        <f>-'План БДР'!Y49</f>
        <v>306295211.7</v>
      </c>
      <c r="Y15" s="129">
        <f>-'План БДР'!Z49</f>
        <v>327417581.6</v>
      </c>
      <c r="Z15" s="129">
        <f>-'План БДР'!AA49</f>
        <v>338449284</v>
      </c>
      <c r="AA15" s="129">
        <f>-'План БДР'!AB49</f>
        <v>347098240.3</v>
      </c>
      <c r="AB15" s="129">
        <f>-'План БДР'!AC49</f>
        <v>371015761</v>
      </c>
      <c r="AC15" s="129">
        <f>-'План БДР'!AD49</f>
        <v>374252947</v>
      </c>
      <c r="AD15" s="129">
        <f>-'План БДР'!AE49</f>
        <v>364004912.3</v>
      </c>
      <c r="AE15" s="129">
        <f>-'План БДР'!AF49</f>
        <v>384019496.6</v>
      </c>
      <c r="AF15" s="48">
        <f>'План БДР'!AG49</f>
        <v>-4041209702</v>
      </c>
    </row>
    <row r="16">
      <c r="A16" s="125" t="s">
        <v>79</v>
      </c>
      <c r="B16" s="125"/>
      <c r="C16" s="125"/>
      <c r="D16" s="126"/>
      <c r="E16" s="127"/>
      <c r="F16" s="128"/>
      <c r="G16" s="129">
        <f t="shared" ref="G16:AF16" si="1">G14/G7</f>
        <v>-445.8320794</v>
      </c>
      <c r="H16" s="129">
        <f t="shared" si="1"/>
        <v>-447.7846224</v>
      </c>
      <c r="I16" s="129">
        <f t="shared" si="1"/>
        <v>-449.6562427</v>
      </c>
      <c r="J16" s="129">
        <f t="shared" si="1"/>
        <v>-447.6805385</v>
      </c>
      <c r="K16" s="129">
        <f t="shared" si="1"/>
        <v>-450.2658097</v>
      </c>
      <c r="L16" s="129">
        <f t="shared" si="1"/>
        <v>-475.3634988</v>
      </c>
      <c r="M16" s="129">
        <f t="shared" si="1"/>
        <v>-462.3554011</v>
      </c>
      <c r="N16" s="129">
        <f t="shared" si="1"/>
        <v>-484.3051568</v>
      </c>
      <c r="O16" s="129">
        <f t="shared" si="1"/>
        <v>-490.985722</v>
      </c>
      <c r="P16" s="129">
        <f t="shared" si="1"/>
        <v>-485.3598458</v>
      </c>
      <c r="Q16" s="129">
        <f t="shared" si="1"/>
        <v>-474.4618275</v>
      </c>
      <c r="R16" s="129">
        <f t="shared" si="1"/>
        <v>-508.7657236</v>
      </c>
      <c r="S16" s="48">
        <f t="shared" si="1"/>
        <v>-468.9881033</v>
      </c>
      <c r="T16" s="129">
        <f t="shared" si="1"/>
        <v>-445.8320794</v>
      </c>
      <c r="U16" s="129">
        <f t="shared" si="1"/>
        <v>-447.7846224</v>
      </c>
      <c r="V16" s="129">
        <f t="shared" si="1"/>
        <v>-449.6562427</v>
      </c>
      <c r="W16" s="129">
        <f t="shared" si="1"/>
        <v>-447.6805385</v>
      </c>
      <c r="X16" s="129">
        <f t="shared" si="1"/>
        <v>-450.2658097</v>
      </c>
      <c r="Y16" s="129">
        <f t="shared" si="1"/>
        <v>-475.3634988</v>
      </c>
      <c r="Z16" s="129">
        <f t="shared" si="1"/>
        <v>-462.3554011</v>
      </c>
      <c r="AA16" s="129">
        <f t="shared" si="1"/>
        <v>-484.3051568</v>
      </c>
      <c r="AB16" s="129">
        <f t="shared" si="1"/>
        <v>-490.985722</v>
      </c>
      <c r="AC16" s="129">
        <f t="shared" si="1"/>
        <v>-485.3598458</v>
      </c>
      <c r="AD16" s="129">
        <f t="shared" si="1"/>
        <v>-474.4618275</v>
      </c>
      <c r="AE16" s="129">
        <f t="shared" si="1"/>
        <v>-508.7657236</v>
      </c>
      <c r="AF16" s="48">
        <f t="shared" si="1"/>
        <v>-468.7704594</v>
      </c>
    </row>
    <row r="17">
      <c r="A17" s="125" t="s">
        <v>80</v>
      </c>
      <c r="B17" s="125"/>
      <c r="C17" s="125"/>
      <c r="D17" s="126"/>
      <c r="E17" s="127"/>
      <c r="F17" s="128"/>
      <c r="G17" s="129">
        <f t="shared" ref="G17:AF17" si="2">(G14+G15)/G6</f>
        <v>1611.855368</v>
      </c>
      <c r="H17" s="129">
        <f t="shared" si="2"/>
        <v>1592.724042</v>
      </c>
      <c r="I17" s="129">
        <f t="shared" si="2"/>
        <v>1730.878975</v>
      </c>
      <c r="J17" s="129">
        <f t="shared" si="2"/>
        <v>1665.170034</v>
      </c>
      <c r="K17" s="129">
        <f t="shared" si="2"/>
        <v>1670.22572</v>
      </c>
      <c r="L17" s="129">
        <f t="shared" si="2"/>
        <v>1776.25413</v>
      </c>
      <c r="M17" s="129">
        <f t="shared" si="2"/>
        <v>1849.719149</v>
      </c>
      <c r="N17" s="129">
        <f t="shared" si="2"/>
        <v>1871.260776</v>
      </c>
      <c r="O17" s="129">
        <f t="shared" si="2"/>
        <v>2010.445796</v>
      </c>
      <c r="P17" s="129">
        <f t="shared" si="2"/>
        <v>2021.519442</v>
      </c>
      <c r="Q17" s="129">
        <f t="shared" si="2"/>
        <v>1948.048658</v>
      </c>
      <c r="R17" s="129">
        <f t="shared" si="2"/>
        <v>2030.569248</v>
      </c>
      <c r="S17" s="48">
        <f t="shared" si="2"/>
        <v>-2756.429055</v>
      </c>
      <c r="T17" s="129">
        <f t="shared" si="2"/>
        <v>1611.857231</v>
      </c>
      <c r="U17" s="129">
        <f t="shared" si="2"/>
        <v>1641.521075</v>
      </c>
      <c r="V17" s="129">
        <f t="shared" si="2"/>
        <v>1679.430451</v>
      </c>
      <c r="W17" s="129">
        <f t="shared" si="2"/>
        <v>1615.39117</v>
      </c>
      <c r="X17" s="129">
        <f t="shared" si="2"/>
        <v>1670.226453</v>
      </c>
      <c r="Y17" s="129">
        <f t="shared" si="2"/>
        <v>1776.254853</v>
      </c>
      <c r="Z17" s="129">
        <f t="shared" si="2"/>
        <v>1849.719863</v>
      </c>
      <c r="AA17" s="129">
        <f t="shared" si="2"/>
        <v>1871.261481</v>
      </c>
      <c r="AB17" s="129">
        <f t="shared" si="2"/>
        <v>2010.446491</v>
      </c>
      <c r="AC17" s="129">
        <f t="shared" si="2"/>
        <v>2021.520128</v>
      </c>
      <c r="AD17" s="129">
        <f t="shared" si="2"/>
        <v>1948.049335</v>
      </c>
      <c r="AE17" s="129">
        <f t="shared" si="2"/>
        <v>2030.569917</v>
      </c>
      <c r="AF17" s="48">
        <f t="shared" si="2"/>
        <v>-2754.227822</v>
      </c>
    </row>
    <row r="18">
      <c r="A18" s="125" t="s">
        <v>81</v>
      </c>
      <c r="B18" s="125"/>
      <c r="C18" s="125"/>
      <c r="D18" s="126"/>
      <c r="E18" s="127"/>
      <c r="F18" s="130">
        <v>56.0</v>
      </c>
      <c r="G18" s="129">
        <f t="shared" ref="G18:AF18" si="3">G14/(G6+$F$18)</f>
        <v>-445.6525798</v>
      </c>
      <c r="H18" s="129">
        <f t="shared" si="3"/>
        <v>-431.4643671</v>
      </c>
      <c r="I18" s="129">
        <f t="shared" si="3"/>
        <v>-466.2871465</v>
      </c>
      <c r="J18" s="129">
        <f t="shared" si="3"/>
        <v>-446.2245429</v>
      </c>
      <c r="K18" s="129">
        <f t="shared" si="3"/>
        <v>-450.0877314</v>
      </c>
      <c r="L18" s="129">
        <f t="shared" si="3"/>
        <v>-475.1767723</v>
      </c>
      <c r="M18" s="129">
        <f t="shared" si="3"/>
        <v>-462.1750104</v>
      </c>
      <c r="N18" s="129">
        <f t="shared" si="3"/>
        <v>-484.1174694</v>
      </c>
      <c r="O18" s="129">
        <f t="shared" si="3"/>
        <v>-490.796713</v>
      </c>
      <c r="P18" s="129">
        <f t="shared" si="3"/>
        <v>-485.1742389</v>
      </c>
      <c r="Q18" s="129">
        <f t="shared" si="3"/>
        <v>-474.2815808</v>
      </c>
      <c r="R18" s="129">
        <f t="shared" si="3"/>
        <v>-508.5737072</v>
      </c>
      <c r="S18" s="48">
        <f t="shared" si="3"/>
        <v>-468.972798</v>
      </c>
      <c r="T18" s="129">
        <f t="shared" si="3"/>
        <v>-445.6615884</v>
      </c>
      <c r="U18" s="129">
        <f t="shared" si="3"/>
        <v>-444.6912979</v>
      </c>
      <c r="V18" s="129">
        <f t="shared" si="3"/>
        <v>-452.4412695</v>
      </c>
      <c r="W18" s="129">
        <f t="shared" si="3"/>
        <v>-432.8933586</v>
      </c>
      <c r="X18" s="129">
        <f t="shared" si="3"/>
        <v>-450.0913139</v>
      </c>
      <c r="Y18" s="129">
        <f t="shared" si="3"/>
        <v>-475.1805037</v>
      </c>
      <c r="Z18" s="129">
        <f t="shared" si="3"/>
        <v>-462.1785914</v>
      </c>
      <c r="AA18" s="129">
        <f t="shared" si="3"/>
        <v>-484.1211707</v>
      </c>
      <c r="AB18" s="129">
        <f t="shared" si="3"/>
        <v>-490.8004161</v>
      </c>
      <c r="AC18" s="129">
        <f t="shared" si="3"/>
        <v>-485.1778517</v>
      </c>
      <c r="AD18" s="129">
        <f t="shared" si="3"/>
        <v>-474.2850666</v>
      </c>
      <c r="AE18" s="129">
        <f t="shared" si="3"/>
        <v>-508.5773969</v>
      </c>
      <c r="AF18" s="48">
        <f t="shared" si="3"/>
        <v>-468.7556138</v>
      </c>
    </row>
    <row r="19">
      <c r="A19" s="125" t="s">
        <v>82</v>
      </c>
      <c r="B19" s="125"/>
      <c r="C19" s="125"/>
      <c r="D19" s="126"/>
      <c r="E19" s="127"/>
      <c r="F19" s="128">
        <v>74.0</v>
      </c>
      <c r="G19" s="129">
        <f>(G15+G14)</f>
        <v>224102699.3</v>
      </c>
      <c r="H19" s="129">
        <f t="shared" ref="H19:R19" si="4">(H15+H14)-G19</f>
        <v>426794.3164</v>
      </c>
      <c r="I19" s="129">
        <f t="shared" si="4"/>
        <v>234778887.8</v>
      </c>
      <c r="J19" s="129">
        <f t="shared" si="4"/>
        <v>-36537.76908</v>
      </c>
      <c r="K19" s="129">
        <f t="shared" si="4"/>
        <v>236437502.4</v>
      </c>
      <c r="L19" s="129">
        <f t="shared" si="4"/>
        <v>16691736.93</v>
      </c>
      <c r="M19" s="129">
        <f t="shared" si="4"/>
        <v>248699184.2</v>
      </c>
      <c r="N19" s="129">
        <f t="shared" si="4"/>
        <v>21595702.31</v>
      </c>
      <c r="O19" s="129">
        <f t="shared" si="4"/>
        <v>270751932.8</v>
      </c>
      <c r="P19" s="129">
        <f t="shared" si="4"/>
        <v>25164821.61</v>
      </c>
      <c r="Q19" s="129">
        <f t="shared" si="4"/>
        <v>261884693.6</v>
      </c>
      <c r="R19" s="129">
        <f t="shared" si="4"/>
        <v>39292044.73</v>
      </c>
      <c r="S19" s="48">
        <f>SUM(G19:R19)</f>
        <v>1579789462</v>
      </c>
      <c r="T19" s="129">
        <f>(T15+T14)</f>
        <v>235949034.3</v>
      </c>
      <c r="U19" s="129">
        <f t="shared" ref="U19:AE19" si="5">(U15+U14)-T19</f>
        <v>7523560.139</v>
      </c>
      <c r="V19" s="129">
        <f t="shared" si="5"/>
        <v>239944435.5</v>
      </c>
      <c r="W19" s="129">
        <f t="shared" si="5"/>
        <v>-347463.3041</v>
      </c>
      <c r="X19" s="129">
        <f t="shared" si="5"/>
        <v>241603880</v>
      </c>
      <c r="Y19" s="129">
        <f t="shared" si="5"/>
        <v>16689035.26</v>
      </c>
      <c r="Z19" s="129">
        <f t="shared" si="5"/>
        <v>254079124</v>
      </c>
      <c r="AA19" s="129">
        <f t="shared" si="5"/>
        <v>21655621.46</v>
      </c>
      <c r="AB19" s="129">
        <f t="shared" si="5"/>
        <v>276536482.6</v>
      </c>
      <c r="AC19" s="129">
        <f t="shared" si="5"/>
        <v>25256931.16</v>
      </c>
      <c r="AD19" s="129">
        <f t="shared" si="5"/>
        <v>267455663.2</v>
      </c>
      <c r="AE19" s="129">
        <f t="shared" si="5"/>
        <v>39624040.97</v>
      </c>
      <c r="AF19" s="48">
        <f>SUM(T19:AE19)</f>
        <v>1625970345</v>
      </c>
    </row>
    <row r="20">
      <c r="A20" s="125"/>
      <c r="B20" s="125"/>
      <c r="C20" s="125"/>
      <c r="D20" s="126"/>
      <c r="E20" s="127"/>
      <c r="F20" s="130">
        <v>45.0</v>
      </c>
      <c r="G20" s="129">
        <f t="shared" ref="G20:AF20" si="6">$F$20+($F$20*G2)</f>
        <v>45.72721211</v>
      </c>
      <c r="H20" s="129">
        <f t="shared" si="6"/>
        <v>45.92747663</v>
      </c>
      <c r="I20" s="129">
        <f t="shared" si="6"/>
        <v>46.11944123</v>
      </c>
      <c r="J20" s="129">
        <f t="shared" si="6"/>
        <v>45.91680116</v>
      </c>
      <c r="K20" s="129">
        <f t="shared" si="6"/>
        <v>46.18196208</v>
      </c>
      <c r="L20" s="129">
        <f t="shared" si="6"/>
        <v>48.75613161</v>
      </c>
      <c r="M20" s="129">
        <f t="shared" si="6"/>
        <v>47.42194309</v>
      </c>
      <c r="N20" s="129">
        <f t="shared" si="6"/>
        <v>49.67324169</v>
      </c>
      <c r="O20" s="129">
        <f t="shared" si="6"/>
        <v>50.35844052</v>
      </c>
      <c r="P20" s="129">
        <f t="shared" si="6"/>
        <v>49.78141691</v>
      </c>
      <c r="Q20" s="129">
        <f t="shared" si="6"/>
        <v>48.66365079</v>
      </c>
      <c r="R20" s="129">
        <f t="shared" si="6"/>
        <v>52.18206413</v>
      </c>
      <c r="S20" s="48">
        <f t="shared" si="6"/>
        <v>45</v>
      </c>
      <c r="T20" s="129">
        <f t="shared" si="6"/>
        <v>45.72721211</v>
      </c>
      <c r="U20" s="129">
        <f t="shared" si="6"/>
        <v>45.92747663</v>
      </c>
      <c r="V20" s="129">
        <f t="shared" si="6"/>
        <v>46.11944123</v>
      </c>
      <c r="W20" s="129">
        <f t="shared" si="6"/>
        <v>45.91680116</v>
      </c>
      <c r="X20" s="129">
        <f t="shared" si="6"/>
        <v>46.18196208</v>
      </c>
      <c r="Y20" s="129">
        <f t="shared" si="6"/>
        <v>48.75613161</v>
      </c>
      <c r="Z20" s="129">
        <f t="shared" si="6"/>
        <v>47.42194309</v>
      </c>
      <c r="AA20" s="129">
        <f t="shared" si="6"/>
        <v>49.67324169</v>
      </c>
      <c r="AB20" s="129">
        <f t="shared" si="6"/>
        <v>50.35844052</v>
      </c>
      <c r="AC20" s="129">
        <f t="shared" si="6"/>
        <v>49.78141691</v>
      </c>
      <c r="AD20" s="129">
        <f t="shared" si="6"/>
        <v>48.66365079</v>
      </c>
      <c r="AE20" s="129">
        <f t="shared" si="6"/>
        <v>52.18206413</v>
      </c>
      <c r="AF20" s="48">
        <f t="shared" si="6"/>
        <v>45</v>
      </c>
    </row>
    <row r="21" ht="15.75" customHeight="1">
      <c r="A21" s="125" t="s">
        <v>83</v>
      </c>
      <c r="B21" s="125"/>
      <c r="C21" s="125" t="str">
        <f>AVERAGE(#REF!)</f>
        <v>#REF!</v>
      </c>
      <c r="D21" s="126"/>
      <c r="E21" s="127"/>
      <c r="F21" s="129"/>
      <c r="G21" s="129">
        <f t="shared" ref="G21:AF21" si="7">G20*G7</f>
        <v>6357637.209</v>
      </c>
      <c r="H21" s="129">
        <f t="shared" si="7"/>
        <v>6240992.944</v>
      </c>
      <c r="I21" s="129">
        <f t="shared" si="7"/>
        <v>6501549.87</v>
      </c>
      <c r="J21" s="129">
        <f t="shared" si="7"/>
        <v>6454494.127</v>
      </c>
      <c r="K21" s="129">
        <f t="shared" si="7"/>
        <v>6536517.943</v>
      </c>
      <c r="L21" s="129">
        <f t="shared" si="7"/>
        <v>6948106.299</v>
      </c>
      <c r="M21" s="129">
        <f t="shared" si="7"/>
        <v>6803926.514</v>
      </c>
      <c r="N21" s="129">
        <f t="shared" si="7"/>
        <v>7175067.953</v>
      </c>
      <c r="O21" s="129">
        <f t="shared" si="7"/>
        <v>7322839.056</v>
      </c>
      <c r="P21" s="129">
        <f t="shared" si="7"/>
        <v>7287169.745</v>
      </c>
      <c r="Q21" s="129">
        <f t="shared" si="7"/>
        <v>7170702.492</v>
      </c>
      <c r="R21" s="129">
        <f t="shared" si="7"/>
        <v>7739713.327</v>
      </c>
      <c r="S21" s="48">
        <f t="shared" si="7"/>
        <v>77215590</v>
      </c>
      <c r="T21" s="129">
        <f t="shared" si="7"/>
        <v>6693701.733</v>
      </c>
      <c r="U21" s="129">
        <f t="shared" si="7"/>
        <v>6767520.845</v>
      </c>
      <c r="V21" s="129">
        <f t="shared" si="7"/>
        <v>6840497.016</v>
      </c>
      <c r="W21" s="129">
        <f t="shared" si="7"/>
        <v>6587974.268</v>
      </c>
      <c r="X21" s="129">
        <f t="shared" si="7"/>
        <v>6670768.907</v>
      </c>
      <c r="Y21" s="129">
        <f t="shared" si="7"/>
        <v>7089840.374</v>
      </c>
      <c r="Z21" s="129">
        <f t="shared" si="7"/>
        <v>6941782.102</v>
      </c>
      <c r="AA21" s="129">
        <f t="shared" si="7"/>
        <v>7319468.067</v>
      </c>
      <c r="AB21" s="129">
        <f t="shared" si="7"/>
        <v>7469231.043</v>
      </c>
      <c r="AC21" s="129">
        <f t="shared" si="7"/>
        <v>7431884.324</v>
      </c>
      <c r="AD21" s="129">
        <f t="shared" si="7"/>
        <v>7312167.725</v>
      </c>
      <c r="AE21" s="129">
        <f t="shared" si="7"/>
        <v>7891406.588</v>
      </c>
      <c r="AF21" s="48">
        <f t="shared" si="7"/>
        <v>79570260</v>
      </c>
    </row>
    <row r="22" ht="15.75" customHeight="1">
      <c r="A22" s="125" t="s">
        <v>84</v>
      </c>
      <c r="B22" s="125"/>
      <c r="C22" s="125"/>
      <c r="D22" s="126"/>
      <c r="E22" s="127"/>
      <c r="F22" s="129"/>
      <c r="G22" s="129">
        <f t="shared" ref="G22:AF22" si="8">G21*39.9</f>
        <v>253669724.6</v>
      </c>
      <c r="H22" s="129">
        <f t="shared" si="8"/>
        <v>249015618.5</v>
      </c>
      <c r="I22" s="129">
        <f t="shared" si="8"/>
        <v>259411839.8</v>
      </c>
      <c r="J22" s="129">
        <f t="shared" si="8"/>
        <v>257534315.7</v>
      </c>
      <c r="K22" s="129">
        <f t="shared" si="8"/>
        <v>260807065.9</v>
      </c>
      <c r="L22" s="129">
        <f t="shared" si="8"/>
        <v>277229441.3</v>
      </c>
      <c r="M22" s="129">
        <f t="shared" si="8"/>
        <v>271476667.9</v>
      </c>
      <c r="N22" s="129">
        <f t="shared" si="8"/>
        <v>286285211.3</v>
      </c>
      <c r="O22" s="129">
        <f t="shared" si="8"/>
        <v>292181278.3</v>
      </c>
      <c r="P22" s="129">
        <f t="shared" si="8"/>
        <v>290758072.8</v>
      </c>
      <c r="Q22" s="129">
        <f t="shared" si="8"/>
        <v>286111029.4</v>
      </c>
      <c r="R22" s="129">
        <f t="shared" si="8"/>
        <v>308814561.8</v>
      </c>
      <c r="S22" s="48">
        <f t="shared" si="8"/>
        <v>3080902041</v>
      </c>
      <c r="T22" s="129">
        <f t="shared" si="8"/>
        <v>267078699.1</v>
      </c>
      <c r="U22" s="129">
        <f t="shared" si="8"/>
        <v>270024081.7</v>
      </c>
      <c r="V22" s="129">
        <f t="shared" si="8"/>
        <v>272935831</v>
      </c>
      <c r="W22" s="129">
        <f t="shared" si="8"/>
        <v>262860173.3</v>
      </c>
      <c r="X22" s="129">
        <f t="shared" si="8"/>
        <v>266163679.4</v>
      </c>
      <c r="Y22" s="129">
        <f t="shared" si="8"/>
        <v>282884630.9</v>
      </c>
      <c r="Z22" s="129">
        <f t="shared" si="8"/>
        <v>276977105.9</v>
      </c>
      <c r="AA22" s="129">
        <f t="shared" si="8"/>
        <v>292046775.9</v>
      </c>
      <c r="AB22" s="129">
        <f t="shared" si="8"/>
        <v>298022318.6</v>
      </c>
      <c r="AC22" s="129">
        <f t="shared" si="8"/>
        <v>296532184.5</v>
      </c>
      <c r="AD22" s="129">
        <f t="shared" si="8"/>
        <v>291755492.2</v>
      </c>
      <c r="AE22" s="129">
        <f t="shared" si="8"/>
        <v>314867122.8</v>
      </c>
      <c r="AF22" s="48">
        <f t="shared" si="8"/>
        <v>3174853374</v>
      </c>
    </row>
    <row r="23" ht="15.75" customHeight="1">
      <c r="A23" s="125" t="s">
        <v>85</v>
      </c>
      <c r="B23" s="125"/>
      <c r="C23" s="125"/>
      <c r="D23" s="126"/>
      <c r="E23" s="127"/>
      <c r="F23" s="129"/>
      <c r="G23" s="129">
        <f t="shared" ref="G23:R23" si="9">-G21*F20</f>
        <v>-286093674.4</v>
      </c>
      <c r="H23" s="129">
        <f t="shared" si="9"/>
        <v>-285383208.1</v>
      </c>
      <c r="I23" s="129">
        <f t="shared" si="9"/>
        <v>-298599779.7</v>
      </c>
      <c r="J23" s="129">
        <f t="shared" si="9"/>
        <v>-297677662.6</v>
      </c>
      <c r="K23" s="129">
        <f t="shared" si="9"/>
        <v>-300135994.7</v>
      </c>
      <c r="L23" s="129">
        <f t="shared" si="9"/>
        <v>-320877181.7</v>
      </c>
      <c r="M23" s="129">
        <f t="shared" si="9"/>
        <v>-331733136.6</v>
      </c>
      <c r="N23" s="129">
        <f t="shared" si="9"/>
        <v>-340255664.1</v>
      </c>
      <c r="O23" s="129">
        <f t="shared" si="9"/>
        <v>-363749154.3</v>
      </c>
      <c r="P23" s="129">
        <f t="shared" si="9"/>
        <v>-366970504.2</v>
      </c>
      <c r="Q23" s="129">
        <f t="shared" si="9"/>
        <v>-356967730.3</v>
      </c>
      <c r="R23" s="129">
        <f t="shared" si="9"/>
        <v>-376642706.5</v>
      </c>
      <c r="S23" s="48">
        <f>-S21*32</f>
        <v>-2470898880</v>
      </c>
      <c r="T23" s="129">
        <f t="shared" ref="T23:AE23" si="10">-T21*S20</f>
        <v>-301216578</v>
      </c>
      <c r="U23" s="129">
        <f t="shared" si="10"/>
        <v>-309459861.2</v>
      </c>
      <c r="V23" s="129">
        <f t="shared" si="10"/>
        <v>-314166766.9</v>
      </c>
      <c r="W23" s="129">
        <f t="shared" si="10"/>
        <v>-303833692.1</v>
      </c>
      <c r="X23" s="129">
        <f t="shared" si="10"/>
        <v>-306300369.5</v>
      </c>
      <c r="Y23" s="129">
        <f t="shared" si="10"/>
        <v>-327422739.3</v>
      </c>
      <c r="Z23" s="129">
        <f t="shared" si="10"/>
        <v>-338454441.8</v>
      </c>
      <c r="AA23" s="129">
        <f t="shared" si="10"/>
        <v>-347103398.1</v>
      </c>
      <c r="AB23" s="129">
        <f t="shared" si="10"/>
        <v>-371020918.8</v>
      </c>
      <c r="AC23" s="129">
        <f t="shared" si="10"/>
        <v>-374258104.7</v>
      </c>
      <c r="AD23" s="129">
        <f t="shared" si="10"/>
        <v>-364010070</v>
      </c>
      <c r="AE23" s="129">
        <f t="shared" si="10"/>
        <v>-384024654.4</v>
      </c>
      <c r="AF23" s="48">
        <f>-AF21*32</f>
        <v>-2546248320</v>
      </c>
    </row>
    <row r="24" ht="15.75" customHeight="1">
      <c r="A24" s="131" t="s">
        <v>86</v>
      </c>
      <c r="B24" s="131"/>
      <c r="C24" s="131"/>
      <c r="D24" s="66"/>
      <c r="E24" s="67"/>
      <c r="F24" s="82"/>
      <c r="G24" s="82">
        <f t="shared" ref="G24:AF24" si="11">G7/G21</f>
        <v>0.02186881627</v>
      </c>
      <c r="H24" s="82">
        <f t="shared" si="11"/>
        <v>0.02177345836</v>
      </c>
      <c r="I24" s="82">
        <f t="shared" si="11"/>
        <v>0.02168282991</v>
      </c>
      <c r="J24" s="82">
        <f t="shared" si="11"/>
        <v>0.0217785206</v>
      </c>
      <c r="K24" s="82">
        <f t="shared" si="11"/>
        <v>0.02165347584</v>
      </c>
      <c r="L24" s="82">
        <f t="shared" si="11"/>
        <v>0.0205102408</v>
      </c>
      <c r="M24" s="82">
        <f t="shared" si="11"/>
        <v>0.02108728439</v>
      </c>
      <c r="N24" s="82">
        <f t="shared" si="11"/>
        <v>0.02013156311</v>
      </c>
      <c r="O24" s="82">
        <f t="shared" si="11"/>
        <v>0.01985764431</v>
      </c>
      <c r="P24" s="82">
        <f t="shared" si="11"/>
        <v>0.02008781714</v>
      </c>
      <c r="Q24" s="82">
        <f t="shared" si="11"/>
        <v>0.02054921864</v>
      </c>
      <c r="R24" s="82">
        <f t="shared" si="11"/>
        <v>0.01916367274</v>
      </c>
      <c r="S24" s="132">
        <f t="shared" si="11"/>
        <v>0.02222222222</v>
      </c>
      <c r="T24" s="82">
        <f t="shared" si="11"/>
        <v>0.02186881627</v>
      </c>
      <c r="U24" s="82">
        <f t="shared" si="11"/>
        <v>0.02177345836</v>
      </c>
      <c r="V24" s="82">
        <f t="shared" si="11"/>
        <v>0.02168282991</v>
      </c>
      <c r="W24" s="82">
        <f t="shared" si="11"/>
        <v>0.0217785206</v>
      </c>
      <c r="X24" s="82">
        <f t="shared" si="11"/>
        <v>0.02165347584</v>
      </c>
      <c r="Y24" s="82">
        <f t="shared" si="11"/>
        <v>0.0205102408</v>
      </c>
      <c r="Z24" s="82">
        <f t="shared" si="11"/>
        <v>0.02108728439</v>
      </c>
      <c r="AA24" s="82">
        <f t="shared" si="11"/>
        <v>0.02013156311</v>
      </c>
      <c r="AB24" s="82">
        <f t="shared" si="11"/>
        <v>0.01985764431</v>
      </c>
      <c r="AC24" s="82">
        <f t="shared" si="11"/>
        <v>0.02008781714</v>
      </c>
      <c r="AD24" s="82">
        <f t="shared" si="11"/>
        <v>0.02054921864</v>
      </c>
      <c r="AE24" s="82">
        <f t="shared" si="11"/>
        <v>0.01916367274</v>
      </c>
      <c r="AF24" s="132">
        <f t="shared" si="11"/>
        <v>0.02222222222</v>
      </c>
    </row>
    <row r="25" ht="15.75" customHeight="1">
      <c r="A25" s="131" t="s">
        <v>87</v>
      </c>
      <c r="B25" s="131"/>
      <c r="C25" s="131"/>
      <c r="D25" s="66"/>
      <c r="E25" s="67"/>
      <c r="F25" s="82"/>
      <c r="G25" s="82">
        <f t="shared" ref="G25:AF25" si="12">IFERROR(1-(G12-(G14+G15))/(G15+G14),0)</f>
        <v>-7.219852851</v>
      </c>
      <c r="H25" s="82">
        <f t="shared" si="12"/>
        <v>-7.033491293</v>
      </c>
      <c r="I25" s="82">
        <f t="shared" si="12"/>
        <v>-6.983476261</v>
      </c>
      <c r="J25" s="82">
        <f t="shared" si="12"/>
        <v>-6.936060442</v>
      </c>
      <c r="K25" s="82">
        <f t="shared" si="12"/>
        <v>-6.986126934</v>
      </c>
      <c r="L25" s="82">
        <f t="shared" si="12"/>
        <v>-6.920711117</v>
      </c>
      <c r="M25" s="82">
        <f t="shared" si="12"/>
        <v>-6.33199284</v>
      </c>
      <c r="N25" s="82">
        <f t="shared" si="12"/>
        <v>-6.627074021</v>
      </c>
      <c r="O25" s="82">
        <f t="shared" si="12"/>
        <v>-6.140577961</v>
      </c>
      <c r="P25" s="82">
        <f t="shared" si="12"/>
        <v>-6.003218365</v>
      </c>
      <c r="Q25" s="82">
        <f t="shared" si="12"/>
        <v>-6.11858276</v>
      </c>
      <c r="R25" s="82">
        <f t="shared" si="12"/>
        <v>-6.351774986</v>
      </c>
      <c r="S25" s="132">
        <f t="shared" si="12"/>
        <v>7.671445361</v>
      </c>
      <c r="T25" s="82">
        <f t="shared" si="12"/>
        <v>-7.219842197</v>
      </c>
      <c r="U25" s="82">
        <f t="shared" si="12"/>
        <v>-7.033475148</v>
      </c>
      <c r="V25" s="82">
        <f t="shared" si="12"/>
        <v>-6.9834665</v>
      </c>
      <c r="W25" s="82">
        <f t="shared" si="12"/>
        <v>-6.936056464</v>
      </c>
      <c r="X25" s="82">
        <f t="shared" si="12"/>
        <v>-6.986122988</v>
      </c>
      <c r="Y25" s="82">
        <f t="shared" si="12"/>
        <v>-6.920707483</v>
      </c>
      <c r="Z25" s="82">
        <f t="shared" si="12"/>
        <v>-6.331989624</v>
      </c>
      <c r="AA25" s="82">
        <f t="shared" si="12"/>
        <v>-6.627070773</v>
      </c>
      <c r="AB25" s="82">
        <f t="shared" si="12"/>
        <v>-6.140575146</v>
      </c>
      <c r="AC25" s="82">
        <f t="shared" si="12"/>
        <v>-6.003215649</v>
      </c>
      <c r="AD25" s="82">
        <f t="shared" si="12"/>
        <v>-6.118579937</v>
      </c>
      <c r="AE25" s="82">
        <f t="shared" si="12"/>
        <v>-6.351772237</v>
      </c>
      <c r="AF25" s="132">
        <f t="shared" si="12"/>
        <v>7.673344033</v>
      </c>
    </row>
    <row r="26" ht="15.75" customHeight="1">
      <c r="A26" s="131" t="s">
        <v>88</v>
      </c>
      <c r="B26" s="131"/>
      <c r="C26" s="131"/>
      <c r="D26" s="66"/>
      <c r="E26" s="67"/>
      <c r="F26" s="82"/>
      <c r="G26" s="82">
        <f t="shared" ref="G26:AF26" si="13">IFERROR(1-(G12/(G14+G15)),0)</f>
        <v>-8.219852851</v>
      </c>
      <c r="H26" s="82">
        <f t="shared" si="13"/>
        <v>-8.033491293</v>
      </c>
      <c r="I26" s="82">
        <f t="shared" si="13"/>
        <v>-7.983476261</v>
      </c>
      <c r="J26" s="82">
        <f t="shared" si="13"/>
        <v>-7.936060442</v>
      </c>
      <c r="K26" s="82">
        <f t="shared" si="13"/>
        <v>-7.986126934</v>
      </c>
      <c r="L26" s="82">
        <f t="shared" si="13"/>
        <v>-7.920711117</v>
      </c>
      <c r="M26" s="82">
        <f t="shared" si="13"/>
        <v>-7.33199284</v>
      </c>
      <c r="N26" s="82">
        <f t="shared" si="13"/>
        <v>-7.627074021</v>
      </c>
      <c r="O26" s="82">
        <f t="shared" si="13"/>
        <v>-7.140577961</v>
      </c>
      <c r="P26" s="82">
        <f t="shared" si="13"/>
        <v>-7.003218365</v>
      </c>
      <c r="Q26" s="82">
        <f t="shared" si="13"/>
        <v>-7.11858276</v>
      </c>
      <c r="R26" s="82">
        <f t="shared" si="13"/>
        <v>-7.351774986</v>
      </c>
      <c r="S26" s="132">
        <f t="shared" si="13"/>
        <v>6.671445361</v>
      </c>
      <c r="T26" s="82">
        <f t="shared" si="13"/>
        <v>-8.219842197</v>
      </c>
      <c r="U26" s="82">
        <f t="shared" si="13"/>
        <v>-8.033475148</v>
      </c>
      <c r="V26" s="82">
        <f t="shared" si="13"/>
        <v>-7.9834665</v>
      </c>
      <c r="W26" s="82">
        <f t="shared" si="13"/>
        <v>-7.936056464</v>
      </c>
      <c r="X26" s="82">
        <f t="shared" si="13"/>
        <v>-7.986122988</v>
      </c>
      <c r="Y26" s="82">
        <f t="shared" si="13"/>
        <v>-7.920707483</v>
      </c>
      <c r="Z26" s="82">
        <f t="shared" si="13"/>
        <v>-7.331989624</v>
      </c>
      <c r="AA26" s="82">
        <f t="shared" si="13"/>
        <v>-7.627070773</v>
      </c>
      <c r="AB26" s="82">
        <f t="shared" si="13"/>
        <v>-7.140575146</v>
      </c>
      <c r="AC26" s="82">
        <f t="shared" si="13"/>
        <v>-7.003215649</v>
      </c>
      <c r="AD26" s="82">
        <f t="shared" si="13"/>
        <v>-7.118579937</v>
      </c>
      <c r="AE26" s="82">
        <f t="shared" si="13"/>
        <v>-7.351772237</v>
      </c>
      <c r="AF26" s="132">
        <f t="shared" si="13"/>
        <v>6.673344033</v>
      </c>
    </row>
    <row r="27" ht="15.75" customHeight="1">
      <c r="A27" s="131" t="s">
        <v>89</v>
      </c>
      <c r="B27" s="131"/>
      <c r="C27" s="131"/>
      <c r="D27" s="66"/>
      <c r="E27" s="67"/>
      <c r="F27" s="82"/>
      <c r="G27" s="82">
        <f t="shared" ref="G27:AF27" si="14">IFERROR(1-(G12-G28-(G14+G15))/(G15+G14),0)</f>
        <v>-7.219852851</v>
      </c>
      <c r="H27" s="82">
        <f t="shared" si="14"/>
        <v>-7.033491293</v>
      </c>
      <c r="I27" s="82">
        <f t="shared" si="14"/>
        <v>-6.983476261</v>
      </c>
      <c r="J27" s="82">
        <f t="shared" si="14"/>
        <v>-6.936060442</v>
      </c>
      <c r="K27" s="82">
        <f t="shared" si="14"/>
        <v>-6.986126934</v>
      </c>
      <c r="L27" s="82">
        <f t="shared" si="14"/>
        <v>-6.920711117</v>
      </c>
      <c r="M27" s="82">
        <f t="shared" si="14"/>
        <v>-6.33199284</v>
      </c>
      <c r="N27" s="82">
        <f t="shared" si="14"/>
        <v>-6.627074021</v>
      </c>
      <c r="O27" s="82">
        <f t="shared" si="14"/>
        <v>-6.140577961</v>
      </c>
      <c r="P27" s="82">
        <f t="shared" si="14"/>
        <v>-6.003218365</v>
      </c>
      <c r="Q27" s="82">
        <f t="shared" si="14"/>
        <v>-6.11858276</v>
      </c>
      <c r="R27" s="82">
        <f t="shared" si="14"/>
        <v>-6.351774986</v>
      </c>
      <c r="S27" s="132">
        <f t="shared" si="14"/>
        <v>7.671445361</v>
      </c>
      <c r="T27" s="82">
        <f t="shared" si="14"/>
        <v>-7.219842197</v>
      </c>
      <c r="U27" s="82">
        <f t="shared" si="14"/>
        <v>-7.033475148</v>
      </c>
      <c r="V27" s="82">
        <f t="shared" si="14"/>
        <v>-6.9834665</v>
      </c>
      <c r="W27" s="82">
        <f t="shared" si="14"/>
        <v>-6.936056464</v>
      </c>
      <c r="X27" s="82">
        <f t="shared" si="14"/>
        <v>-6.986122988</v>
      </c>
      <c r="Y27" s="82">
        <f t="shared" si="14"/>
        <v>-6.920707483</v>
      </c>
      <c r="Z27" s="82">
        <f t="shared" si="14"/>
        <v>-6.331989624</v>
      </c>
      <c r="AA27" s="82">
        <f t="shared" si="14"/>
        <v>-6.627070773</v>
      </c>
      <c r="AB27" s="82">
        <f t="shared" si="14"/>
        <v>-6.140575146</v>
      </c>
      <c r="AC27" s="82">
        <f t="shared" si="14"/>
        <v>-6.003215649</v>
      </c>
      <c r="AD27" s="82">
        <f t="shared" si="14"/>
        <v>-6.118579937</v>
      </c>
      <c r="AE27" s="82">
        <f t="shared" si="14"/>
        <v>-6.351772237</v>
      </c>
      <c r="AF27" s="132">
        <f t="shared" si="14"/>
        <v>7.673344033</v>
      </c>
    </row>
    <row r="28" ht="15.75" customHeight="1">
      <c r="A28" s="133"/>
      <c r="B28" s="133"/>
      <c r="C28" s="134"/>
      <c r="D28" s="135"/>
      <c r="E28" s="97"/>
      <c r="F28" s="136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137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137"/>
    </row>
    <row r="29" ht="15.75" customHeight="1">
      <c r="A29" s="138" t="s">
        <v>90</v>
      </c>
      <c r="B29" s="139"/>
      <c r="C29" s="139"/>
      <c r="D29" s="139"/>
      <c r="E29" s="139"/>
      <c r="F29" s="140"/>
      <c r="G29" s="141">
        <f>1-(G23-(10*('Штатный персонал'!$C$16)))</f>
        <v>286088516.6</v>
      </c>
      <c r="H29" s="142">
        <f>1-(H23-(10*('Штатный персонал'!$C$16)))</f>
        <v>285378050.4</v>
      </c>
      <c r="I29" s="143">
        <f>1-(I23-(10*('Штатный персонал'!$C$16)))</f>
        <v>298594621.9</v>
      </c>
      <c r="J29" s="141">
        <f>1-(J23-(10*('Штатный персонал'!$C$16)))</f>
        <v>297672504.8</v>
      </c>
      <c r="K29" s="142">
        <f>1-(K23-(10*('Штатный персонал'!$C$16)))</f>
        <v>300130836.9</v>
      </c>
      <c r="L29" s="143">
        <f>1-(L23-(10*('Штатный персонал'!$C$16)))</f>
        <v>320872023.9</v>
      </c>
      <c r="M29" s="141">
        <f>1-(M23-(10*('Штатный персонал'!$C$16)))</f>
        <v>331727978.8</v>
      </c>
      <c r="N29" s="142">
        <f>1-(N23-(10*('Штатный персонал'!$C$16)))</f>
        <v>340250506.4</v>
      </c>
      <c r="O29" s="143">
        <f>1-(O23-(10*('Штатный персонал'!$C$16)))</f>
        <v>363743996.5</v>
      </c>
      <c r="P29" s="141">
        <f>1-(P23-(10*('Штатный персонал'!$C$16)))</f>
        <v>366965346.5</v>
      </c>
      <c r="Q29" s="142">
        <f>1-(Q23-(10*('Штатный персонал'!$C$16)))</f>
        <v>356962572.5</v>
      </c>
      <c r="R29" s="143">
        <f>1-(R23-(10*('Штатный персонал'!$C$16)))</f>
        <v>376637548.8</v>
      </c>
      <c r="S29" s="92">
        <f>SUM(G29:R29)</f>
        <v>3925024504</v>
      </c>
      <c r="T29" s="141">
        <f>1-(T23-(10*('Штатный персонал'!$C$16)))</f>
        <v>301211420.2</v>
      </c>
      <c r="U29" s="142">
        <f>1-(U23-(10*('Штатный персонал'!$C$16)))</f>
        <v>309454703.4</v>
      </c>
      <c r="V29" s="143">
        <f>1-(V23-(10*('Штатный персонал'!$C$16)))</f>
        <v>314161609.1</v>
      </c>
      <c r="W29" s="141">
        <f>1-(W23-(10*('Штатный персонал'!$C$16)))</f>
        <v>303828534.4</v>
      </c>
      <c r="X29" s="142">
        <f>1-(X23-(10*('Штатный персонал'!$C$16)))</f>
        <v>306295211.7</v>
      </c>
      <c r="Y29" s="143">
        <f>1-(Y23-(10*('Штатный персонал'!$C$16)))</f>
        <v>327417581.6</v>
      </c>
      <c r="Z29" s="141">
        <f>1-(Z23-(10*('Штатный персонал'!$C$16)))</f>
        <v>338449284</v>
      </c>
      <c r="AA29" s="142">
        <f>1-(AA23-(10*('Штатный персонал'!$C$16)))</f>
        <v>347098240.3</v>
      </c>
      <c r="AB29" s="143">
        <f>1-(AB23-(10*('Штатный персонал'!$C$16)))</f>
        <v>371015761</v>
      </c>
      <c r="AC29" s="141">
        <f>1-(AC23-(10*('Штатный персонал'!$C$16)))</f>
        <v>374252947</v>
      </c>
      <c r="AD29" s="142">
        <f>1-(AD23-(10*('Штатный персонал'!$C$16)))</f>
        <v>364004912.3</v>
      </c>
      <c r="AE29" s="143">
        <f>1-(AE23-(10*('Штатный персонал'!$C$16)))</f>
        <v>384019496.6</v>
      </c>
      <c r="AF29" s="92">
        <f>SUM(T29:AE29)</f>
        <v>4041209702</v>
      </c>
    </row>
    <row r="30" ht="15.75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>
        <f>S29/S12</f>
        <v>0.1463218962</v>
      </c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5">
        <f>AF29/AF12</f>
        <v>0.1462628873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4.86"/>
    <col customWidth="1" min="2" max="6" width="14.43"/>
  </cols>
  <sheetData>
    <row r="1"/>
    <row r="2"/>
    <row r="3"/>
    <row r="4"/>
    <row r="5"/>
    <row r="6"/>
    <row r="7"/>
    <row r="8"/>
    <row r="9"/>
    <row r="10"/>
    <row r="11" ht="15.0" customHeight="1">
      <c r="A11" s="153"/>
      <c r="B11" s="154"/>
      <c r="C11" s="155"/>
    </row>
    <row r="12">
      <c r="A12" s="156" t="s">
        <v>94</v>
      </c>
      <c r="B12" s="156">
        <v>0.11</v>
      </c>
      <c r="C12" s="156">
        <v>0.22</v>
      </c>
      <c r="D12" s="156">
        <v>0.36</v>
      </c>
      <c r="E12" s="156">
        <v>0.43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25.86"/>
    <col customWidth="1" min="4" max="4" width="24.71"/>
    <col customWidth="1" min="5" max="5" width="27.14"/>
    <col customWidth="1" min="6" max="25" width="8.71"/>
  </cols>
  <sheetData>
    <row r="1">
      <c r="A1" s="157" t="s">
        <v>95</v>
      </c>
      <c r="B1" s="158" t="s">
        <v>5</v>
      </c>
      <c r="C1" s="158" t="s">
        <v>96</v>
      </c>
      <c r="D1" s="159" t="s">
        <v>97</v>
      </c>
      <c r="E1" s="160" t="s">
        <v>98</v>
      </c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</row>
    <row r="2">
      <c r="A2" s="162"/>
      <c r="B2" s="163"/>
      <c r="C2" s="164" t="s">
        <v>48</v>
      </c>
      <c r="D2" s="165"/>
      <c r="E2" s="166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</row>
    <row r="3">
      <c r="A3" s="167" t="s">
        <v>99</v>
      </c>
      <c r="B3" s="168" t="s">
        <v>45</v>
      </c>
      <c r="C3" s="168" t="s">
        <v>48</v>
      </c>
      <c r="D3" s="169" t="s">
        <v>100</v>
      </c>
      <c r="E3" s="170">
        <v>0.0</v>
      </c>
    </row>
    <row r="4">
      <c r="A4" s="171" t="s">
        <v>99</v>
      </c>
      <c r="B4" s="168" t="s">
        <v>45</v>
      </c>
      <c r="C4" s="168" t="s">
        <v>48</v>
      </c>
      <c r="D4" s="168" t="s">
        <v>101</v>
      </c>
      <c r="E4" s="172">
        <v>0.0</v>
      </c>
    </row>
    <row r="5">
      <c r="A5" s="171" t="s">
        <v>99</v>
      </c>
      <c r="B5" s="168" t="s">
        <v>45</v>
      </c>
      <c r="C5" s="168" t="s">
        <v>48</v>
      </c>
      <c r="D5" s="168" t="s">
        <v>102</v>
      </c>
      <c r="E5" s="172">
        <v>0.0</v>
      </c>
    </row>
    <row r="6">
      <c r="A6" s="171" t="s">
        <v>99</v>
      </c>
      <c r="B6" s="168" t="s">
        <v>45</v>
      </c>
      <c r="C6" s="168" t="s">
        <v>48</v>
      </c>
      <c r="D6" s="168" t="s">
        <v>103</v>
      </c>
      <c r="E6" s="172">
        <v>-8500.0</v>
      </c>
    </row>
    <row r="7">
      <c r="A7" s="171" t="s">
        <v>99</v>
      </c>
      <c r="B7" s="168" t="s">
        <v>45</v>
      </c>
      <c r="C7" s="168" t="s">
        <v>48</v>
      </c>
      <c r="D7" s="168" t="s">
        <v>104</v>
      </c>
      <c r="E7" s="172">
        <v>0.0</v>
      </c>
    </row>
    <row r="8">
      <c r="A8" s="171" t="s">
        <v>99</v>
      </c>
      <c r="B8" s="168" t="s">
        <v>45</v>
      </c>
      <c r="C8" s="168" t="s">
        <v>48</v>
      </c>
      <c r="D8" s="168" t="s">
        <v>105</v>
      </c>
      <c r="E8" s="172">
        <v>0.0</v>
      </c>
    </row>
    <row r="9">
      <c r="A9" s="171" t="s">
        <v>99</v>
      </c>
      <c r="B9" s="168" t="s">
        <v>45</v>
      </c>
      <c r="C9" s="168" t="s">
        <v>48</v>
      </c>
      <c r="D9" s="168" t="s">
        <v>106</v>
      </c>
      <c r="E9" s="172">
        <v>0.0</v>
      </c>
    </row>
    <row r="10">
      <c r="A10" s="171" t="s">
        <v>99</v>
      </c>
      <c r="B10" s="168" t="s">
        <v>45</v>
      </c>
      <c r="C10" s="168" t="s">
        <v>48</v>
      </c>
      <c r="D10" s="168" t="s">
        <v>107</v>
      </c>
      <c r="E10" s="172">
        <v>-15000.0</v>
      </c>
    </row>
    <row r="11">
      <c r="A11" s="171" t="s">
        <v>108</v>
      </c>
      <c r="B11" s="168" t="s">
        <v>45</v>
      </c>
      <c r="C11" s="168" t="s">
        <v>48</v>
      </c>
      <c r="D11" s="168" t="s">
        <v>109</v>
      </c>
      <c r="E11" s="172">
        <v>-5800.0</v>
      </c>
    </row>
    <row r="12">
      <c r="A12" s="171" t="s">
        <v>108</v>
      </c>
      <c r="B12" s="168" t="s">
        <v>45</v>
      </c>
      <c r="C12" s="168" t="s">
        <v>48</v>
      </c>
      <c r="D12" s="168" t="s">
        <v>110</v>
      </c>
      <c r="E12" s="172">
        <v>-3000.0</v>
      </c>
    </row>
    <row r="13">
      <c r="A13" s="171" t="s">
        <v>108</v>
      </c>
      <c r="B13" s="168" t="s">
        <v>45</v>
      </c>
      <c r="C13" s="168" t="s">
        <v>48</v>
      </c>
      <c r="D13" s="168" t="s">
        <v>111</v>
      </c>
      <c r="E13" s="172">
        <v>-5000.0</v>
      </c>
    </row>
    <row r="14">
      <c r="A14" s="171" t="s">
        <v>108</v>
      </c>
      <c r="B14" s="168" t="s">
        <v>45</v>
      </c>
      <c r="C14" s="168" t="s">
        <v>48</v>
      </c>
      <c r="D14" s="168" t="s">
        <v>112</v>
      </c>
      <c r="E14" s="172">
        <v>-3000.0</v>
      </c>
    </row>
    <row r="15">
      <c r="A15" s="171" t="s">
        <v>113</v>
      </c>
      <c r="B15" s="168" t="s">
        <v>45</v>
      </c>
      <c r="C15" s="168" t="s">
        <v>48</v>
      </c>
      <c r="D15" s="168" t="s">
        <v>114</v>
      </c>
      <c r="E15" s="172">
        <v>9600.0</v>
      </c>
    </row>
    <row r="16">
      <c r="A16" s="171" t="s">
        <v>115</v>
      </c>
      <c r="B16" s="168" t="s">
        <v>45</v>
      </c>
      <c r="C16" s="168" t="s">
        <v>48</v>
      </c>
      <c r="D16" s="168" t="s">
        <v>116</v>
      </c>
      <c r="E16" s="172">
        <v>0.0</v>
      </c>
    </row>
    <row r="17">
      <c r="A17" s="171" t="s">
        <v>115</v>
      </c>
      <c r="B17" s="168" t="s">
        <v>45</v>
      </c>
      <c r="C17" s="168" t="s">
        <v>48</v>
      </c>
      <c r="D17" s="168" t="s">
        <v>117</v>
      </c>
      <c r="E17" s="172">
        <v>0.0</v>
      </c>
    </row>
    <row r="18">
      <c r="A18" s="173" t="s">
        <v>115</v>
      </c>
      <c r="B18" s="168" t="s">
        <v>45</v>
      </c>
      <c r="C18" s="168" t="s">
        <v>48</v>
      </c>
      <c r="D18" s="174" t="s">
        <v>118</v>
      </c>
      <c r="E18" s="175">
        <v>17400.0</v>
      </c>
    </row>
    <row r="19">
      <c r="A19" s="173"/>
      <c r="B19" s="176"/>
      <c r="C19" s="174"/>
      <c r="D19" s="174"/>
      <c r="E19" s="175"/>
    </row>
    <row r="20">
      <c r="A20" s="177" t="s">
        <v>119</v>
      </c>
      <c r="B20" s="178"/>
      <c r="C20" s="179" t="s">
        <v>48</v>
      </c>
      <c r="D20" s="180"/>
      <c r="E20" s="181">
        <f>SUBTOTAL(109,E2:E19)</f>
        <v>-13300</v>
      </c>
    </row>
    <row r="21" ht="15.75" customHeight="1">
      <c r="A21" s="182"/>
      <c r="B21" s="183"/>
      <c r="C21" s="184" t="s">
        <v>120</v>
      </c>
      <c r="D21" s="185"/>
      <c r="E21" s="186"/>
    </row>
    <row r="22" ht="15.75" customHeight="1">
      <c r="A22" s="171" t="s">
        <v>99</v>
      </c>
      <c r="B22" s="168" t="s">
        <v>45</v>
      </c>
      <c r="C22" s="168" t="s">
        <v>120</v>
      </c>
      <c r="D22" s="168" t="s">
        <v>121</v>
      </c>
      <c r="E22" s="172">
        <v>-15000.0</v>
      </c>
    </row>
    <row r="23" ht="15.75" customHeight="1">
      <c r="A23" s="171" t="s">
        <v>99</v>
      </c>
      <c r="B23" s="168" t="s">
        <v>45</v>
      </c>
      <c r="C23" s="168" t="s">
        <v>120</v>
      </c>
      <c r="D23" s="168" t="s">
        <v>122</v>
      </c>
      <c r="E23" s="172">
        <v>-35000.0</v>
      </c>
    </row>
    <row r="24" ht="15.75" customHeight="1">
      <c r="A24" s="171" t="s">
        <v>99</v>
      </c>
      <c r="B24" s="168" t="s">
        <v>45</v>
      </c>
      <c r="C24" s="168" t="s">
        <v>120</v>
      </c>
      <c r="D24" s="168" t="s">
        <v>116</v>
      </c>
      <c r="E24" s="172">
        <v>-5000.0</v>
      </c>
    </row>
    <row r="25" ht="15.75" customHeight="1">
      <c r="A25" s="171"/>
      <c r="B25" s="187"/>
      <c r="C25" s="168"/>
      <c r="D25" s="168"/>
      <c r="E25" s="172"/>
    </row>
    <row r="26" ht="15.75" customHeight="1">
      <c r="A26" s="173"/>
      <c r="B26" s="176"/>
      <c r="C26" s="174"/>
      <c r="D26" s="174"/>
      <c r="E26" s="175"/>
    </row>
    <row r="27" ht="15.75" customHeight="1">
      <c r="A27" s="177" t="s">
        <v>119</v>
      </c>
      <c r="B27" s="178"/>
      <c r="C27" s="179" t="s">
        <v>120</v>
      </c>
      <c r="D27" s="180"/>
      <c r="E27" s="181">
        <f>SUBTOTAL(109,E22:E26)</f>
        <v>-55000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9.29"/>
    <col customWidth="1" min="3" max="3" width="13.71"/>
    <col customWidth="1" min="4" max="4" width="10.71"/>
    <col customWidth="1" min="5" max="5" width="31.14"/>
    <col customWidth="1" min="6" max="6" width="17.43"/>
    <col customWidth="1" min="7" max="7" width="15.29"/>
    <col customWidth="1" min="8" max="8" width="10.71"/>
    <col customWidth="1" min="9" max="9" width="12.86"/>
    <col customWidth="1" min="10" max="10" width="21.71"/>
    <col customWidth="1" min="11" max="26" width="8.71"/>
  </cols>
  <sheetData>
    <row r="1">
      <c r="A1" s="188" t="s">
        <v>5</v>
      </c>
      <c r="B1" s="189" t="s">
        <v>97</v>
      </c>
      <c r="C1" s="190" t="s">
        <v>123</v>
      </c>
      <c r="D1" s="191" t="s">
        <v>124</v>
      </c>
      <c r="E1" s="190" t="s">
        <v>125</v>
      </c>
      <c r="F1" s="190" t="s">
        <v>126</v>
      </c>
      <c r="G1" s="190" t="s">
        <v>127</v>
      </c>
      <c r="H1" s="190" t="s">
        <v>128</v>
      </c>
      <c r="I1" s="190" t="s">
        <v>129</v>
      </c>
      <c r="J1" s="192" t="s">
        <v>130</v>
      </c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</row>
    <row r="2">
      <c r="A2" s="194" t="s">
        <v>131</v>
      </c>
      <c r="B2" s="195">
        <v>1.0</v>
      </c>
      <c r="C2" s="196">
        <v>-942.0</v>
      </c>
      <c r="D2" s="197">
        <v>8.0</v>
      </c>
      <c r="E2" s="197">
        <f t="shared" ref="E2:E20" si="1">D2*21</f>
        <v>168</v>
      </c>
      <c r="F2" s="196">
        <f t="shared" ref="F2:F20" si="2">(C2*D2)*20</f>
        <v>-150720</v>
      </c>
      <c r="G2" s="196">
        <f t="shared" ref="G2:G20" si="3">F2*12</f>
        <v>-1808640</v>
      </c>
      <c r="H2" s="198">
        <v>1700.0</v>
      </c>
      <c r="I2" s="196">
        <f t="shared" ref="I2:I20" si="4">H2*F2</f>
        <v>-256224000</v>
      </c>
      <c r="J2" s="199">
        <f t="shared" ref="J2:J20" si="5">G2*H2</f>
        <v>-3074688000</v>
      </c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</row>
    <row r="3">
      <c r="A3" s="194" t="s">
        <v>131</v>
      </c>
      <c r="B3" s="195">
        <v>2.0</v>
      </c>
      <c r="C3" s="196">
        <v>-550.7</v>
      </c>
      <c r="D3" s="197">
        <v>8.0</v>
      </c>
      <c r="E3" s="197">
        <f t="shared" si="1"/>
        <v>168</v>
      </c>
      <c r="F3" s="196">
        <f t="shared" si="2"/>
        <v>-88112</v>
      </c>
      <c r="G3" s="196">
        <f t="shared" si="3"/>
        <v>-1057344</v>
      </c>
      <c r="H3" s="198">
        <v>1700.0</v>
      </c>
      <c r="I3" s="196">
        <f t="shared" si="4"/>
        <v>-149790400</v>
      </c>
      <c r="J3" s="199">
        <f t="shared" si="5"/>
        <v>-1797484800</v>
      </c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>
      <c r="A4" s="194" t="s">
        <v>131</v>
      </c>
      <c r="B4" s="195">
        <v>3.0</v>
      </c>
      <c r="C4" s="196">
        <v>-422.946428571429</v>
      </c>
      <c r="D4" s="197">
        <v>8.0</v>
      </c>
      <c r="E4" s="197">
        <f t="shared" si="1"/>
        <v>168</v>
      </c>
      <c r="F4" s="196">
        <f t="shared" si="2"/>
        <v>-67671.42857</v>
      </c>
      <c r="G4" s="196">
        <f t="shared" si="3"/>
        <v>-812057.1429</v>
      </c>
      <c r="H4" s="198">
        <v>1700.0</v>
      </c>
      <c r="I4" s="196">
        <f t="shared" si="4"/>
        <v>-115041428.6</v>
      </c>
      <c r="J4" s="199">
        <f t="shared" si="5"/>
        <v>-1380497143</v>
      </c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>
      <c r="A5" s="194" t="s">
        <v>131</v>
      </c>
      <c r="B5" s="195">
        <v>3.0</v>
      </c>
      <c r="C5" s="196">
        <v>-422.946428571429</v>
      </c>
      <c r="D5" s="197">
        <v>8.0</v>
      </c>
      <c r="E5" s="197">
        <f t="shared" si="1"/>
        <v>168</v>
      </c>
      <c r="F5" s="196">
        <f t="shared" si="2"/>
        <v>-67671.42857</v>
      </c>
      <c r="G5" s="196">
        <f t="shared" si="3"/>
        <v>-812057.1429</v>
      </c>
      <c r="H5" s="198">
        <v>1700.0</v>
      </c>
      <c r="I5" s="196">
        <f t="shared" si="4"/>
        <v>-115041428.6</v>
      </c>
      <c r="J5" s="199">
        <f t="shared" si="5"/>
        <v>-1380497143</v>
      </c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>
      <c r="A6" s="194" t="s">
        <v>131</v>
      </c>
      <c r="B6" s="195">
        <v>4.0</v>
      </c>
      <c r="C6" s="196">
        <v>-422.946428571429</v>
      </c>
      <c r="D6" s="197">
        <v>8.0</v>
      </c>
      <c r="E6" s="197">
        <f t="shared" si="1"/>
        <v>168</v>
      </c>
      <c r="F6" s="196">
        <f t="shared" si="2"/>
        <v>-67671.42857</v>
      </c>
      <c r="G6" s="196">
        <f t="shared" si="3"/>
        <v>-812057.1429</v>
      </c>
      <c r="H6" s="198">
        <v>1700.0</v>
      </c>
      <c r="I6" s="196">
        <f t="shared" si="4"/>
        <v>-115041428.6</v>
      </c>
      <c r="J6" s="199">
        <f t="shared" si="5"/>
        <v>-1380497143</v>
      </c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</row>
    <row r="7">
      <c r="A7" s="194" t="s">
        <v>131</v>
      </c>
      <c r="B7" s="195">
        <v>5.0</v>
      </c>
      <c r="C7" s="196">
        <v>-1250.0</v>
      </c>
      <c r="D7" s="197">
        <v>8.0</v>
      </c>
      <c r="E7" s="197">
        <f t="shared" si="1"/>
        <v>168</v>
      </c>
      <c r="F7" s="196">
        <f t="shared" si="2"/>
        <v>-200000</v>
      </c>
      <c r="G7" s="196">
        <f t="shared" si="3"/>
        <v>-2400000</v>
      </c>
      <c r="H7" s="198">
        <v>1700.0</v>
      </c>
      <c r="I7" s="196">
        <f t="shared" si="4"/>
        <v>-340000000</v>
      </c>
      <c r="J7" s="199">
        <f t="shared" si="5"/>
        <v>-4080000000</v>
      </c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>
      <c r="A8" s="194" t="s">
        <v>131</v>
      </c>
      <c r="B8" s="195">
        <v>5.6</v>
      </c>
      <c r="C8" s="196">
        <f>-C612</f>
        <v>0</v>
      </c>
      <c r="D8" s="197">
        <v>8.0</v>
      </c>
      <c r="E8" s="197">
        <f t="shared" si="1"/>
        <v>168</v>
      </c>
      <c r="F8" s="196">
        <f t="shared" si="2"/>
        <v>0</v>
      </c>
      <c r="G8" s="196">
        <f t="shared" si="3"/>
        <v>0</v>
      </c>
      <c r="H8" s="198">
        <v>1700.0</v>
      </c>
      <c r="I8" s="196">
        <f t="shared" si="4"/>
        <v>0</v>
      </c>
      <c r="J8" s="199">
        <f t="shared" si="5"/>
        <v>0</v>
      </c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</row>
    <row r="9">
      <c r="A9" s="194" t="s">
        <v>131</v>
      </c>
      <c r="B9" s="195">
        <v>6.34285714285714</v>
      </c>
      <c r="C9" s="196">
        <v>0.0</v>
      </c>
      <c r="D9" s="197">
        <v>8.0</v>
      </c>
      <c r="E9" s="197">
        <f t="shared" si="1"/>
        <v>168</v>
      </c>
      <c r="F9" s="196">
        <f t="shared" si="2"/>
        <v>0</v>
      </c>
      <c r="G9" s="196">
        <f t="shared" si="3"/>
        <v>0</v>
      </c>
      <c r="H9" s="198">
        <v>1700.0</v>
      </c>
      <c r="I9" s="196">
        <f t="shared" si="4"/>
        <v>0</v>
      </c>
      <c r="J9" s="199">
        <f t="shared" si="5"/>
        <v>0</v>
      </c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>
      <c r="A10" s="194" t="s">
        <v>131</v>
      </c>
      <c r="B10" s="195">
        <v>7.08571428571428</v>
      </c>
      <c r="C10" s="196">
        <v>0.0</v>
      </c>
      <c r="D10" s="197">
        <v>8.0</v>
      </c>
      <c r="E10" s="197">
        <f t="shared" si="1"/>
        <v>168</v>
      </c>
      <c r="F10" s="196">
        <f t="shared" si="2"/>
        <v>0</v>
      </c>
      <c r="G10" s="196">
        <f t="shared" si="3"/>
        <v>0</v>
      </c>
      <c r="H10" s="198">
        <v>1700.0</v>
      </c>
      <c r="I10" s="196">
        <f t="shared" si="4"/>
        <v>0</v>
      </c>
      <c r="J10" s="199">
        <f t="shared" si="5"/>
        <v>0</v>
      </c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>
      <c r="A11" s="194" t="s">
        <v>131</v>
      </c>
      <c r="B11" s="195">
        <v>7.82857142857143</v>
      </c>
      <c r="C11" s="196">
        <v>-330.0</v>
      </c>
      <c r="D11" s="197">
        <v>8.0</v>
      </c>
      <c r="E11" s="197">
        <f t="shared" si="1"/>
        <v>168</v>
      </c>
      <c r="F11" s="196">
        <f t="shared" si="2"/>
        <v>-52800</v>
      </c>
      <c r="G11" s="196">
        <f t="shared" si="3"/>
        <v>-633600</v>
      </c>
      <c r="H11" s="198">
        <v>1700.0</v>
      </c>
      <c r="I11" s="196">
        <f t="shared" si="4"/>
        <v>-89760000</v>
      </c>
      <c r="J11" s="199">
        <f t="shared" si="5"/>
        <v>-1077120000</v>
      </c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>
      <c r="A12" s="194" t="s">
        <v>131</v>
      </c>
      <c r="B12" s="195">
        <v>8.57142857142857</v>
      </c>
      <c r="C12" s="196">
        <v>-238.10119047619</v>
      </c>
      <c r="D12" s="197">
        <v>8.0</v>
      </c>
      <c r="E12" s="197">
        <f t="shared" si="1"/>
        <v>168</v>
      </c>
      <c r="F12" s="196">
        <f t="shared" si="2"/>
        <v>-38096.19048</v>
      </c>
      <c r="G12" s="196">
        <f t="shared" si="3"/>
        <v>-457154.2857</v>
      </c>
      <c r="H12" s="198">
        <v>1700.0</v>
      </c>
      <c r="I12" s="196">
        <f t="shared" si="4"/>
        <v>-64763523.81</v>
      </c>
      <c r="J12" s="199">
        <f t="shared" si="5"/>
        <v>-777162285.7</v>
      </c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>
      <c r="A13" s="194" t="s">
        <v>131</v>
      </c>
      <c r="B13" s="195">
        <v>9.31428571428571</v>
      </c>
      <c r="C13" s="196">
        <v>-625.0</v>
      </c>
      <c r="D13" s="197">
        <v>8.0</v>
      </c>
      <c r="E13" s="197">
        <f t="shared" si="1"/>
        <v>168</v>
      </c>
      <c r="F13" s="196">
        <f t="shared" si="2"/>
        <v>-100000</v>
      </c>
      <c r="G13" s="196">
        <f t="shared" si="3"/>
        <v>-1200000</v>
      </c>
      <c r="H13" s="198">
        <v>1700.0</v>
      </c>
      <c r="I13" s="196">
        <f t="shared" si="4"/>
        <v>-170000000</v>
      </c>
      <c r="J13" s="199">
        <f t="shared" si="5"/>
        <v>-2040000000</v>
      </c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>
      <c r="A14" s="194" t="s">
        <v>131</v>
      </c>
      <c r="B14" s="195">
        <v>10.0571428571429</v>
      </c>
      <c r="C14" s="196">
        <v>-625.0</v>
      </c>
      <c r="D14" s="197">
        <v>8.0</v>
      </c>
      <c r="E14" s="197">
        <f t="shared" si="1"/>
        <v>168</v>
      </c>
      <c r="F14" s="196">
        <f t="shared" si="2"/>
        <v>-100000</v>
      </c>
      <c r="G14" s="196">
        <f t="shared" si="3"/>
        <v>-1200000</v>
      </c>
      <c r="H14" s="198">
        <v>1700.0</v>
      </c>
      <c r="I14" s="196">
        <f t="shared" si="4"/>
        <v>-170000000</v>
      </c>
      <c r="J14" s="199">
        <f t="shared" si="5"/>
        <v>-2040000000</v>
      </c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</row>
    <row r="15">
      <c r="A15" s="194" t="s">
        <v>131</v>
      </c>
      <c r="B15" s="195">
        <v>10.8</v>
      </c>
      <c r="C15" s="196">
        <v>-515.875</v>
      </c>
      <c r="D15" s="197">
        <v>8.0</v>
      </c>
      <c r="E15" s="197">
        <f t="shared" si="1"/>
        <v>168</v>
      </c>
      <c r="F15" s="196">
        <f t="shared" si="2"/>
        <v>-82540</v>
      </c>
      <c r="G15" s="196">
        <f t="shared" si="3"/>
        <v>-990480</v>
      </c>
      <c r="H15" s="198">
        <v>1700.0</v>
      </c>
      <c r="I15" s="196">
        <f t="shared" si="4"/>
        <v>-140318000</v>
      </c>
      <c r="J15" s="199">
        <f t="shared" si="5"/>
        <v>-1683816000</v>
      </c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</row>
    <row r="16">
      <c r="A16" s="194" t="s">
        <v>131</v>
      </c>
      <c r="B16" s="195">
        <v>11.5428571428571</v>
      </c>
      <c r="C16" s="196">
        <v>-515.875</v>
      </c>
      <c r="D16" s="197">
        <v>8.0</v>
      </c>
      <c r="E16" s="197">
        <f t="shared" si="1"/>
        <v>168</v>
      </c>
      <c r="F16" s="196">
        <f t="shared" si="2"/>
        <v>-82540</v>
      </c>
      <c r="G16" s="196">
        <f t="shared" si="3"/>
        <v>-990480</v>
      </c>
      <c r="H16" s="198">
        <v>1700.0</v>
      </c>
      <c r="I16" s="196">
        <f t="shared" si="4"/>
        <v>-140318000</v>
      </c>
      <c r="J16" s="199">
        <f t="shared" si="5"/>
        <v>-1683816000</v>
      </c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</row>
    <row r="17">
      <c r="A17" s="194" t="s">
        <v>131</v>
      </c>
      <c r="B17" s="195">
        <v>12.2857142857143</v>
      </c>
      <c r="C17" s="196">
        <v>-561.011904761905</v>
      </c>
      <c r="D17" s="197">
        <v>8.0</v>
      </c>
      <c r="E17" s="197">
        <f t="shared" si="1"/>
        <v>168</v>
      </c>
      <c r="F17" s="196">
        <f t="shared" si="2"/>
        <v>-89761.90476</v>
      </c>
      <c r="G17" s="196">
        <f t="shared" si="3"/>
        <v>-1077142.857</v>
      </c>
      <c r="H17" s="198">
        <v>1700.0</v>
      </c>
      <c r="I17" s="196">
        <f t="shared" si="4"/>
        <v>-152595238.1</v>
      </c>
      <c r="J17" s="199">
        <f t="shared" si="5"/>
        <v>-1831142857</v>
      </c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</row>
    <row r="18">
      <c r="A18" s="194" t="s">
        <v>131</v>
      </c>
      <c r="B18" s="195">
        <v>13.0285714285714</v>
      </c>
      <c r="C18" s="196">
        <v>-245.0</v>
      </c>
      <c r="D18" s="197">
        <v>2.0</v>
      </c>
      <c r="E18" s="197">
        <f t="shared" si="1"/>
        <v>42</v>
      </c>
      <c r="F18" s="196">
        <f t="shared" si="2"/>
        <v>-9800</v>
      </c>
      <c r="G18" s="196">
        <f t="shared" si="3"/>
        <v>-117600</v>
      </c>
      <c r="H18" s="198">
        <v>1700.0</v>
      </c>
      <c r="I18" s="196">
        <f t="shared" si="4"/>
        <v>-16660000</v>
      </c>
      <c r="J18" s="199">
        <f t="shared" si="5"/>
        <v>-199920000</v>
      </c>
      <c r="L18" s="200"/>
      <c r="M18" s="200"/>
    </row>
    <row r="19">
      <c r="A19" s="194" t="s">
        <v>131</v>
      </c>
      <c r="B19" s="195">
        <v>13.7714285714286</v>
      </c>
      <c r="C19" s="196">
        <v>-1150.0</v>
      </c>
      <c r="D19" s="197">
        <v>8.0</v>
      </c>
      <c r="E19" s="197">
        <f t="shared" si="1"/>
        <v>168</v>
      </c>
      <c r="F19" s="196">
        <f t="shared" si="2"/>
        <v>-184000</v>
      </c>
      <c r="G19" s="196">
        <f t="shared" si="3"/>
        <v>-2208000</v>
      </c>
      <c r="H19" s="198">
        <v>1700.0</v>
      </c>
      <c r="I19" s="196">
        <f t="shared" si="4"/>
        <v>-312800000</v>
      </c>
      <c r="J19" s="199">
        <f t="shared" si="5"/>
        <v>-3753600000</v>
      </c>
      <c r="L19" s="200"/>
      <c r="M19" s="200"/>
    </row>
    <row r="20">
      <c r="A20" s="201" t="s">
        <v>131</v>
      </c>
      <c r="B20" s="195">
        <v>14.5142857142857</v>
      </c>
      <c r="C20" s="202">
        <v>-500.0</v>
      </c>
      <c r="D20" s="203">
        <v>8.0</v>
      </c>
      <c r="E20" s="203">
        <f t="shared" si="1"/>
        <v>168</v>
      </c>
      <c r="F20" s="202">
        <f t="shared" si="2"/>
        <v>-80000</v>
      </c>
      <c r="G20" s="202">
        <f t="shared" si="3"/>
        <v>-960000</v>
      </c>
      <c r="H20" s="198">
        <v>1700.0</v>
      </c>
      <c r="I20" s="202">
        <f t="shared" si="4"/>
        <v>-136000000</v>
      </c>
      <c r="J20" s="204">
        <f t="shared" si="5"/>
        <v>-1632000000</v>
      </c>
      <c r="L20" s="200"/>
      <c r="M20" s="200"/>
    </row>
    <row r="21" ht="15.75" customHeight="1">
      <c r="A21" s="205"/>
      <c r="B21" s="205" t="s">
        <v>132</v>
      </c>
      <c r="C21" s="206">
        <f t="shared" ref="C21:E21" si="6">SUM(C13:C20)</f>
        <v>-4737.761905</v>
      </c>
      <c r="D21" s="207">
        <f t="shared" si="6"/>
        <v>58</v>
      </c>
      <c r="E21" s="208">
        <f t="shared" si="6"/>
        <v>1218</v>
      </c>
      <c r="F21" s="206">
        <f t="shared" ref="F21:J21" si="7">SUM(F2:F20)</f>
        <v>-1461384.381</v>
      </c>
      <c r="G21" s="206">
        <f t="shared" si="7"/>
        <v>-17536612.57</v>
      </c>
      <c r="H21" s="206">
        <f t="shared" si="7"/>
        <v>32300</v>
      </c>
      <c r="I21" s="206">
        <f t="shared" si="7"/>
        <v>-2484353448</v>
      </c>
      <c r="J21" s="209">
        <f t="shared" si="7"/>
        <v>-29812241371</v>
      </c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 ht="15.75" customHeight="1">
      <c r="A22" s="194" t="s">
        <v>131</v>
      </c>
      <c r="B22" s="210" t="s">
        <v>133</v>
      </c>
      <c r="C22" s="211">
        <f t="shared" ref="C22:J22" si="8">C21*0.01</f>
        <v>-47.37761905</v>
      </c>
      <c r="D22" s="212">
        <f t="shared" si="8"/>
        <v>0.58</v>
      </c>
      <c r="E22" s="212">
        <f t="shared" si="8"/>
        <v>12.18</v>
      </c>
      <c r="F22" s="211">
        <f t="shared" si="8"/>
        <v>-14613.84381</v>
      </c>
      <c r="G22" s="211">
        <f t="shared" si="8"/>
        <v>-175366.1257</v>
      </c>
      <c r="H22" s="211">
        <f t="shared" si="8"/>
        <v>323</v>
      </c>
      <c r="I22" s="211">
        <f t="shared" si="8"/>
        <v>-24843534.48</v>
      </c>
      <c r="J22" s="213">
        <f t="shared" si="8"/>
        <v>-298122413.7</v>
      </c>
    </row>
    <row r="23" ht="18.75" customHeight="1">
      <c r="A23" s="194" t="s">
        <v>131</v>
      </c>
      <c r="B23" s="214" t="s">
        <v>134</v>
      </c>
      <c r="C23" s="215">
        <f t="shared" ref="C23:J23" si="9">C21*0.015</f>
        <v>-71.06642857</v>
      </c>
      <c r="D23" s="197">
        <f t="shared" si="9"/>
        <v>0.87</v>
      </c>
      <c r="E23" s="197">
        <f t="shared" si="9"/>
        <v>18.27</v>
      </c>
      <c r="F23" s="215">
        <f t="shared" si="9"/>
        <v>-21920.76571</v>
      </c>
      <c r="G23" s="215">
        <f t="shared" si="9"/>
        <v>-263049.1886</v>
      </c>
      <c r="H23" s="215">
        <f t="shared" si="9"/>
        <v>484.5</v>
      </c>
      <c r="I23" s="215">
        <f t="shared" si="9"/>
        <v>-37265301.71</v>
      </c>
      <c r="J23" s="216">
        <f t="shared" si="9"/>
        <v>-447183620.6</v>
      </c>
    </row>
    <row r="24" ht="15.75" customHeight="1">
      <c r="A24" s="201" t="s">
        <v>131</v>
      </c>
      <c r="B24" s="217" t="s">
        <v>135</v>
      </c>
      <c r="C24" s="218">
        <f t="shared" ref="C24:J24" si="10">C21*0.019</f>
        <v>-90.01747619</v>
      </c>
      <c r="D24" s="203">
        <f t="shared" si="10"/>
        <v>1.102</v>
      </c>
      <c r="E24" s="203">
        <f t="shared" si="10"/>
        <v>23.142</v>
      </c>
      <c r="F24" s="218">
        <f t="shared" si="10"/>
        <v>-27766.30324</v>
      </c>
      <c r="G24" s="218">
        <f t="shared" si="10"/>
        <v>-333195.6389</v>
      </c>
      <c r="H24" s="218">
        <f t="shared" si="10"/>
        <v>613.7</v>
      </c>
      <c r="I24" s="218">
        <f t="shared" si="10"/>
        <v>-47202715.5</v>
      </c>
      <c r="J24" s="219">
        <f t="shared" si="10"/>
        <v>-566432586.1</v>
      </c>
    </row>
    <row r="25" ht="15.75" customHeight="1">
      <c r="A25" s="220"/>
      <c r="B25" s="209" t="s">
        <v>119</v>
      </c>
      <c r="C25" s="209">
        <f t="shared" ref="C25:J25" si="11">SUM(C21:C24)</f>
        <v>-4946.223429</v>
      </c>
      <c r="D25" s="207">
        <f t="shared" si="11"/>
        <v>60.552</v>
      </c>
      <c r="E25" s="208">
        <f t="shared" si="11"/>
        <v>1271.592</v>
      </c>
      <c r="F25" s="209">
        <f t="shared" si="11"/>
        <v>-1525685.294</v>
      </c>
      <c r="G25" s="209">
        <f t="shared" si="11"/>
        <v>-18308223.52</v>
      </c>
      <c r="H25" s="209">
        <f t="shared" si="11"/>
        <v>33721.2</v>
      </c>
      <c r="I25" s="209">
        <f t="shared" si="11"/>
        <v>-2593664999</v>
      </c>
      <c r="J25" s="209">
        <f t="shared" si="11"/>
        <v>-31123979992</v>
      </c>
    </row>
    <row r="26" ht="15.75" customHeight="1">
      <c r="A26" s="200"/>
      <c r="B26" s="200"/>
      <c r="C26" s="3"/>
      <c r="D26" s="221"/>
      <c r="E26" s="222"/>
      <c r="F26" s="3"/>
      <c r="G26" s="3"/>
      <c r="H26" s="3"/>
      <c r="I26" s="3"/>
      <c r="J26" s="3"/>
    </row>
    <row r="27" ht="15.75" customHeight="1">
      <c r="A27" s="200"/>
      <c r="B27" s="200"/>
      <c r="C27" s="3"/>
      <c r="D27" s="221"/>
      <c r="E27" s="223"/>
      <c r="F27" s="3"/>
      <c r="G27" s="3"/>
      <c r="H27" s="3"/>
      <c r="I27" s="3"/>
      <c r="J27" s="3"/>
    </row>
    <row r="28" ht="15.75" customHeight="1">
      <c r="A28" s="200"/>
      <c r="B28" s="200"/>
      <c r="C28" s="3"/>
      <c r="D28" s="221"/>
      <c r="E28" s="223"/>
      <c r="F28" s="3"/>
      <c r="G28" s="3"/>
      <c r="H28" s="3"/>
      <c r="I28" s="3"/>
      <c r="J28" s="3"/>
    </row>
    <row r="29" ht="15.75" customHeight="1">
      <c r="A29" s="224" t="s">
        <v>5</v>
      </c>
      <c r="B29" s="189" t="s">
        <v>97</v>
      </c>
      <c r="C29" s="190" t="s">
        <v>123</v>
      </c>
      <c r="D29" s="191" t="s">
        <v>124</v>
      </c>
      <c r="E29" s="225" t="s">
        <v>125</v>
      </c>
      <c r="F29" s="190" t="s">
        <v>126</v>
      </c>
      <c r="G29" s="190" t="s">
        <v>127</v>
      </c>
      <c r="H29" s="190" t="s">
        <v>128</v>
      </c>
      <c r="I29" s="190" t="s">
        <v>129</v>
      </c>
      <c r="J29" s="192" t="s">
        <v>130</v>
      </c>
    </row>
    <row r="30" ht="15.75" customHeight="1">
      <c r="A30" s="226" t="s">
        <v>136</v>
      </c>
      <c r="B30" s="195">
        <v>1.0</v>
      </c>
      <c r="C30" s="227">
        <f t="shared" ref="C30:D30" si="12">0.42*C2</f>
        <v>-395.64</v>
      </c>
      <c r="D30" s="197">
        <f t="shared" si="12"/>
        <v>3.36</v>
      </c>
      <c r="E30" s="197">
        <f t="shared" ref="E30:G30" si="13">0.07*E2</f>
        <v>11.76</v>
      </c>
      <c r="F30" s="227">
        <f t="shared" si="13"/>
        <v>-10550.4</v>
      </c>
      <c r="G30" s="227">
        <f t="shared" si="13"/>
        <v>-126604.8</v>
      </c>
      <c r="H30" s="198">
        <v>1700.0</v>
      </c>
      <c r="I30" s="227">
        <f t="shared" ref="I30:J30" si="14">0.07*I2</f>
        <v>-17935680</v>
      </c>
      <c r="J30" s="228">
        <f t="shared" si="14"/>
        <v>-215228160</v>
      </c>
    </row>
    <row r="31" ht="15.75" customHeight="1">
      <c r="A31" s="226" t="s">
        <v>136</v>
      </c>
      <c r="B31" s="195">
        <v>2.0</v>
      </c>
      <c r="C31" s="227">
        <f t="shared" ref="C31:D31" si="15">0.42*C3</f>
        <v>-231.294</v>
      </c>
      <c r="D31" s="197">
        <f t="shared" si="15"/>
        <v>3.36</v>
      </c>
      <c r="E31" s="197">
        <f t="shared" ref="E31:G31" si="16">0.07*E3</f>
        <v>11.76</v>
      </c>
      <c r="F31" s="227">
        <f t="shared" si="16"/>
        <v>-6167.84</v>
      </c>
      <c r="G31" s="227">
        <f t="shared" si="16"/>
        <v>-74014.08</v>
      </c>
      <c r="H31" s="198">
        <v>1700.0</v>
      </c>
      <c r="I31" s="227">
        <f t="shared" ref="I31:J31" si="17">0.07*I3</f>
        <v>-10485328</v>
      </c>
      <c r="J31" s="228">
        <f t="shared" si="17"/>
        <v>-125823936</v>
      </c>
    </row>
    <row r="32" ht="15.75" customHeight="1">
      <c r="A32" s="226" t="s">
        <v>136</v>
      </c>
      <c r="B32" s="195">
        <v>3.0</v>
      </c>
      <c r="C32" s="227">
        <f t="shared" ref="C32:D32" si="18">0.42*C4</f>
        <v>-177.6375</v>
      </c>
      <c r="D32" s="197">
        <f t="shared" si="18"/>
        <v>3.36</v>
      </c>
      <c r="E32" s="197">
        <f t="shared" ref="E32:G32" si="19">0.07*E4</f>
        <v>11.76</v>
      </c>
      <c r="F32" s="227">
        <f t="shared" si="19"/>
        <v>-4737</v>
      </c>
      <c r="G32" s="227">
        <f t="shared" si="19"/>
        <v>-56844</v>
      </c>
      <c r="H32" s="198">
        <v>1700.0</v>
      </c>
      <c r="I32" s="227">
        <f t="shared" ref="I32:J32" si="20">0.07*I4</f>
        <v>-8052900</v>
      </c>
      <c r="J32" s="228">
        <f t="shared" si="20"/>
        <v>-96634800</v>
      </c>
    </row>
    <row r="33" ht="15.75" customHeight="1">
      <c r="A33" s="226" t="s">
        <v>136</v>
      </c>
      <c r="B33" s="195">
        <v>3.0</v>
      </c>
      <c r="C33" s="227">
        <f t="shared" ref="C33:D33" si="21">0.42*C5</f>
        <v>-177.6375</v>
      </c>
      <c r="D33" s="197">
        <f t="shared" si="21"/>
        <v>3.36</v>
      </c>
      <c r="E33" s="197">
        <f t="shared" ref="E33:G33" si="22">0.07*E5</f>
        <v>11.76</v>
      </c>
      <c r="F33" s="227">
        <f t="shared" si="22"/>
        <v>-4737</v>
      </c>
      <c r="G33" s="227">
        <f t="shared" si="22"/>
        <v>-56844</v>
      </c>
      <c r="H33" s="198">
        <v>1700.0</v>
      </c>
      <c r="I33" s="227">
        <f t="shared" ref="I33:J33" si="23">0.07*I5</f>
        <v>-8052900</v>
      </c>
      <c r="J33" s="228">
        <f t="shared" si="23"/>
        <v>-96634800</v>
      </c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  <row r="34" ht="15.75" customHeight="1">
      <c r="A34" s="226" t="s">
        <v>136</v>
      </c>
      <c r="B34" s="195">
        <v>4.0</v>
      </c>
      <c r="C34" s="227">
        <f t="shared" ref="C34:D34" si="24">0.42*C6</f>
        <v>-177.6375</v>
      </c>
      <c r="D34" s="197">
        <f t="shared" si="24"/>
        <v>3.36</v>
      </c>
      <c r="E34" s="197">
        <f t="shared" ref="E34:G34" si="25">0.07*E6</f>
        <v>11.76</v>
      </c>
      <c r="F34" s="227">
        <f t="shared" si="25"/>
        <v>-4737</v>
      </c>
      <c r="G34" s="227">
        <f t="shared" si="25"/>
        <v>-56844</v>
      </c>
      <c r="H34" s="198">
        <v>1700.0</v>
      </c>
      <c r="I34" s="227">
        <f t="shared" ref="I34:J34" si="26">0.07*I6</f>
        <v>-8052900</v>
      </c>
      <c r="J34" s="228">
        <f t="shared" si="26"/>
        <v>-96634800</v>
      </c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</row>
    <row r="35" ht="15.75" customHeight="1">
      <c r="A35" s="226" t="s">
        <v>136</v>
      </c>
      <c r="B35" s="195">
        <v>5.0</v>
      </c>
      <c r="C35" s="227">
        <f t="shared" ref="C35:D35" si="27">0.42*C7</f>
        <v>-525</v>
      </c>
      <c r="D35" s="197">
        <f t="shared" si="27"/>
        <v>3.36</v>
      </c>
      <c r="E35" s="197">
        <f t="shared" ref="E35:G35" si="28">0.07*E7</f>
        <v>11.76</v>
      </c>
      <c r="F35" s="227">
        <f t="shared" si="28"/>
        <v>-14000</v>
      </c>
      <c r="G35" s="227">
        <f t="shared" si="28"/>
        <v>-168000</v>
      </c>
      <c r="H35" s="198">
        <v>1700.0</v>
      </c>
      <c r="I35" s="227">
        <f t="shared" ref="I35:J35" si="29">0.07*I7</f>
        <v>-23800000</v>
      </c>
      <c r="J35" s="228">
        <f t="shared" si="29"/>
        <v>-285600000</v>
      </c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</row>
    <row r="36" ht="15.75" customHeight="1">
      <c r="A36" s="226" t="s">
        <v>136</v>
      </c>
      <c r="B36" s="195">
        <v>5.6</v>
      </c>
      <c r="C36" s="227">
        <f t="shared" ref="C36:D36" si="30">0.42*C8</f>
        <v>0</v>
      </c>
      <c r="D36" s="197">
        <f t="shared" si="30"/>
        <v>3.36</v>
      </c>
      <c r="E36" s="197">
        <f t="shared" ref="E36:G36" si="31">0.07*E8</f>
        <v>11.76</v>
      </c>
      <c r="F36" s="227">
        <f t="shared" si="31"/>
        <v>0</v>
      </c>
      <c r="G36" s="227">
        <f t="shared" si="31"/>
        <v>0</v>
      </c>
      <c r="H36" s="198">
        <v>1700.0</v>
      </c>
      <c r="I36" s="227">
        <f t="shared" ref="I36:J36" si="32">0.07*I8</f>
        <v>0</v>
      </c>
      <c r="J36" s="228">
        <f t="shared" si="32"/>
        <v>0</v>
      </c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</row>
    <row r="37" ht="15.75" customHeight="1">
      <c r="A37" s="226" t="s">
        <v>136</v>
      </c>
      <c r="B37" s="195">
        <v>6.34285714285714</v>
      </c>
      <c r="C37" s="227">
        <f t="shared" ref="C37:D37" si="33">0.42*C9</f>
        <v>0</v>
      </c>
      <c r="D37" s="197">
        <f t="shared" si="33"/>
        <v>3.36</v>
      </c>
      <c r="E37" s="197">
        <f t="shared" ref="E37:G37" si="34">0.07*E9</f>
        <v>11.76</v>
      </c>
      <c r="F37" s="227">
        <f t="shared" si="34"/>
        <v>0</v>
      </c>
      <c r="G37" s="227">
        <f t="shared" si="34"/>
        <v>0</v>
      </c>
      <c r="H37" s="198">
        <v>1700.0</v>
      </c>
      <c r="I37" s="227">
        <f t="shared" ref="I37:J37" si="35">0.07*I9</f>
        <v>0</v>
      </c>
      <c r="J37" s="228">
        <f t="shared" si="35"/>
        <v>0</v>
      </c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</row>
    <row r="38" ht="15.75" customHeight="1">
      <c r="A38" s="226" t="s">
        <v>136</v>
      </c>
      <c r="B38" s="195">
        <v>7.08571428571428</v>
      </c>
      <c r="C38" s="227">
        <f t="shared" ref="C38:D38" si="36">0.42*C10</f>
        <v>0</v>
      </c>
      <c r="D38" s="197">
        <f t="shared" si="36"/>
        <v>3.36</v>
      </c>
      <c r="E38" s="197">
        <f t="shared" ref="E38:G38" si="37">0.07*E10</f>
        <v>11.76</v>
      </c>
      <c r="F38" s="227">
        <f t="shared" si="37"/>
        <v>0</v>
      </c>
      <c r="G38" s="227">
        <f t="shared" si="37"/>
        <v>0</v>
      </c>
      <c r="H38" s="198">
        <v>1700.0</v>
      </c>
      <c r="I38" s="227">
        <f t="shared" ref="I38:J38" si="38">0.07*I10</f>
        <v>0</v>
      </c>
      <c r="J38" s="228">
        <f t="shared" si="38"/>
        <v>0</v>
      </c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</row>
    <row r="39" ht="15.75" customHeight="1">
      <c r="A39" s="226" t="s">
        <v>136</v>
      </c>
      <c r="B39" s="195">
        <v>7.82857142857143</v>
      </c>
      <c r="C39" s="227">
        <f t="shared" ref="C39:D39" si="39">0.42*C11</f>
        <v>-138.6</v>
      </c>
      <c r="D39" s="197">
        <f t="shared" si="39"/>
        <v>3.36</v>
      </c>
      <c r="E39" s="197">
        <f t="shared" ref="E39:G39" si="40">0.07*E11</f>
        <v>11.76</v>
      </c>
      <c r="F39" s="227">
        <f t="shared" si="40"/>
        <v>-3696</v>
      </c>
      <c r="G39" s="227">
        <f t="shared" si="40"/>
        <v>-44352</v>
      </c>
      <c r="H39" s="198">
        <v>1700.0</v>
      </c>
      <c r="I39" s="227">
        <f t="shared" ref="I39:J39" si="41">0.07*I11</f>
        <v>-6283200</v>
      </c>
      <c r="J39" s="228">
        <f t="shared" si="41"/>
        <v>-75398400</v>
      </c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</row>
    <row r="40" ht="15.75" customHeight="1">
      <c r="A40" s="226" t="s">
        <v>136</v>
      </c>
      <c r="B40" s="195">
        <v>8.57142857142857</v>
      </c>
      <c r="C40" s="227">
        <f t="shared" ref="C40:D40" si="42">0.42*C12</f>
        <v>-100.0025</v>
      </c>
      <c r="D40" s="197">
        <f t="shared" si="42"/>
        <v>3.36</v>
      </c>
      <c r="E40" s="197">
        <f t="shared" ref="E40:G40" si="43">0.07*E12</f>
        <v>11.76</v>
      </c>
      <c r="F40" s="227">
        <f t="shared" si="43"/>
        <v>-2666.733333</v>
      </c>
      <c r="G40" s="227">
        <f t="shared" si="43"/>
        <v>-32000.8</v>
      </c>
      <c r="H40" s="198">
        <v>1700.0</v>
      </c>
      <c r="I40" s="227">
        <f t="shared" ref="I40:J40" si="44">0.07*I12</f>
        <v>-4533446.667</v>
      </c>
      <c r="J40" s="228">
        <f t="shared" si="44"/>
        <v>-54401360</v>
      </c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</row>
    <row r="41" ht="15.75" customHeight="1">
      <c r="A41" s="226" t="s">
        <v>136</v>
      </c>
      <c r="B41" s="195">
        <v>9.31428571428571</v>
      </c>
      <c r="C41" s="227">
        <f t="shared" ref="C41:D41" si="45">0.42*C13</f>
        <v>-262.5</v>
      </c>
      <c r="D41" s="197">
        <f t="shared" si="45"/>
        <v>3.36</v>
      </c>
      <c r="E41" s="197">
        <f t="shared" ref="E41:G41" si="46">0.07*E13</f>
        <v>11.76</v>
      </c>
      <c r="F41" s="227">
        <f t="shared" si="46"/>
        <v>-7000</v>
      </c>
      <c r="G41" s="227">
        <f t="shared" si="46"/>
        <v>-84000</v>
      </c>
      <c r="H41" s="198">
        <v>1700.0</v>
      </c>
      <c r="I41" s="227">
        <f t="shared" ref="I41:J41" si="47">0.07*I13</f>
        <v>-11900000</v>
      </c>
      <c r="J41" s="228">
        <f t="shared" si="47"/>
        <v>-142800000</v>
      </c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</row>
    <row r="42" ht="15.75" customHeight="1">
      <c r="A42" s="226" t="s">
        <v>136</v>
      </c>
      <c r="B42" s="195">
        <v>10.0571428571429</v>
      </c>
      <c r="C42" s="227">
        <f t="shared" ref="C42:D42" si="48">0.42*C14</f>
        <v>-262.5</v>
      </c>
      <c r="D42" s="197">
        <f t="shared" si="48"/>
        <v>3.36</v>
      </c>
      <c r="E42" s="197">
        <f t="shared" ref="E42:G42" si="49">0.07*E14</f>
        <v>11.76</v>
      </c>
      <c r="F42" s="227">
        <f t="shared" si="49"/>
        <v>-7000</v>
      </c>
      <c r="G42" s="227">
        <f t="shared" si="49"/>
        <v>-84000</v>
      </c>
      <c r="H42" s="198">
        <v>1700.0</v>
      </c>
      <c r="I42" s="227">
        <f t="shared" ref="I42:J42" si="50">0.07*I14</f>
        <v>-11900000</v>
      </c>
      <c r="J42" s="228">
        <f t="shared" si="50"/>
        <v>-142800000</v>
      </c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</row>
    <row r="43" ht="15.75" customHeight="1">
      <c r="A43" s="226" t="s">
        <v>136</v>
      </c>
      <c r="B43" s="195">
        <v>10.8</v>
      </c>
      <c r="C43" s="227">
        <f t="shared" ref="C43:D43" si="51">0.42*C15</f>
        <v>-216.6675</v>
      </c>
      <c r="D43" s="197">
        <f t="shared" si="51"/>
        <v>3.36</v>
      </c>
      <c r="E43" s="197">
        <f t="shared" ref="E43:G43" si="52">0.07*E15</f>
        <v>11.76</v>
      </c>
      <c r="F43" s="227">
        <f t="shared" si="52"/>
        <v>-5777.8</v>
      </c>
      <c r="G43" s="227">
        <f t="shared" si="52"/>
        <v>-69333.6</v>
      </c>
      <c r="H43" s="198">
        <v>1700.0</v>
      </c>
      <c r="I43" s="227">
        <f t="shared" ref="I43:J43" si="53">0.07*I15</f>
        <v>-9822260</v>
      </c>
      <c r="J43" s="228">
        <f t="shared" si="53"/>
        <v>-117867120</v>
      </c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ht="15.75" customHeight="1">
      <c r="A44" s="226" t="s">
        <v>136</v>
      </c>
      <c r="B44" s="195">
        <v>11.5428571428571</v>
      </c>
      <c r="C44" s="227">
        <f t="shared" ref="C44:D44" si="54">0.42*C16</f>
        <v>-216.6675</v>
      </c>
      <c r="D44" s="197">
        <f t="shared" si="54"/>
        <v>3.36</v>
      </c>
      <c r="E44" s="197">
        <f t="shared" ref="E44:G44" si="55">0.07*E16</f>
        <v>11.76</v>
      </c>
      <c r="F44" s="227">
        <f t="shared" si="55"/>
        <v>-5777.8</v>
      </c>
      <c r="G44" s="227">
        <f t="shared" si="55"/>
        <v>-69333.6</v>
      </c>
      <c r="H44" s="198">
        <v>1700.0</v>
      </c>
      <c r="I44" s="227">
        <f t="shared" ref="I44:J44" si="56">0.07*I16</f>
        <v>-9822260</v>
      </c>
      <c r="J44" s="228">
        <f t="shared" si="56"/>
        <v>-117867120</v>
      </c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</row>
    <row r="45" ht="15.75" customHeight="1">
      <c r="A45" s="226" t="s">
        <v>136</v>
      </c>
      <c r="B45" s="195">
        <v>12.2857142857143</v>
      </c>
      <c r="C45" s="227">
        <f t="shared" ref="C45:D45" si="57">0.42*C17</f>
        <v>-235.625</v>
      </c>
      <c r="D45" s="197">
        <f t="shared" si="57"/>
        <v>3.36</v>
      </c>
      <c r="E45" s="197">
        <f t="shared" ref="E45:G45" si="58">0.07*E17</f>
        <v>11.76</v>
      </c>
      <c r="F45" s="227">
        <f t="shared" si="58"/>
        <v>-6283.333333</v>
      </c>
      <c r="G45" s="227">
        <f t="shared" si="58"/>
        <v>-75400</v>
      </c>
      <c r="H45" s="198">
        <v>1700.0</v>
      </c>
      <c r="I45" s="227">
        <f t="shared" ref="I45:J45" si="59">0.07*I17</f>
        <v>-10681666.67</v>
      </c>
      <c r="J45" s="228">
        <f t="shared" si="59"/>
        <v>-128180000</v>
      </c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</row>
    <row r="46" ht="15.75" customHeight="1">
      <c r="A46" s="226" t="s">
        <v>136</v>
      </c>
      <c r="B46" s="195">
        <v>13.0285714285714</v>
      </c>
      <c r="C46" s="227">
        <f t="shared" ref="C46:D46" si="60">0.42*C18</f>
        <v>-102.9</v>
      </c>
      <c r="D46" s="197">
        <f t="shared" si="60"/>
        <v>0.84</v>
      </c>
      <c r="E46" s="197">
        <f t="shared" ref="E46:G46" si="61">0.07*E18</f>
        <v>2.94</v>
      </c>
      <c r="F46" s="227">
        <f t="shared" si="61"/>
        <v>-686</v>
      </c>
      <c r="G46" s="227">
        <f t="shared" si="61"/>
        <v>-8232</v>
      </c>
      <c r="H46" s="198">
        <v>1700.0</v>
      </c>
      <c r="I46" s="227">
        <f t="shared" ref="I46:J46" si="62">0.07*I18</f>
        <v>-1166200</v>
      </c>
      <c r="J46" s="228">
        <f t="shared" si="62"/>
        <v>-13994400</v>
      </c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  <row r="47" ht="15.75" customHeight="1">
      <c r="A47" s="226" t="s">
        <v>136</v>
      </c>
      <c r="B47" s="195">
        <v>13.7714285714286</v>
      </c>
      <c r="C47" s="227">
        <f t="shared" ref="C47:D47" si="63">0.42*C19</f>
        <v>-483</v>
      </c>
      <c r="D47" s="197">
        <f t="shared" si="63"/>
        <v>3.36</v>
      </c>
      <c r="E47" s="197">
        <f t="shared" ref="E47:G47" si="64">0.07*E19</f>
        <v>11.76</v>
      </c>
      <c r="F47" s="227">
        <f t="shared" si="64"/>
        <v>-12880</v>
      </c>
      <c r="G47" s="227">
        <f t="shared" si="64"/>
        <v>-154560</v>
      </c>
      <c r="H47" s="198">
        <v>1700.0</v>
      </c>
      <c r="I47" s="227">
        <f t="shared" ref="I47:J47" si="65">0.07*I19</f>
        <v>-21896000</v>
      </c>
      <c r="J47" s="228">
        <f t="shared" si="65"/>
        <v>-262752000</v>
      </c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</row>
    <row r="48" ht="15.75" customHeight="1">
      <c r="A48" s="226" t="s">
        <v>136</v>
      </c>
      <c r="B48" s="195">
        <v>14.5142857142857</v>
      </c>
      <c r="C48" s="227">
        <f t="shared" ref="C48:D48" si="66">0.42*C20</f>
        <v>-210</v>
      </c>
      <c r="D48" s="197">
        <f t="shared" si="66"/>
        <v>3.36</v>
      </c>
      <c r="E48" s="197">
        <f t="shared" ref="E48:G48" si="67">0.07*E20</f>
        <v>11.76</v>
      </c>
      <c r="F48" s="227">
        <f t="shared" si="67"/>
        <v>-5600</v>
      </c>
      <c r="G48" s="227">
        <f t="shared" si="67"/>
        <v>-67200</v>
      </c>
      <c r="H48" s="198">
        <v>1700.0</v>
      </c>
      <c r="I48" s="227">
        <f t="shared" ref="I48:J48" si="68">0.07*I20</f>
        <v>-9520000</v>
      </c>
      <c r="J48" s="228">
        <f t="shared" si="68"/>
        <v>-114240000</v>
      </c>
    </row>
    <row r="49" ht="15.75" customHeight="1">
      <c r="A49" s="226" t="s">
        <v>136</v>
      </c>
      <c r="B49" s="229"/>
      <c r="C49" s="227"/>
      <c r="D49" s="197"/>
      <c r="E49" s="197"/>
      <c r="F49" s="227"/>
      <c r="G49" s="227"/>
      <c r="H49" s="227"/>
      <c r="I49" s="227"/>
      <c r="J49" s="228"/>
    </row>
    <row r="50" ht="15.75" customHeight="1">
      <c r="A50" s="230" t="s">
        <v>136</v>
      </c>
      <c r="B50" s="231"/>
      <c r="C50" s="232"/>
      <c r="D50" s="203"/>
      <c r="E50" s="203"/>
      <c r="F50" s="232"/>
      <c r="G50" s="232"/>
      <c r="H50" s="232"/>
      <c r="I50" s="232"/>
      <c r="J50" s="233"/>
    </row>
    <row r="51" ht="15.75" customHeight="1">
      <c r="A51" s="205"/>
      <c r="B51" s="205" t="s">
        <v>132</v>
      </c>
      <c r="C51" s="209">
        <f t="shared" ref="C51:J51" si="69">SUM(C30:C50)</f>
        <v>-3913.309</v>
      </c>
      <c r="D51" s="207">
        <f t="shared" si="69"/>
        <v>61.32</v>
      </c>
      <c r="E51" s="207">
        <f t="shared" si="69"/>
        <v>214.62</v>
      </c>
      <c r="F51" s="209">
        <f t="shared" si="69"/>
        <v>-102296.9067</v>
      </c>
      <c r="G51" s="209">
        <f t="shared" si="69"/>
        <v>-1227562.88</v>
      </c>
      <c r="H51" s="209">
        <f t="shared" si="69"/>
        <v>32300</v>
      </c>
      <c r="I51" s="209">
        <f t="shared" si="69"/>
        <v>-173904741.3</v>
      </c>
      <c r="J51" s="209">
        <f t="shared" si="69"/>
        <v>-2086856896</v>
      </c>
    </row>
    <row r="52" ht="15.75" customHeight="1">
      <c r="A52" s="226" t="s">
        <v>136</v>
      </c>
      <c r="B52" s="210" t="s">
        <v>133</v>
      </c>
      <c r="C52" s="211">
        <f t="shared" ref="C52:J52" si="70">C51*0.01</f>
        <v>-39.13309</v>
      </c>
      <c r="D52" s="212">
        <f t="shared" si="70"/>
        <v>0.6132</v>
      </c>
      <c r="E52" s="212">
        <f t="shared" si="70"/>
        <v>2.1462</v>
      </c>
      <c r="F52" s="211">
        <f t="shared" si="70"/>
        <v>-1022.969067</v>
      </c>
      <c r="G52" s="211">
        <f t="shared" si="70"/>
        <v>-12275.6288</v>
      </c>
      <c r="H52" s="211">
        <f t="shared" si="70"/>
        <v>323</v>
      </c>
      <c r="I52" s="211">
        <f t="shared" si="70"/>
        <v>-1739047.413</v>
      </c>
      <c r="J52" s="213">
        <f t="shared" si="70"/>
        <v>-20868568.96</v>
      </c>
    </row>
    <row r="53" ht="15.75" customHeight="1">
      <c r="A53" s="226" t="s">
        <v>136</v>
      </c>
      <c r="B53" s="214" t="s">
        <v>134</v>
      </c>
      <c r="C53" s="215">
        <f t="shared" ref="C53:J53" si="71">C51*0.015</f>
        <v>-58.699635</v>
      </c>
      <c r="D53" s="197">
        <f t="shared" si="71"/>
        <v>0.9198</v>
      </c>
      <c r="E53" s="197">
        <f t="shared" si="71"/>
        <v>3.2193</v>
      </c>
      <c r="F53" s="215">
        <f t="shared" si="71"/>
        <v>-1534.4536</v>
      </c>
      <c r="G53" s="215">
        <f t="shared" si="71"/>
        <v>-18413.4432</v>
      </c>
      <c r="H53" s="215">
        <f t="shared" si="71"/>
        <v>484.5</v>
      </c>
      <c r="I53" s="215">
        <f t="shared" si="71"/>
        <v>-2608571.12</v>
      </c>
      <c r="J53" s="216">
        <f t="shared" si="71"/>
        <v>-31302853.44</v>
      </c>
    </row>
    <row r="54" ht="15.75" customHeight="1">
      <c r="A54" s="230" t="s">
        <v>136</v>
      </c>
      <c r="B54" s="217" t="s">
        <v>135</v>
      </c>
      <c r="C54" s="218">
        <f t="shared" ref="C54:J54" si="72">C51*0.019</f>
        <v>-74.352871</v>
      </c>
      <c r="D54" s="203">
        <f t="shared" si="72"/>
        <v>1.16508</v>
      </c>
      <c r="E54" s="203">
        <f t="shared" si="72"/>
        <v>4.07778</v>
      </c>
      <c r="F54" s="218">
        <f t="shared" si="72"/>
        <v>-1943.641227</v>
      </c>
      <c r="G54" s="218">
        <f t="shared" si="72"/>
        <v>-23323.69472</v>
      </c>
      <c r="H54" s="218">
        <f t="shared" si="72"/>
        <v>613.7</v>
      </c>
      <c r="I54" s="218">
        <f t="shared" si="72"/>
        <v>-3304190.085</v>
      </c>
      <c r="J54" s="219">
        <f t="shared" si="72"/>
        <v>-39650281.02</v>
      </c>
    </row>
    <row r="55" ht="15.75" customHeight="1">
      <c r="A55" s="234"/>
      <c r="B55" s="209" t="s">
        <v>119</v>
      </c>
      <c r="C55" s="209">
        <f t="shared" ref="C55:J55" si="73">SUM(C51:C54)</f>
        <v>-4085.494596</v>
      </c>
      <c r="D55" s="207">
        <f t="shared" si="73"/>
        <v>64.01808</v>
      </c>
      <c r="E55" s="207">
        <f t="shared" si="73"/>
        <v>224.06328</v>
      </c>
      <c r="F55" s="209">
        <f t="shared" si="73"/>
        <v>-106797.9706</v>
      </c>
      <c r="G55" s="209">
        <f t="shared" si="73"/>
        <v>-1281575.647</v>
      </c>
      <c r="H55" s="209">
        <f t="shared" si="73"/>
        <v>33721.2</v>
      </c>
      <c r="I55" s="209">
        <f t="shared" si="73"/>
        <v>-181556550</v>
      </c>
      <c r="J55" s="209">
        <f t="shared" si="73"/>
        <v>-2178678599</v>
      </c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ht="15.0" customHeight="1">
      <c r="D56" s="221"/>
      <c r="E56" s="200"/>
    </row>
    <row r="57" ht="15.0" customHeight="1">
      <c r="D57" s="221"/>
      <c r="E57" s="200"/>
    </row>
    <row r="58" ht="15.0" customHeight="1">
      <c r="D58" s="221"/>
      <c r="E58" s="200"/>
    </row>
    <row r="59" ht="15.0" customHeight="1">
      <c r="D59" s="221"/>
      <c r="E59" s="200"/>
    </row>
    <row r="60" ht="15.0" customHeight="1">
      <c r="D60" s="221"/>
      <c r="E60" s="200"/>
    </row>
    <row r="61" ht="15.0" customHeight="1">
      <c r="D61" s="221"/>
      <c r="E61" s="200"/>
    </row>
    <row r="62" ht="15.0" customHeight="1">
      <c r="D62" s="221"/>
      <c r="E62" s="200"/>
    </row>
    <row r="63" ht="15.0" customHeight="1">
      <c r="D63" s="221"/>
      <c r="E63" s="200"/>
    </row>
    <row r="64" ht="15.0" customHeight="1">
      <c r="D64" s="221"/>
      <c r="E64" s="200"/>
    </row>
    <row r="65" ht="15.0" customHeight="1">
      <c r="D65" s="221"/>
      <c r="E65" s="200"/>
    </row>
    <row r="66" ht="15.0" customHeight="1">
      <c r="D66" s="221"/>
      <c r="E66" s="200"/>
    </row>
    <row r="67" ht="15.0" customHeight="1">
      <c r="D67" s="221"/>
      <c r="E67" s="200"/>
    </row>
    <row r="68" ht="15.0" customHeight="1">
      <c r="D68" s="221"/>
      <c r="E68" s="200"/>
    </row>
    <row r="69" ht="15.0" customHeight="1">
      <c r="D69" s="221"/>
      <c r="E69" s="200"/>
    </row>
    <row r="70" ht="15.0" customHeight="1">
      <c r="D70" s="221"/>
      <c r="E70" s="200"/>
    </row>
    <row r="71" ht="15.0" customHeight="1">
      <c r="D71" s="221"/>
      <c r="E71" s="200"/>
    </row>
    <row r="72" ht="15.0" customHeight="1">
      <c r="D72" s="221"/>
      <c r="E72" s="200"/>
    </row>
    <row r="73" ht="15.0" customHeight="1">
      <c r="D73" s="221"/>
      <c r="E73" s="200"/>
    </row>
    <row r="74" ht="15.0" customHeight="1">
      <c r="D74" s="221"/>
      <c r="E74" s="200"/>
    </row>
    <row r="75" ht="15.0" customHeight="1">
      <c r="D75" s="221"/>
      <c r="E75" s="200"/>
    </row>
    <row r="76" ht="15.0" customHeight="1">
      <c r="D76" s="221"/>
      <c r="E76" s="200"/>
    </row>
    <row r="77" ht="15.0" customHeight="1">
      <c r="D77" s="221"/>
      <c r="E77" s="200"/>
    </row>
    <row r="78" ht="15.0" customHeight="1">
      <c r="D78" s="221"/>
      <c r="E78" s="200"/>
    </row>
    <row r="79" ht="15.0" customHeight="1">
      <c r="D79" s="221"/>
      <c r="E79" s="200"/>
    </row>
    <row r="80" ht="15.0" customHeight="1">
      <c r="D80" s="221"/>
      <c r="E80" s="200"/>
    </row>
    <row r="81" ht="15.0" customHeight="1">
      <c r="D81" s="221"/>
      <c r="E81" s="200"/>
    </row>
    <row r="82" ht="15.75" customHeight="1">
      <c r="D82" s="221"/>
    </row>
    <row r="83" ht="15.75" customHeight="1">
      <c r="D83" s="221"/>
    </row>
    <row r="84" ht="15.75" customHeight="1">
      <c r="D84" s="221"/>
    </row>
    <row r="85" ht="15.75" customHeight="1">
      <c r="D85" s="221"/>
    </row>
    <row r="86" ht="15.75" customHeight="1">
      <c r="D86" s="221"/>
    </row>
    <row r="87" ht="15.75" customHeight="1">
      <c r="D87" s="221"/>
    </row>
    <row r="88" ht="15.75" customHeight="1">
      <c r="D88" s="221"/>
    </row>
    <row r="89" ht="15.0" customHeight="1">
      <c r="D89" s="221"/>
      <c r="K89" s="200"/>
    </row>
    <row r="90" ht="15.75" customHeight="1">
      <c r="D90" s="221"/>
    </row>
    <row r="91" ht="15.75" customHeight="1">
      <c r="D91" s="221"/>
    </row>
    <row r="92" ht="15.75" customHeight="1">
      <c r="D92" s="221"/>
    </row>
    <row r="93" ht="15.75" customHeight="1">
      <c r="D93" s="221"/>
    </row>
    <row r="94" ht="15.75" customHeight="1">
      <c r="D94" s="221"/>
    </row>
    <row r="95" ht="15.75" customHeight="1">
      <c r="D95" s="221"/>
    </row>
    <row r="96" ht="15.75" customHeight="1">
      <c r="D96" s="221"/>
    </row>
    <row r="97" ht="15.75" customHeight="1">
      <c r="D97" s="221"/>
    </row>
    <row r="98" ht="15.75" customHeight="1">
      <c r="D98" s="221"/>
    </row>
    <row r="99" ht="15.75" customHeight="1">
      <c r="D99" s="221"/>
    </row>
    <row r="100" ht="15.75" customHeight="1">
      <c r="D100" s="221"/>
    </row>
    <row r="101" ht="15.75" customHeight="1">
      <c r="D101" s="221"/>
    </row>
    <row r="102" ht="15.75" customHeight="1">
      <c r="D102" s="221"/>
    </row>
    <row r="103" ht="15.75" customHeight="1">
      <c r="D103" s="221"/>
    </row>
    <row r="104" ht="15.75" customHeight="1">
      <c r="D104" s="221"/>
    </row>
    <row r="105" ht="15.75" customHeight="1">
      <c r="D105" s="221"/>
    </row>
    <row r="106" ht="15.75" customHeight="1">
      <c r="D106" s="221"/>
    </row>
    <row r="107" ht="15.75" customHeight="1">
      <c r="D107" s="221"/>
    </row>
    <row r="108" ht="15.75" customHeight="1">
      <c r="D108" s="221"/>
    </row>
    <row r="109" ht="15.75" customHeight="1">
      <c r="D109" s="221"/>
    </row>
    <row r="110" ht="15.75" customHeight="1">
      <c r="D110" s="221"/>
    </row>
    <row r="111" ht="15.75" customHeight="1">
      <c r="D111" s="221"/>
    </row>
    <row r="112" ht="15.75" customHeight="1">
      <c r="D112" s="221"/>
    </row>
    <row r="113" ht="15.75" customHeight="1">
      <c r="D113" s="221"/>
    </row>
    <row r="114" ht="15.75" customHeight="1">
      <c r="D114" s="221"/>
    </row>
    <row r="115" ht="15.75" customHeight="1">
      <c r="D115" s="221"/>
    </row>
    <row r="116" ht="15.75" customHeight="1">
      <c r="D116" s="221"/>
    </row>
    <row r="117" ht="15.75" customHeight="1">
      <c r="D117" s="221"/>
    </row>
    <row r="118" ht="15.75" customHeight="1">
      <c r="D118" s="221"/>
    </row>
    <row r="119" ht="15.75" customHeight="1">
      <c r="D119" s="221"/>
    </row>
    <row r="120" ht="15.75" customHeight="1">
      <c r="D120" s="221"/>
    </row>
    <row r="121" ht="15.75" customHeight="1">
      <c r="D121" s="221"/>
    </row>
    <row r="122" ht="15.75" customHeight="1">
      <c r="D122" s="221"/>
    </row>
    <row r="123" ht="15.75" customHeight="1">
      <c r="D123" s="221"/>
    </row>
    <row r="124" ht="15.75" customHeight="1">
      <c r="D124" s="221"/>
    </row>
    <row r="125" ht="15.75" customHeight="1">
      <c r="D125" s="221"/>
    </row>
    <row r="126" ht="15.75" customHeight="1">
      <c r="D126" s="221"/>
    </row>
    <row r="127" ht="15.75" customHeight="1">
      <c r="D127" s="221"/>
    </row>
    <row r="128" ht="15.75" customHeight="1">
      <c r="D128" s="221"/>
    </row>
    <row r="129" ht="15.75" customHeight="1">
      <c r="D129" s="221"/>
    </row>
    <row r="130" ht="15.75" customHeight="1">
      <c r="D130" s="221"/>
    </row>
    <row r="131" ht="15.75" customHeight="1">
      <c r="D131" s="221"/>
    </row>
    <row r="132" ht="15.75" customHeight="1">
      <c r="D132" s="221"/>
    </row>
    <row r="133" ht="15.75" customHeight="1">
      <c r="D133" s="221"/>
    </row>
    <row r="134" ht="15.75" customHeight="1">
      <c r="D134" s="221"/>
    </row>
    <row r="135" ht="15.75" customHeight="1">
      <c r="D135" s="221"/>
    </row>
    <row r="136" ht="15.75" customHeight="1">
      <c r="D136" s="221"/>
    </row>
    <row r="137" ht="15.75" customHeight="1">
      <c r="D137" s="221"/>
    </row>
    <row r="138" ht="15.75" customHeight="1">
      <c r="D138" s="221"/>
    </row>
    <row r="139" ht="15.75" customHeight="1">
      <c r="D139" s="221"/>
    </row>
    <row r="140" ht="15.75" customHeight="1">
      <c r="D140" s="221"/>
    </row>
    <row r="141" ht="15.75" customHeight="1">
      <c r="D141" s="221"/>
    </row>
    <row r="142" ht="15.75" customHeight="1">
      <c r="D142" s="221"/>
    </row>
    <row r="143" ht="15.75" customHeight="1">
      <c r="D143" s="221"/>
    </row>
    <row r="144" ht="15.75" customHeight="1">
      <c r="D144" s="221"/>
    </row>
    <row r="145" ht="15.75" customHeight="1">
      <c r="D145" s="221"/>
    </row>
    <row r="146" ht="15.75" customHeight="1">
      <c r="D146" s="221"/>
    </row>
    <row r="147" ht="15.75" customHeight="1">
      <c r="D147" s="221"/>
    </row>
    <row r="148" ht="15.75" customHeight="1">
      <c r="D148" s="221"/>
    </row>
    <row r="149" ht="15.75" customHeight="1">
      <c r="D149" s="221"/>
    </row>
    <row r="150" ht="15.75" customHeight="1">
      <c r="D150" s="221"/>
    </row>
    <row r="151" ht="15.75" customHeight="1">
      <c r="D151" s="221"/>
    </row>
    <row r="152" ht="15.75" customHeight="1">
      <c r="D152" s="221"/>
    </row>
    <row r="153" ht="15.75" customHeight="1">
      <c r="D153" s="221"/>
    </row>
    <row r="154" ht="15.75" customHeight="1">
      <c r="D154" s="221"/>
    </row>
    <row r="155" ht="15.75" customHeight="1">
      <c r="D155" s="221"/>
    </row>
    <row r="156" ht="15.75" customHeight="1">
      <c r="D156" s="221"/>
    </row>
    <row r="157" ht="15.75" customHeight="1">
      <c r="D157" s="221"/>
    </row>
    <row r="158" ht="15.75" customHeight="1">
      <c r="D158" s="221"/>
    </row>
    <row r="159" ht="15.75" customHeight="1">
      <c r="D159" s="221"/>
    </row>
    <row r="160" ht="15.75" customHeight="1">
      <c r="D160" s="221"/>
    </row>
    <row r="161" ht="15.75" customHeight="1">
      <c r="D161" s="221"/>
    </row>
    <row r="162" ht="15.75" customHeight="1">
      <c r="D162" s="221"/>
    </row>
    <row r="163" ht="15.75" customHeight="1">
      <c r="D163" s="221"/>
    </row>
    <row r="164" ht="15.75" customHeight="1">
      <c r="D164" s="221"/>
    </row>
    <row r="165" ht="15.75" customHeight="1">
      <c r="D165" s="221"/>
    </row>
    <row r="166" ht="15.75" customHeight="1">
      <c r="D166" s="221"/>
    </row>
    <row r="167" ht="15.75" customHeight="1">
      <c r="D167" s="221"/>
    </row>
    <row r="168" ht="15.75" customHeight="1">
      <c r="D168" s="221"/>
    </row>
    <row r="169" ht="15.75" customHeight="1">
      <c r="D169" s="221"/>
    </row>
    <row r="170" ht="15.75" customHeight="1">
      <c r="D170" s="221"/>
    </row>
    <row r="171" ht="15.75" customHeight="1">
      <c r="D171" s="221"/>
    </row>
    <row r="172" ht="15.75" customHeight="1">
      <c r="D172" s="221"/>
    </row>
    <row r="173" ht="15.75" customHeight="1">
      <c r="D173" s="221"/>
    </row>
    <row r="174" ht="15.75" customHeight="1">
      <c r="D174" s="221"/>
    </row>
    <row r="175" ht="15.75" customHeight="1">
      <c r="D175" s="221"/>
    </row>
    <row r="176" ht="15.75" customHeight="1">
      <c r="D176" s="221"/>
    </row>
    <row r="177" ht="15.75" customHeight="1">
      <c r="D177" s="221"/>
    </row>
    <row r="178" ht="15.75" customHeight="1">
      <c r="D178" s="221"/>
    </row>
    <row r="179" ht="15.75" customHeight="1">
      <c r="D179" s="221"/>
    </row>
    <row r="180" ht="15.75" customHeight="1">
      <c r="D180" s="221"/>
    </row>
    <row r="181" ht="15.75" customHeight="1">
      <c r="D181" s="221"/>
    </row>
    <row r="182" ht="15.75" customHeight="1">
      <c r="D182" s="221"/>
    </row>
    <row r="183" ht="15.75" customHeight="1">
      <c r="D183" s="221"/>
    </row>
    <row r="184" ht="15.75" customHeight="1">
      <c r="D184" s="221"/>
    </row>
    <row r="185" ht="15.75" customHeight="1">
      <c r="D185" s="221"/>
    </row>
    <row r="186" ht="15.75" customHeight="1">
      <c r="D186" s="221"/>
    </row>
    <row r="187" ht="15.75" customHeight="1">
      <c r="D187" s="221"/>
    </row>
    <row r="188" ht="15.75" customHeight="1">
      <c r="D188" s="221"/>
    </row>
    <row r="189" ht="15.75" customHeight="1">
      <c r="D189" s="221"/>
    </row>
    <row r="190" ht="15.75" customHeight="1">
      <c r="D190" s="221"/>
    </row>
    <row r="191" ht="15.75" customHeight="1">
      <c r="D191" s="221"/>
    </row>
    <row r="192" ht="15.75" customHeight="1">
      <c r="D192" s="221"/>
    </row>
    <row r="193" ht="15.75" customHeight="1">
      <c r="D193" s="221"/>
    </row>
    <row r="194" ht="15.75" customHeight="1">
      <c r="D194" s="221"/>
    </row>
    <row r="195" ht="15.75" customHeight="1">
      <c r="D195" s="221"/>
    </row>
    <row r="196" ht="15.75" customHeight="1">
      <c r="D196" s="221"/>
    </row>
    <row r="197" ht="15.75" customHeight="1">
      <c r="D197" s="221"/>
    </row>
    <row r="198" ht="15.75" customHeight="1">
      <c r="D198" s="221"/>
    </row>
    <row r="199" ht="15.75" customHeight="1">
      <c r="D199" s="221"/>
    </row>
    <row r="200" ht="15.75" customHeight="1">
      <c r="D200" s="221"/>
    </row>
    <row r="201" ht="15.75" customHeight="1">
      <c r="D201" s="221"/>
    </row>
    <row r="202" ht="15.75" customHeight="1">
      <c r="D202" s="221"/>
    </row>
    <row r="203" ht="15.75" customHeight="1">
      <c r="D203" s="221"/>
    </row>
    <row r="204" ht="15.75" customHeight="1">
      <c r="D204" s="221"/>
    </row>
    <row r="205" ht="15.75" customHeight="1">
      <c r="D205" s="221"/>
    </row>
    <row r="206" ht="15.75" customHeight="1">
      <c r="D206" s="221"/>
    </row>
    <row r="207" ht="15.75" customHeight="1">
      <c r="D207" s="221"/>
    </row>
    <row r="208" ht="15.75" customHeight="1">
      <c r="D208" s="221"/>
    </row>
    <row r="209" ht="15.75" customHeight="1">
      <c r="D209" s="221"/>
    </row>
    <row r="210" ht="15.75" customHeight="1">
      <c r="D210" s="221"/>
    </row>
    <row r="211" ht="15.75" customHeight="1">
      <c r="D211" s="221"/>
    </row>
    <row r="212" ht="15.75" customHeight="1">
      <c r="D212" s="221"/>
    </row>
    <row r="213" ht="15.75" customHeight="1">
      <c r="D213" s="221"/>
    </row>
    <row r="214" ht="15.75" customHeight="1">
      <c r="D214" s="221"/>
    </row>
    <row r="215" ht="15.75" customHeight="1">
      <c r="D215" s="221"/>
    </row>
    <row r="216" ht="15.75" customHeight="1">
      <c r="D216" s="221"/>
    </row>
    <row r="217" ht="15.75" customHeight="1">
      <c r="D217" s="221"/>
    </row>
    <row r="218" ht="15.75" customHeight="1">
      <c r="D218" s="221"/>
    </row>
    <row r="219" ht="15.75" customHeight="1">
      <c r="D219" s="221"/>
    </row>
    <row r="220" ht="15.75" customHeight="1">
      <c r="D220" s="221"/>
    </row>
    <row r="221" ht="15.75" customHeight="1">
      <c r="D221" s="221"/>
    </row>
    <row r="222" ht="15.75" customHeight="1">
      <c r="D222" s="221"/>
    </row>
    <row r="223" ht="15.75" customHeight="1">
      <c r="D223" s="221"/>
    </row>
    <row r="224" ht="15.75" customHeight="1">
      <c r="D224" s="221"/>
    </row>
    <row r="225" ht="15.75" customHeight="1">
      <c r="D225" s="221"/>
    </row>
    <row r="226" ht="15.75" customHeight="1">
      <c r="D226" s="221"/>
    </row>
    <row r="227" ht="15.75" customHeight="1">
      <c r="D227" s="221"/>
    </row>
    <row r="228" ht="15.75" customHeight="1">
      <c r="D228" s="221"/>
    </row>
    <row r="229" ht="15.75" customHeight="1">
      <c r="D229" s="221"/>
    </row>
    <row r="230" ht="15.75" customHeight="1">
      <c r="D230" s="221"/>
    </row>
    <row r="231" ht="15.75" customHeight="1">
      <c r="D231" s="221"/>
    </row>
    <row r="232" ht="15.75" customHeight="1">
      <c r="D232" s="221"/>
    </row>
    <row r="233" ht="15.75" customHeight="1">
      <c r="D233" s="221"/>
    </row>
    <row r="234" ht="15.75" customHeight="1">
      <c r="D234" s="221"/>
    </row>
    <row r="235" ht="15.75" customHeight="1">
      <c r="D235" s="221"/>
    </row>
    <row r="236" ht="15.75" customHeight="1">
      <c r="D236" s="221"/>
    </row>
    <row r="237" ht="15.75" customHeight="1">
      <c r="D237" s="221"/>
    </row>
    <row r="238" ht="15.75" customHeight="1">
      <c r="D238" s="221"/>
    </row>
    <row r="239" ht="15.75" customHeight="1">
      <c r="D239" s="221"/>
    </row>
    <row r="240" ht="15.75" customHeight="1">
      <c r="D240" s="221"/>
    </row>
    <row r="241" ht="15.75" customHeight="1">
      <c r="D241" s="221"/>
    </row>
    <row r="242" ht="15.75" customHeight="1">
      <c r="D242" s="221"/>
    </row>
    <row r="243" ht="15.75" customHeight="1">
      <c r="D243" s="221"/>
    </row>
    <row r="244" ht="15.75" customHeight="1">
      <c r="D244" s="221"/>
    </row>
    <row r="245" ht="15.75" customHeight="1">
      <c r="D245" s="221"/>
    </row>
    <row r="246" ht="15.75" customHeight="1">
      <c r="D246" s="221"/>
    </row>
    <row r="247" ht="15.75" customHeight="1">
      <c r="D247" s="221"/>
    </row>
    <row r="248" ht="15.75" customHeight="1">
      <c r="D248" s="221"/>
    </row>
    <row r="249" ht="15.75" customHeight="1">
      <c r="D249" s="221"/>
    </row>
    <row r="250" ht="15.75" customHeight="1">
      <c r="D250" s="221"/>
    </row>
    <row r="251" ht="15.75" customHeight="1">
      <c r="D251" s="221"/>
    </row>
    <row r="252" ht="15.75" customHeight="1">
      <c r="D252" s="221"/>
    </row>
    <row r="253" ht="15.75" customHeight="1">
      <c r="D253" s="221"/>
    </row>
    <row r="254" ht="15.75" customHeight="1">
      <c r="D254" s="221"/>
    </row>
    <row r="255" ht="15.75" customHeight="1">
      <c r="D255" s="221"/>
    </row>
    <row r="256" ht="15.75" customHeight="1">
      <c r="D256" s="221"/>
    </row>
    <row r="257" ht="15.75" customHeight="1">
      <c r="D257" s="221"/>
    </row>
    <row r="258" ht="15.75" customHeight="1">
      <c r="D258" s="221"/>
    </row>
    <row r="259" ht="15.75" customHeight="1">
      <c r="D259" s="221"/>
    </row>
    <row r="260" ht="15.75" customHeight="1">
      <c r="D260" s="221"/>
    </row>
    <row r="261" ht="15.75" customHeight="1">
      <c r="D261" s="221"/>
    </row>
    <row r="262" ht="15.75" customHeight="1">
      <c r="D262" s="221"/>
    </row>
    <row r="263" ht="15.75" customHeight="1">
      <c r="D263" s="221"/>
    </row>
    <row r="264" ht="15.75" customHeight="1">
      <c r="D264" s="221"/>
    </row>
    <row r="265" ht="15.75" customHeight="1">
      <c r="D265" s="221"/>
    </row>
    <row r="266" ht="15.75" customHeight="1">
      <c r="D266" s="221"/>
    </row>
    <row r="267" ht="15.75" customHeight="1">
      <c r="D267" s="221"/>
    </row>
    <row r="268" ht="15.75" customHeight="1">
      <c r="D268" s="221"/>
    </row>
    <row r="269" ht="15.75" customHeight="1">
      <c r="D269" s="221"/>
    </row>
    <row r="270" ht="15.75" customHeight="1">
      <c r="D270" s="221"/>
    </row>
    <row r="271" ht="15.75" customHeight="1">
      <c r="D271" s="221"/>
    </row>
    <row r="272" ht="15.75" customHeight="1">
      <c r="D272" s="221"/>
    </row>
    <row r="273" ht="15.75" customHeight="1">
      <c r="D273" s="221"/>
    </row>
    <row r="274" ht="15.75" customHeight="1">
      <c r="D274" s="221"/>
    </row>
    <row r="275" ht="15.75" customHeight="1">
      <c r="D275" s="221"/>
    </row>
    <row r="276" ht="15.75" customHeight="1">
      <c r="D276" s="221"/>
    </row>
    <row r="277" ht="15.75" customHeight="1">
      <c r="D277" s="221"/>
    </row>
    <row r="278" ht="15.75" customHeight="1">
      <c r="D278" s="221"/>
    </row>
    <row r="279" ht="15.75" customHeight="1">
      <c r="D279" s="221"/>
    </row>
    <row r="280" ht="15.75" customHeight="1">
      <c r="D280" s="221"/>
    </row>
    <row r="281" ht="15.75" customHeight="1">
      <c r="D281" s="221"/>
    </row>
    <row r="282" ht="15.75" customHeight="1">
      <c r="D282" s="221"/>
    </row>
    <row r="283" ht="15.75" customHeight="1">
      <c r="D283" s="221"/>
    </row>
    <row r="284" ht="15.75" customHeight="1">
      <c r="D284" s="221"/>
    </row>
    <row r="285" ht="15.75" customHeight="1">
      <c r="D285" s="221"/>
    </row>
    <row r="286" ht="15.75" customHeight="1">
      <c r="D286" s="221"/>
    </row>
    <row r="287" ht="15.75" customHeight="1">
      <c r="D287" s="221"/>
    </row>
    <row r="288" ht="15.75" customHeight="1">
      <c r="D288" s="221"/>
    </row>
    <row r="289" ht="15.75" customHeight="1">
      <c r="D289" s="221"/>
    </row>
    <row r="290" ht="15.75" customHeight="1">
      <c r="D290" s="221"/>
    </row>
    <row r="291" ht="15.75" customHeight="1">
      <c r="D291" s="221"/>
    </row>
    <row r="292" ht="15.75" customHeight="1">
      <c r="D292" s="221"/>
    </row>
    <row r="293" ht="15.75" customHeight="1">
      <c r="D293" s="221"/>
    </row>
    <row r="294" ht="15.75" customHeight="1">
      <c r="D294" s="221"/>
    </row>
    <row r="295" ht="15.75" customHeight="1">
      <c r="D295" s="221"/>
    </row>
    <row r="296" ht="15.75" customHeight="1">
      <c r="D296" s="221"/>
    </row>
    <row r="297" ht="15.75" customHeight="1">
      <c r="D297" s="221"/>
    </row>
    <row r="298" ht="15.75" customHeight="1">
      <c r="D298" s="221"/>
    </row>
    <row r="299" ht="15.75" customHeight="1">
      <c r="D299" s="221"/>
    </row>
    <row r="300" ht="15.75" customHeight="1">
      <c r="D300" s="221"/>
    </row>
    <row r="301" ht="15.75" customHeight="1">
      <c r="D301" s="221"/>
    </row>
    <row r="302" ht="15.75" customHeight="1">
      <c r="D302" s="221"/>
    </row>
    <row r="303" ht="15.75" customHeight="1">
      <c r="D303" s="221"/>
    </row>
    <row r="304" ht="15.75" customHeight="1">
      <c r="D304" s="221"/>
    </row>
    <row r="305" ht="15.75" customHeight="1">
      <c r="D305" s="221"/>
    </row>
    <row r="306" ht="15.75" customHeight="1">
      <c r="D306" s="221"/>
    </row>
    <row r="307" ht="15.75" customHeight="1">
      <c r="D307" s="221"/>
    </row>
    <row r="308" ht="15.75" customHeight="1">
      <c r="D308" s="221"/>
    </row>
    <row r="309" ht="15.75" customHeight="1">
      <c r="D309" s="221"/>
    </row>
    <row r="310" ht="15.75" customHeight="1">
      <c r="D310" s="221"/>
    </row>
    <row r="311" ht="15.75" customHeight="1">
      <c r="D311" s="221"/>
    </row>
    <row r="312" ht="15.75" customHeight="1">
      <c r="D312" s="221"/>
    </row>
    <row r="313" ht="15.75" customHeight="1">
      <c r="D313" s="221"/>
    </row>
    <row r="314" ht="15.75" customHeight="1">
      <c r="D314" s="221"/>
    </row>
    <row r="315" ht="15.75" customHeight="1">
      <c r="D315" s="221"/>
    </row>
    <row r="316" ht="15.75" customHeight="1">
      <c r="D316" s="221"/>
    </row>
    <row r="317" ht="15.75" customHeight="1">
      <c r="D317" s="221"/>
    </row>
    <row r="318" ht="15.75" customHeight="1">
      <c r="D318" s="221"/>
    </row>
    <row r="319" ht="15.75" customHeight="1">
      <c r="D319" s="221"/>
    </row>
    <row r="320" ht="15.75" customHeight="1">
      <c r="D320" s="221"/>
    </row>
    <row r="321" ht="15.75" customHeight="1">
      <c r="D321" s="221"/>
    </row>
    <row r="322" ht="15.75" customHeight="1">
      <c r="D322" s="221"/>
    </row>
    <row r="323" ht="15.75" customHeight="1">
      <c r="D323" s="221"/>
    </row>
    <row r="324" ht="15.75" customHeight="1">
      <c r="D324" s="221"/>
    </row>
    <row r="325" ht="15.75" customHeight="1">
      <c r="D325" s="221"/>
    </row>
    <row r="326" ht="15.75" customHeight="1">
      <c r="D326" s="221"/>
    </row>
    <row r="327" ht="15.75" customHeight="1">
      <c r="D327" s="221"/>
    </row>
    <row r="328" ht="15.75" customHeight="1">
      <c r="D328" s="221"/>
    </row>
    <row r="329" ht="15.75" customHeight="1">
      <c r="D329" s="221"/>
    </row>
    <row r="330" ht="15.75" customHeight="1">
      <c r="D330" s="221"/>
    </row>
    <row r="331" ht="15.75" customHeight="1">
      <c r="D331" s="221"/>
    </row>
    <row r="332" ht="15.75" customHeight="1">
      <c r="D332" s="221"/>
    </row>
    <row r="333" ht="15.75" customHeight="1">
      <c r="D333" s="221"/>
    </row>
    <row r="334" ht="15.75" customHeight="1">
      <c r="D334" s="221"/>
    </row>
    <row r="335" ht="15.75" customHeight="1">
      <c r="D335" s="221"/>
    </row>
    <row r="336" ht="15.75" customHeight="1">
      <c r="D336" s="221"/>
    </row>
    <row r="337" ht="15.75" customHeight="1">
      <c r="D337" s="221"/>
    </row>
    <row r="338" ht="15.75" customHeight="1">
      <c r="D338" s="221"/>
    </row>
    <row r="339" ht="15.75" customHeight="1">
      <c r="D339" s="221"/>
    </row>
    <row r="340" ht="15.75" customHeight="1">
      <c r="D340" s="221"/>
    </row>
    <row r="341" ht="15.75" customHeight="1">
      <c r="D341" s="221"/>
    </row>
    <row r="342" ht="15.75" customHeight="1">
      <c r="D342" s="221"/>
    </row>
    <row r="343" ht="15.75" customHeight="1">
      <c r="D343" s="221"/>
    </row>
    <row r="344" ht="15.75" customHeight="1">
      <c r="D344" s="221"/>
    </row>
    <row r="345" ht="15.75" customHeight="1">
      <c r="D345" s="221"/>
    </row>
    <row r="346" ht="15.75" customHeight="1">
      <c r="D346" s="221"/>
    </row>
    <row r="347" ht="15.75" customHeight="1">
      <c r="D347" s="221"/>
    </row>
    <row r="348" ht="15.75" customHeight="1">
      <c r="D348" s="221"/>
    </row>
    <row r="349" ht="15.75" customHeight="1">
      <c r="D349" s="221"/>
    </row>
    <row r="350" ht="15.75" customHeight="1">
      <c r="D350" s="221"/>
    </row>
    <row r="351" ht="15.75" customHeight="1">
      <c r="D351" s="221"/>
    </row>
    <row r="352" ht="15.75" customHeight="1">
      <c r="D352" s="221"/>
    </row>
    <row r="353" ht="15.75" customHeight="1">
      <c r="D353" s="221"/>
    </row>
    <row r="354" ht="15.75" customHeight="1">
      <c r="D354" s="221"/>
    </row>
    <row r="355" ht="15.75" customHeight="1">
      <c r="D355" s="221"/>
    </row>
    <row r="356" ht="15.75" customHeight="1">
      <c r="D356" s="221"/>
    </row>
    <row r="357" ht="15.75" customHeight="1">
      <c r="D357" s="221"/>
    </row>
    <row r="358" ht="15.75" customHeight="1">
      <c r="D358" s="221"/>
    </row>
    <row r="359" ht="15.75" customHeight="1">
      <c r="D359" s="221"/>
    </row>
    <row r="360" ht="15.75" customHeight="1">
      <c r="D360" s="221"/>
    </row>
    <row r="361" ht="15.75" customHeight="1">
      <c r="D361" s="221"/>
    </row>
    <row r="362" ht="15.75" customHeight="1">
      <c r="D362" s="221"/>
    </row>
    <row r="363" ht="15.75" customHeight="1">
      <c r="D363" s="221"/>
    </row>
    <row r="364" ht="15.75" customHeight="1">
      <c r="D364" s="221"/>
    </row>
    <row r="365" ht="15.75" customHeight="1">
      <c r="D365" s="221"/>
    </row>
    <row r="366" ht="15.75" customHeight="1">
      <c r="D366" s="221"/>
    </row>
    <row r="367" ht="15.75" customHeight="1">
      <c r="D367" s="221"/>
    </row>
    <row r="368" ht="15.75" customHeight="1">
      <c r="D368" s="221"/>
    </row>
    <row r="369" ht="15.75" customHeight="1">
      <c r="D369" s="221"/>
    </row>
    <row r="370" ht="15.75" customHeight="1">
      <c r="D370" s="221"/>
    </row>
    <row r="371" ht="15.75" customHeight="1">
      <c r="D371" s="221"/>
    </row>
    <row r="372" ht="15.75" customHeight="1">
      <c r="D372" s="221"/>
    </row>
    <row r="373" ht="15.75" customHeight="1">
      <c r="D373" s="221"/>
    </row>
    <row r="374" ht="15.75" customHeight="1">
      <c r="D374" s="221"/>
    </row>
    <row r="375" ht="15.75" customHeight="1">
      <c r="D375" s="221"/>
    </row>
    <row r="376" ht="15.75" customHeight="1">
      <c r="D376" s="221"/>
    </row>
    <row r="377" ht="15.75" customHeight="1">
      <c r="D377" s="221"/>
    </row>
    <row r="378" ht="15.75" customHeight="1">
      <c r="D378" s="221"/>
    </row>
    <row r="379" ht="15.75" customHeight="1">
      <c r="D379" s="221"/>
    </row>
    <row r="380" ht="15.75" customHeight="1">
      <c r="D380" s="221"/>
    </row>
    <row r="381" ht="15.75" customHeight="1">
      <c r="D381" s="221"/>
    </row>
    <row r="382" ht="15.75" customHeight="1">
      <c r="D382" s="221"/>
    </row>
    <row r="383" ht="15.75" customHeight="1">
      <c r="D383" s="221"/>
    </row>
    <row r="384" ht="15.75" customHeight="1">
      <c r="D384" s="221"/>
    </row>
    <row r="385" ht="15.75" customHeight="1">
      <c r="D385" s="221"/>
    </row>
    <row r="386" ht="15.75" customHeight="1">
      <c r="D386" s="221"/>
    </row>
    <row r="387" ht="15.75" customHeight="1">
      <c r="D387" s="221"/>
    </row>
    <row r="388" ht="15.75" customHeight="1">
      <c r="D388" s="221"/>
    </row>
    <row r="389" ht="15.75" customHeight="1">
      <c r="D389" s="221"/>
    </row>
    <row r="390" ht="15.75" customHeight="1">
      <c r="D390" s="221"/>
    </row>
    <row r="391" ht="15.75" customHeight="1">
      <c r="D391" s="221"/>
    </row>
    <row r="392" ht="15.75" customHeight="1">
      <c r="D392" s="221"/>
    </row>
    <row r="393" ht="15.75" customHeight="1">
      <c r="D393" s="221"/>
    </row>
    <row r="394" ht="15.75" customHeight="1">
      <c r="D394" s="221"/>
    </row>
    <row r="395" ht="15.75" customHeight="1">
      <c r="D395" s="221"/>
    </row>
    <row r="396" ht="15.75" customHeight="1">
      <c r="D396" s="221"/>
    </row>
    <row r="397" ht="15.75" customHeight="1">
      <c r="D397" s="221"/>
    </row>
    <row r="398" ht="15.75" customHeight="1">
      <c r="D398" s="221"/>
    </row>
    <row r="399" ht="15.75" customHeight="1">
      <c r="D399" s="221"/>
    </row>
    <row r="400" ht="15.75" customHeight="1">
      <c r="D400" s="221"/>
    </row>
    <row r="401" ht="15.75" customHeight="1">
      <c r="D401" s="221"/>
    </row>
    <row r="402" ht="15.75" customHeight="1">
      <c r="D402" s="221"/>
    </row>
    <row r="403" ht="15.75" customHeight="1">
      <c r="D403" s="221"/>
    </row>
    <row r="404" ht="15.75" customHeight="1">
      <c r="D404" s="221"/>
    </row>
    <row r="405" ht="15.75" customHeight="1">
      <c r="D405" s="221"/>
    </row>
    <row r="406" ht="15.75" customHeight="1">
      <c r="D406" s="221"/>
    </row>
    <row r="407" ht="15.75" customHeight="1">
      <c r="D407" s="221"/>
    </row>
    <row r="408" ht="15.75" customHeight="1">
      <c r="D408" s="221"/>
    </row>
    <row r="409" ht="15.75" customHeight="1">
      <c r="D409" s="221"/>
    </row>
    <row r="410" ht="15.75" customHeight="1">
      <c r="D410" s="221"/>
    </row>
    <row r="411" ht="15.75" customHeight="1">
      <c r="D411" s="221"/>
    </row>
    <row r="412" ht="15.75" customHeight="1">
      <c r="D412" s="221"/>
    </row>
    <row r="413" ht="15.75" customHeight="1">
      <c r="D413" s="221"/>
    </row>
    <row r="414" ht="15.75" customHeight="1">
      <c r="D414" s="221"/>
    </row>
    <row r="415" ht="15.75" customHeight="1">
      <c r="D415" s="221"/>
    </row>
    <row r="416" ht="15.75" customHeight="1">
      <c r="D416" s="221"/>
    </row>
    <row r="417" ht="15.75" customHeight="1">
      <c r="D417" s="221"/>
    </row>
    <row r="418" ht="15.75" customHeight="1">
      <c r="D418" s="221"/>
    </row>
    <row r="419" ht="15.75" customHeight="1">
      <c r="D419" s="221"/>
    </row>
    <row r="420" ht="15.75" customHeight="1">
      <c r="D420" s="221"/>
    </row>
    <row r="421" ht="15.75" customHeight="1">
      <c r="D421" s="221"/>
    </row>
    <row r="422" ht="15.75" customHeight="1">
      <c r="D422" s="221"/>
    </row>
    <row r="423" ht="15.75" customHeight="1">
      <c r="D423" s="221"/>
    </row>
    <row r="424" ht="15.75" customHeight="1">
      <c r="D424" s="221"/>
    </row>
    <row r="425" ht="15.75" customHeight="1">
      <c r="D425" s="221"/>
    </row>
    <row r="426" ht="15.75" customHeight="1">
      <c r="D426" s="221"/>
    </row>
    <row r="427" ht="15.75" customHeight="1">
      <c r="D427" s="221"/>
    </row>
    <row r="428" ht="15.75" customHeight="1">
      <c r="D428" s="221"/>
    </row>
    <row r="429" ht="15.75" customHeight="1">
      <c r="D429" s="221"/>
    </row>
    <row r="430" ht="15.75" customHeight="1">
      <c r="D430" s="221"/>
    </row>
    <row r="431" ht="15.75" customHeight="1">
      <c r="D431" s="221"/>
    </row>
    <row r="432" ht="15.75" customHeight="1">
      <c r="D432" s="221"/>
    </row>
    <row r="433" ht="15.75" customHeight="1">
      <c r="D433" s="221"/>
    </row>
    <row r="434" ht="15.75" customHeight="1">
      <c r="D434" s="221"/>
    </row>
    <row r="435" ht="15.75" customHeight="1">
      <c r="D435" s="221"/>
    </row>
    <row r="436" ht="15.75" customHeight="1">
      <c r="D436" s="221"/>
    </row>
    <row r="437" ht="15.75" customHeight="1">
      <c r="D437" s="221"/>
    </row>
    <row r="438" ht="15.75" customHeight="1">
      <c r="D438" s="221"/>
    </row>
    <row r="439" ht="15.75" customHeight="1">
      <c r="D439" s="221"/>
    </row>
    <row r="440" ht="15.75" customHeight="1">
      <c r="D440" s="221"/>
    </row>
    <row r="441" ht="15.75" customHeight="1">
      <c r="D441" s="221"/>
    </row>
    <row r="442" ht="15.75" customHeight="1">
      <c r="D442" s="221"/>
    </row>
    <row r="443" ht="15.75" customHeight="1">
      <c r="D443" s="221"/>
    </row>
    <row r="444" ht="15.75" customHeight="1">
      <c r="D444" s="221"/>
    </row>
    <row r="445" ht="15.75" customHeight="1">
      <c r="D445" s="221"/>
    </row>
    <row r="446" ht="15.75" customHeight="1">
      <c r="D446" s="221"/>
    </row>
    <row r="447" ht="15.75" customHeight="1">
      <c r="D447" s="221"/>
    </row>
    <row r="448" ht="15.75" customHeight="1">
      <c r="D448" s="221"/>
    </row>
    <row r="449" ht="15.75" customHeight="1">
      <c r="D449" s="221"/>
    </row>
    <row r="450" ht="15.75" customHeight="1">
      <c r="D450" s="221"/>
    </row>
    <row r="451" ht="15.75" customHeight="1">
      <c r="D451" s="221"/>
    </row>
    <row r="452" ht="15.75" customHeight="1">
      <c r="D452" s="221"/>
    </row>
    <row r="453" ht="15.75" customHeight="1">
      <c r="D453" s="221"/>
    </row>
    <row r="454" ht="15.75" customHeight="1">
      <c r="D454" s="221"/>
    </row>
    <row r="455" ht="15.75" customHeight="1">
      <c r="D455" s="221"/>
    </row>
    <row r="456" ht="15.75" customHeight="1">
      <c r="D456" s="221"/>
    </row>
    <row r="457" ht="15.75" customHeight="1">
      <c r="D457" s="221"/>
    </row>
    <row r="458" ht="15.75" customHeight="1">
      <c r="D458" s="221"/>
    </row>
    <row r="459" ht="15.75" customHeight="1">
      <c r="D459" s="221"/>
    </row>
    <row r="460" ht="15.75" customHeight="1">
      <c r="D460" s="221"/>
    </row>
    <row r="461" ht="15.75" customHeight="1">
      <c r="D461" s="221"/>
    </row>
    <row r="462" ht="15.75" customHeight="1">
      <c r="D462" s="221"/>
    </row>
    <row r="463" ht="15.75" customHeight="1">
      <c r="D463" s="221"/>
    </row>
    <row r="464" ht="15.75" customHeight="1">
      <c r="D464" s="221"/>
    </row>
    <row r="465" ht="15.75" customHeight="1">
      <c r="D465" s="221"/>
    </row>
    <row r="466" ht="15.75" customHeight="1">
      <c r="D466" s="221"/>
    </row>
    <row r="467" ht="15.75" customHeight="1">
      <c r="D467" s="221"/>
    </row>
    <row r="468" ht="15.75" customHeight="1">
      <c r="D468" s="221"/>
    </row>
    <row r="469" ht="15.75" customHeight="1">
      <c r="D469" s="221"/>
    </row>
    <row r="470" ht="15.75" customHeight="1">
      <c r="D470" s="221"/>
    </row>
    <row r="471" ht="15.75" customHeight="1">
      <c r="D471" s="221"/>
    </row>
    <row r="472" ht="15.75" customHeight="1">
      <c r="D472" s="221"/>
    </row>
    <row r="473" ht="15.75" customHeight="1">
      <c r="D473" s="221"/>
    </row>
    <row r="474" ht="15.75" customHeight="1">
      <c r="D474" s="221"/>
    </row>
    <row r="475" ht="15.75" customHeight="1">
      <c r="D475" s="221"/>
    </row>
    <row r="476" ht="15.75" customHeight="1">
      <c r="D476" s="221"/>
    </row>
    <row r="477" ht="15.75" customHeight="1">
      <c r="D477" s="221"/>
    </row>
    <row r="478" ht="15.75" customHeight="1">
      <c r="D478" s="221"/>
    </row>
    <row r="479" ht="15.75" customHeight="1">
      <c r="D479" s="221"/>
    </row>
    <row r="480" ht="15.75" customHeight="1">
      <c r="D480" s="221"/>
    </row>
    <row r="481" ht="15.75" customHeight="1">
      <c r="D481" s="221"/>
    </row>
    <row r="482" ht="15.75" customHeight="1">
      <c r="D482" s="221"/>
    </row>
    <row r="483" ht="15.75" customHeight="1">
      <c r="D483" s="221"/>
    </row>
    <row r="484" ht="15.75" customHeight="1">
      <c r="D484" s="221"/>
    </row>
    <row r="485" ht="15.75" customHeight="1">
      <c r="D485" s="221"/>
    </row>
    <row r="486" ht="15.75" customHeight="1">
      <c r="D486" s="221"/>
    </row>
    <row r="487" ht="15.75" customHeight="1">
      <c r="D487" s="221"/>
    </row>
    <row r="488" ht="15.75" customHeight="1">
      <c r="D488" s="221"/>
    </row>
    <row r="489" ht="15.75" customHeight="1">
      <c r="D489" s="221"/>
    </row>
    <row r="490" ht="15.75" customHeight="1">
      <c r="D490" s="221"/>
    </row>
    <row r="491" ht="15.75" customHeight="1">
      <c r="D491" s="221"/>
    </row>
    <row r="492" ht="15.75" customHeight="1">
      <c r="D492" s="221"/>
    </row>
    <row r="493" ht="15.75" customHeight="1">
      <c r="D493" s="221"/>
    </row>
    <row r="494" ht="15.75" customHeight="1">
      <c r="D494" s="221"/>
    </row>
    <row r="495" ht="15.75" customHeight="1">
      <c r="D495" s="221"/>
    </row>
    <row r="496" ht="15.75" customHeight="1">
      <c r="D496" s="221"/>
    </row>
    <row r="497" ht="15.75" customHeight="1">
      <c r="D497" s="221"/>
    </row>
    <row r="498" ht="15.75" customHeight="1">
      <c r="D498" s="221"/>
    </row>
    <row r="499" ht="15.75" customHeight="1">
      <c r="D499" s="221"/>
    </row>
    <row r="500" ht="15.75" customHeight="1">
      <c r="D500" s="221"/>
    </row>
    <row r="501" ht="15.75" customHeight="1">
      <c r="D501" s="221"/>
    </row>
    <row r="502" ht="15.75" customHeight="1">
      <c r="D502" s="221"/>
    </row>
    <row r="503" ht="15.75" customHeight="1">
      <c r="D503" s="221"/>
    </row>
    <row r="504" ht="15.75" customHeight="1">
      <c r="D504" s="221"/>
    </row>
    <row r="505" ht="15.75" customHeight="1">
      <c r="D505" s="221"/>
    </row>
    <row r="506" ht="15.75" customHeight="1">
      <c r="D506" s="221"/>
    </row>
    <row r="507" ht="15.75" customHeight="1">
      <c r="D507" s="221"/>
    </row>
    <row r="508" ht="15.75" customHeight="1">
      <c r="D508" s="221"/>
    </row>
    <row r="509" ht="15.75" customHeight="1">
      <c r="D509" s="221"/>
    </row>
    <row r="510" ht="15.75" customHeight="1">
      <c r="D510" s="221"/>
    </row>
    <row r="511" ht="15.75" customHeight="1">
      <c r="D511" s="221"/>
    </row>
    <row r="512" ht="15.75" customHeight="1">
      <c r="D512" s="221"/>
    </row>
    <row r="513" ht="15.75" customHeight="1">
      <c r="D513" s="221"/>
    </row>
    <row r="514" ht="15.75" customHeight="1">
      <c r="D514" s="221"/>
    </row>
    <row r="515" ht="15.75" customHeight="1">
      <c r="D515" s="221"/>
    </row>
    <row r="516" ht="15.75" customHeight="1">
      <c r="D516" s="221"/>
    </row>
    <row r="517" ht="15.75" customHeight="1">
      <c r="D517" s="221"/>
    </row>
    <row r="518" ht="15.75" customHeight="1">
      <c r="D518" s="221"/>
    </row>
    <row r="519" ht="15.75" customHeight="1">
      <c r="D519" s="221"/>
    </row>
    <row r="520" ht="15.75" customHeight="1">
      <c r="D520" s="221"/>
    </row>
    <row r="521" ht="15.75" customHeight="1">
      <c r="D521" s="221"/>
    </row>
    <row r="522" ht="15.75" customHeight="1">
      <c r="D522" s="221"/>
    </row>
    <row r="523" ht="15.75" customHeight="1">
      <c r="D523" s="221"/>
    </row>
    <row r="524" ht="15.75" customHeight="1">
      <c r="D524" s="221"/>
    </row>
    <row r="525" ht="15.75" customHeight="1">
      <c r="D525" s="221"/>
    </row>
    <row r="526" ht="15.75" customHeight="1">
      <c r="D526" s="221"/>
    </row>
    <row r="527" ht="15.75" customHeight="1">
      <c r="D527" s="221"/>
    </row>
    <row r="528" ht="15.75" customHeight="1">
      <c r="D528" s="221"/>
    </row>
    <row r="529" ht="15.75" customHeight="1">
      <c r="D529" s="221"/>
    </row>
    <row r="530" ht="15.75" customHeight="1">
      <c r="D530" s="221"/>
    </row>
    <row r="531" ht="15.75" customHeight="1">
      <c r="D531" s="221"/>
    </row>
    <row r="532" ht="15.75" customHeight="1">
      <c r="D532" s="221"/>
    </row>
    <row r="533" ht="15.75" customHeight="1">
      <c r="D533" s="221"/>
    </row>
    <row r="534" ht="15.75" customHeight="1">
      <c r="D534" s="221"/>
    </row>
    <row r="535" ht="15.75" customHeight="1">
      <c r="D535" s="221"/>
    </row>
    <row r="536" ht="15.75" customHeight="1">
      <c r="D536" s="221"/>
    </row>
    <row r="537" ht="15.75" customHeight="1">
      <c r="D537" s="221"/>
    </row>
    <row r="538" ht="15.75" customHeight="1">
      <c r="D538" s="221"/>
    </row>
    <row r="539" ht="15.75" customHeight="1">
      <c r="D539" s="221"/>
    </row>
    <row r="540" ht="15.75" customHeight="1">
      <c r="D540" s="221"/>
    </row>
    <row r="541" ht="15.75" customHeight="1">
      <c r="D541" s="221"/>
    </row>
    <row r="542" ht="15.75" customHeight="1">
      <c r="D542" s="221"/>
    </row>
    <row r="543" ht="15.75" customHeight="1">
      <c r="D543" s="221"/>
    </row>
    <row r="544" ht="15.75" customHeight="1">
      <c r="D544" s="221"/>
    </row>
    <row r="545" ht="15.75" customHeight="1">
      <c r="D545" s="221"/>
    </row>
    <row r="546" ht="15.75" customHeight="1">
      <c r="D546" s="221"/>
    </row>
    <row r="547" ht="15.75" customHeight="1">
      <c r="D547" s="221"/>
    </row>
    <row r="548" ht="15.75" customHeight="1">
      <c r="D548" s="221"/>
    </row>
    <row r="549" ht="15.75" customHeight="1">
      <c r="D549" s="221"/>
    </row>
    <row r="550" ht="15.75" customHeight="1">
      <c r="D550" s="221"/>
    </row>
    <row r="551" ht="15.75" customHeight="1">
      <c r="D551" s="221"/>
    </row>
    <row r="552" ht="15.75" customHeight="1">
      <c r="D552" s="221"/>
    </row>
    <row r="553" ht="15.75" customHeight="1">
      <c r="D553" s="221"/>
    </row>
    <row r="554" ht="15.75" customHeight="1">
      <c r="D554" s="221"/>
    </row>
    <row r="555" ht="15.75" customHeight="1">
      <c r="D555" s="221"/>
    </row>
    <row r="556" ht="15.75" customHeight="1">
      <c r="D556" s="221"/>
    </row>
    <row r="557" ht="15.75" customHeight="1">
      <c r="D557" s="221"/>
    </row>
    <row r="558" ht="15.75" customHeight="1">
      <c r="D558" s="221"/>
    </row>
    <row r="559" ht="15.75" customHeight="1">
      <c r="D559" s="221"/>
    </row>
    <row r="560" ht="15.75" customHeight="1">
      <c r="D560" s="221"/>
    </row>
    <row r="561" ht="15.75" customHeight="1">
      <c r="D561" s="221"/>
    </row>
    <row r="562" ht="15.75" customHeight="1">
      <c r="D562" s="221"/>
    </row>
    <row r="563" ht="15.75" customHeight="1">
      <c r="D563" s="221"/>
    </row>
    <row r="564" ht="15.75" customHeight="1">
      <c r="D564" s="221"/>
    </row>
    <row r="565" ht="15.75" customHeight="1">
      <c r="D565" s="221"/>
    </row>
    <row r="566" ht="15.75" customHeight="1">
      <c r="D566" s="221"/>
    </row>
    <row r="567" ht="15.75" customHeight="1">
      <c r="D567" s="221"/>
    </row>
    <row r="568" ht="15.75" customHeight="1">
      <c r="D568" s="221"/>
    </row>
    <row r="569" ht="15.75" customHeight="1">
      <c r="D569" s="221"/>
    </row>
    <row r="570" ht="15.75" customHeight="1">
      <c r="D570" s="221"/>
    </row>
    <row r="571" ht="15.75" customHeight="1">
      <c r="D571" s="221"/>
    </row>
    <row r="572" ht="15.75" customHeight="1">
      <c r="D572" s="221"/>
    </row>
    <row r="573" ht="15.75" customHeight="1">
      <c r="D573" s="221"/>
    </row>
    <row r="574" ht="15.75" customHeight="1">
      <c r="D574" s="221"/>
    </row>
    <row r="575" ht="15.75" customHeight="1">
      <c r="D575" s="221"/>
    </row>
    <row r="576" ht="15.75" customHeight="1">
      <c r="D576" s="221"/>
    </row>
    <row r="577" ht="15.75" customHeight="1">
      <c r="D577" s="221"/>
    </row>
    <row r="578" ht="15.75" customHeight="1">
      <c r="D578" s="221"/>
    </row>
    <row r="579" ht="15.75" customHeight="1">
      <c r="D579" s="221"/>
    </row>
    <row r="580" ht="15.75" customHeight="1">
      <c r="D580" s="221"/>
    </row>
    <row r="581" ht="15.75" customHeight="1">
      <c r="D581" s="221"/>
    </row>
    <row r="582" ht="15.75" customHeight="1">
      <c r="D582" s="221"/>
    </row>
    <row r="583" ht="15.75" customHeight="1">
      <c r="D583" s="221"/>
    </row>
    <row r="584" ht="15.75" customHeight="1">
      <c r="D584" s="221"/>
    </row>
    <row r="585" ht="15.75" customHeight="1">
      <c r="D585" s="221"/>
    </row>
    <row r="586" ht="15.75" customHeight="1">
      <c r="D586" s="221"/>
    </row>
    <row r="587" ht="15.75" customHeight="1">
      <c r="D587" s="221"/>
    </row>
    <row r="588" ht="15.75" customHeight="1">
      <c r="D588" s="221"/>
    </row>
    <row r="589" ht="15.75" customHeight="1">
      <c r="D589" s="221"/>
    </row>
    <row r="590" ht="15.75" customHeight="1">
      <c r="D590" s="221"/>
    </row>
    <row r="591" ht="15.75" customHeight="1">
      <c r="D591" s="221"/>
    </row>
    <row r="592" ht="15.75" customHeight="1">
      <c r="D592" s="221"/>
    </row>
    <row r="593" ht="15.75" customHeight="1">
      <c r="D593" s="221"/>
    </row>
    <row r="594" ht="15.75" customHeight="1">
      <c r="D594" s="221"/>
    </row>
    <row r="595" ht="15.75" customHeight="1">
      <c r="D595" s="221"/>
    </row>
    <row r="596" ht="15.75" customHeight="1">
      <c r="D596" s="221"/>
    </row>
    <row r="597" ht="15.75" customHeight="1">
      <c r="D597" s="221"/>
    </row>
    <row r="598" ht="15.75" customHeight="1">
      <c r="D598" s="221"/>
    </row>
    <row r="599" ht="15.75" customHeight="1">
      <c r="D599" s="221"/>
    </row>
    <row r="600" ht="15.75" customHeight="1">
      <c r="D600" s="221"/>
    </row>
    <row r="601" ht="15.75" customHeight="1">
      <c r="D601" s="221"/>
    </row>
    <row r="602" ht="15.75" customHeight="1">
      <c r="D602" s="221"/>
    </row>
    <row r="603" ht="15.75" customHeight="1">
      <c r="D603" s="221"/>
    </row>
    <row r="604" ht="15.75" customHeight="1">
      <c r="D604" s="221"/>
    </row>
    <row r="605" ht="15.75" customHeight="1">
      <c r="D605" s="221"/>
    </row>
    <row r="606" ht="15.75" customHeight="1">
      <c r="D606" s="221"/>
    </row>
    <row r="607" ht="15.75" customHeight="1">
      <c r="D607" s="221"/>
    </row>
    <row r="608" ht="15.75" customHeight="1">
      <c r="D608" s="221"/>
    </row>
    <row r="609" ht="15.75" customHeight="1">
      <c r="D609" s="221"/>
    </row>
    <row r="610" ht="15.75" customHeight="1">
      <c r="D610" s="221"/>
    </row>
    <row r="611" ht="15.75" customHeight="1">
      <c r="D611" s="221"/>
    </row>
    <row r="612" ht="15.75" customHeight="1">
      <c r="D612" s="221"/>
    </row>
    <row r="613" ht="15.75" customHeight="1">
      <c r="D613" s="221"/>
    </row>
    <row r="614" ht="15.75" customHeight="1">
      <c r="D614" s="221"/>
    </row>
    <row r="615" ht="15.75" customHeight="1">
      <c r="D615" s="221"/>
    </row>
    <row r="616" ht="15.75" customHeight="1">
      <c r="D616" s="221"/>
    </row>
    <row r="617" ht="15.75" customHeight="1">
      <c r="D617" s="221"/>
    </row>
    <row r="618" ht="15.75" customHeight="1">
      <c r="D618" s="221"/>
    </row>
    <row r="619" ht="15.75" customHeight="1">
      <c r="D619" s="221"/>
    </row>
    <row r="620" ht="15.75" customHeight="1">
      <c r="D620" s="221"/>
    </row>
    <row r="621" ht="15.75" customHeight="1">
      <c r="D621" s="221"/>
    </row>
    <row r="622" ht="15.75" customHeight="1">
      <c r="D622" s="221"/>
    </row>
    <row r="623" ht="15.75" customHeight="1">
      <c r="D623" s="221"/>
    </row>
    <row r="624" ht="15.75" customHeight="1">
      <c r="D624" s="221"/>
    </row>
    <row r="625" ht="15.75" customHeight="1">
      <c r="D625" s="221"/>
    </row>
    <row r="626" ht="15.75" customHeight="1">
      <c r="D626" s="221"/>
    </row>
    <row r="627" ht="15.75" customHeight="1">
      <c r="D627" s="221"/>
    </row>
    <row r="628" ht="15.75" customHeight="1">
      <c r="D628" s="221"/>
    </row>
    <row r="629" ht="15.75" customHeight="1">
      <c r="D629" s="221"/>
    </row>
    <row r="630" ht="15.75" customHeight="1">
      <c r="D630" s="221"/>
    </row>
    <row r="631" ht="15.75" customHeight="1">
      <c r="D631" s="221"/>
    </row>
    <row r="632" ht="15.75" customHeight="1">
      <c r="D632" s="221"/>
    </row>
    <row r="633" ht="15.75" customHeight="1">
      <c r="D633" s="221"/>
    </row>
    <row r="634" ht="15.75" customHeight="1">
      <c r="D634" s="221"/>
    </row>
    <row r="635" ht="15.75" customHeight="1">
      <c r="D635" s="221"/>
    </row>
    <row r="636" ht="15.75" customHeight="1">
      <c r="D636" s="221"/>
    </row>
    <row r="637" ht="15.75" customHeight="1">
      <c r="D637" s="221"/>
    </row>
    <row r="638" ht="15.75" customHeight="1">
      <c r="D638" s="221"/>
    </row>
    <row r="639" ht="15.75" customHeight="1">
      <c r="D639" s="221"/>
    </row>
    <row r="640" ht="15.75" customHeight="1">
      <c r="D640" s="221"/>
    </row>
    <row r="641" ht="15.75" customHeight="1">
      <c r="D641" s="221"/>
    </row>
    <row r="642" ht="15.75" customHeight="1">
      <c r="D642" s="221"/>
    </row>
    <row r="643" ht="15.75" customHeight="1">
      <c r="D643" s="221"/>
    </row>
    <row r="644" ht="15.75" customHeight="1">
      <c r="D644" s="221"/>
    </row>
    <row r="645" ht="15.75" customHeight="1">
      <c r="D645" s="221"/>
    </row>
    <row r="646" ht="15.75" customHeight="1">
      <c r="D646" s="221"/>
    </row>
    <row r="647" ht="15.75" customHeight="1">
      <c r="D647" s="221"/>
    </row>
    <row r="648" ht="15.75" customHeight="1">
      <c r="D648" s="221"/>
    </row>
    <row r="649" ht="15.75" customHeight="1">
      <c r="D649" s="221"/>
    </row>
    <row r="650" ht="15.75" customHeight="1">
      <c r="D650" s="221"/>
    </row>
    <row r="651" ht="15.75" customHeight="1">
      <c r="D651" s="221"/>
    </row>
    <row r="652" ht="15.75" customHeight="1">
      <c r="D652" s="221"/>
    </row>
    <row r="653" ht="15.75" customHeight="1">
      <c r="D653" s="221"/>
    </row>
    <row r="654" ht="15.75" customHeight="1">
      <c r="D654" s="221"/>
    </row>
    <row r="655" ht="15.75" customHeight="1">
      <c r="D655" s="221"/>
    </row>
    <row r="656" ht="15.75" customHeight="1">
      <c r="D656" s="221"/>
    </row>
    <row r="657" ht="15.75" customHeight="1">
      <c r="D657" s="221"/>
    </row>
    <row r="658" ht="15.75" customHeight="1">
      <c r="D658" s="221"/>
    </row>
    <row r="659" ht="15.75" customHeight="1">
      <c r="D659" s="221"/>
    </row>
    <row r="660" ht="15.75" customHeight="1">
      <c r="D660" s="221"/>
    </row>
    <row r="661" ht="15.75" customHeight="1">
      <c r="D661" s="221"/>
    </row>
    <row r="662" ht="15.75" customHeight="1">
      <c r="D662" s="221"/>
    </row>
    <row r="663" ht="15.75" customHeight="1">
      <c r="D663" s="221"/>
    </row>
    <row r="664" ht="15.75" customHeight="1">
      <c r="D664" s="221"/>
    </row>
    <row r="665" ht="15.75" customHeight="1">
      <c r="D665" s="221"/>
    </row>
    <row r="666" ht="15.75" customHeight="1">
      <c r="D666" s="221"/>
    </row>
    <row r="667" ht="15.75" customHeight="1">
      <c r="D667" s="221"/>
    </row>
    <row r="668" ht="15.75" customHeight="1">
      <c r="D668" s="221"/>
    </row>
    <row r="669" ht="15.75" customHeight="1">
      <c r="D669" s="221"/>
    </row>
    <row r="670" ht="15.75" customHeight="1">
      <c r="D670" s="221"/>
    </row>
    <row r="671" ht="15.75" customHeight="1">
      <c r="D671" s="221"/>
    </row>
    <row r="672" ht="15.75" customHeight="1">
      <c r="D672" s="221"/>
    </row>
    <row r="673" ht="15.75" customHeight="1">
      <c r="D673" s="221"/>
    </row>
    <row r="674" ht="15.75" customHeight="1">
      <c r="D674" s="221"/>
    </row>
    <row r="675" ht="15.75" customHeight="1">
      <c r="D675" s="221"/>
    </row>
    <row r="676" ht="15.75" customHeight="1">
      <c r="D676" s="221"/>
    </row>
    <row r="677" ht="15.75" customHeight="1">
      <c r="D677" s="221"/>
    </row>
    <row r="678" ht="15.75" customHeight="1">
      <c r="D678" s="221"/>
    </row>
    <row r="679" ht="15.75" customHeight="1">
      <c r="D679" s="221"/>
    </row>
    <row r="680" ht="15.75" customHeight="1">
      <c r="D680" s="221"/>
    </row>
    <row r="681" ht="15.75" customHeight="1">
      <c r="D681" s="221"/>
    </row>
    <row r="682" ht="15.75" customHeight="1">
      <c r="D682" s="221"/>
    </row>
    <row r="683" ht="15.75" customHeight="1">
      <c r="D683" s="221"/>
    </row>
    <row r="684" ht="15.75" customHeight="1">
      <c r="D684" s="221"/>
    </row>
    <row r="685" ht="15.75" customHeight="1">
      <c r="D685" s="221"/>
    </row>
    <row r="686" ht="15.75" customHeight="1">
      <c r="D686" s="221"/>
    </row>
    <row r="687" ht="15.75" customHeight="1">
      <c r="D687" s="221"/>
    </row>
    <row r="688" ht="15.75" customHeight="1">
      <c r="D688" s="221"/>
    </row>
    <row r="689" ht="15.75" customHeight="1">
      <c r="D689" s="221"/>
    </row>
    <row r="690" ht="15.75" customHeight="1">
      <c r="D690" s="221"/>
    </row>
    <row r="691" ht="15.75" customHeight="1">
      <c r="D691" s="221"/>
    </row>
    <row r="692" ht="15.75" customHeight="1">
      <c r="D692" s="221"/>
    </row>
    <row r="693" ht="15.75" customHeight="1">
      <c r="D693" s="221"/>
    </row>
    <row r="694" ht="15.75" customHeight="1">
      <c r="D694" s="221"/>
    </row>
    <row r="695" ht="15.75" customHeight="1">
      <c r="D695" s="221"/>
    </row>
    <row r="696" ht="15.75" customHeight="1">
      <c r="D696" s="221"/>
    </row>
    <row r="697" ht="15.75" customHeight="1">
      <c r="D697" s="221"/>
    </row>
    <row r="698" ht="15.75" customHeight="1">
      <c r="D698" s="221"/>
    </row>
    <row r="699" ht="15.75" customHeight="1">
      <c r="D699" s="221"/>
    </row>
    <row r="700" ht="15.75" customHeight="1">
      <c r="D700" s="221"/>
    </row>
    <row r="701" ht="15.75" customHeight="1">
      <c r="D701" s="221"/>
    </row>
    <row r="702" ht="15.75" customHeight="1">
      <c r="D702" s="221"/>
    </row>
    <row r="703" ht="15.75" customHeight="1">
      <c r="D703" s="221"/>
    </row>
    <row r="704" ht="15.75" customHeight="1">
      <c r="D704" s="221"/>
    </row>
    <row r="705" ht="15.75" customHeight="1">
      <c r="D705" s="221"/>
    </row>
    <row r="706" ht="15.75" customHeight="1">
      <c r="D706" s="221"/>
    </row>
    <row r="707" ht="15.75" customHeight="1">
      <c r="D707" s="221"/>
    </row>
    <row r="708" ht="15.75" customHeight="1">
      <c r="D708" s="221"/>
    </row>
    <row r="709" ht="15.75" customHeight="1">
      <c r="D709" s="221"/>
    </row>
    <row r="710" ht="15.75" customHeight="1">
      <c r="D710" s="221"/>
    </row>
    <row r="711" ht="15.75" customHeight="1">
      <c r="D711" s="221"/>
    </row>
    <row r="712" ht="15.75" customHeight="1">
      <c r="D712" s="221"/>
    </row>
    <row r="713" ht="15.75" customHeight="1">
      <c r="D713" s="221"/>
    </row>
    <row r="714" ht="15.75" customHeight="1">
      <c r="D714" s="221"/>
    </row>
    <row r="715" ht="15.75" customHeight="1">
      <c r="D715" s="221"/>
    </row>
    <row r="716" ht="15.75" customHeight="1">
      <c r="D716" s="221"/>
    </row>
    <row r="717" ht="15.75" customHeight="1">
      <c r="D717" s="221"/>
    </row>
    <row r="718" ht="15.75" customHeight="1">
      <c r="D718" s="221"/>
    </row>
    <row r="719" ht="15.75" customHeight="1">
      <c r="D719" s="221"/>
    </row>
    <row r="720" ht="15.75" customHeight="1">
      <c r="D720" s="221"/>
    </row>
    <row r="721" ht="15.75" customHeight="1">
      <c r="D721" s="221"/>
    </row>
    <row r="722" ht="15.75" customHeight="1">
      <c r="D722" s="221"/>
    </row>
    <row r="723" ht="15.75" customHeight="1">
      <c r="D723" s="221"/>
    </row>
    <row r="724" ht="15.75" customHeight="1">
      <c r="D724" s="221"/>
    </row>
    <row r="725" ht="15.75" customHeight="1">
      <c r="D725" s="221"/>
    </row>
    <row r="726" ht="15.75" customHeight="1">
      <c r="D726" s="221"/>
    </row>
    <row r="727" ht="15.75" customHeight="1">
      <c r="D727" s="221"/>
    </row>
    <row r="728" ht="15.75" customHeight="1">
      <c r="D728" s="221"/>
    </row>
    <row r="729" ht="15.75" customHeight="1">
      <c r="D729" s="221"/>
    </row>
    <row r="730" ht="15.75" customHeight="1">
      <c r="D730" s="221"/>
    </row>
    <row r="731" ht="15.75" customHeight="1">
      <c r="D731" s="221"/>
    </row>
    <row r="732" ht="15.75" customHeight="1">
      <c r="D732" s="221"/>
    </row>
    <row r="733" ht="15.75" customHeight="1">
      <c r="D733" s="221"/>
    </row>
    <row r="734" ht="15.75" customHeight="1">
      <c r="D734" s="221"/>
    </row>
    <row r="735" ht="15.75" customHeight="1">
      <c r="D735" s="221"/>
    </row>
    <row r="736" ht="15.75" customHeight="1">
      <c r="D736" s="221"/>
    </row>
    <row r="737" ht="15.75" customHeight="1">
      <c r="D737" s="221"/>
    </row>
    <row r="738" ht="15.75" customHeight="1">
      <c r="D738" s="221"/>
    </row>
    <row r="739" ht="15.75" customHeight="1">
      <c r="D739" s="221"/>
    </row>
    <row r="740" ht="15.75" customHeight="1">
      <c r="D740" s="221"/>
    </row>
    <row r="741" ht="15.75" customHeight="1">
      <c r="D741" s="221"/>
    </row>
    <row r="742" ht="15.75" customHeight="1">
      <c r="D742" s="221"/>
    </row>
    <row r="743" ht="15.75" customHeight="1">
      <c r="D743" s="221"/>
    </row>
    <row r="744" ht="15.75" customHeight="1">
      <c r="D744" s="221"/>
    </row>
    <row r="745" ht="15.75" customHeight="1">
      <c r="D745" s="221"/>
    </row>
    <row r="746" ht="15.75" customHeight="1">
      <c r="D746" s="221"/>
    </row>
    <row r="747" ht="15.75" customHeight="1">
      <c r="D747" s="221"/>
    </row>
    <row r="748" ht="15.75" customHeight="1">
      <c r="D748" s="221"/>
    </row>
    <row r="749" ht="15.75" customHeight="1">
      <c r="D749" s="221"/>
    </row>
    <row r="750" ht="15.75" customHeight="1">
      <c r="D750" s="221"/>
    </row>
    <row r="751" ht="15.75" customHeight="1">
      <c r="D751" s="221"/>
    </row>
    <row r="752" ht="15.75" customHeight="1">
      <c r="D752" s="221"/>
    </row>
    <row r="753" ht="15.75" customHeight="1">
      <c r="D753" s="221"/>
    </row>
    <row r="754" ht="15.75" customHeight="1">
      <c r="D754" s="221"/>
    </row>
    <row r="755" ht="15.75" customHeight="1">
      <c r="D755" s="221"/>
    </row>
    <row r="756" ht="15.75" customHeight="1">
      <c r="D756" s="221"/>
    </row>
    <row r="757" ht="15.75" customHeight="1">
      <c r="D757" s="221"/>
    </row>
    <row r="758" ht="15.75" customHeight="1">
      <c r="D758" s="221"/>
    </row>
    <row r="759" ht="15.75" customHeight="1">
      <c r="D759" s="221"/>
    </row>
    <row r="760" ht="15.75" customHeight="1">
      <c r="D760" s="221"/>
    </row>
    <row r="761" ht="15.75" customHeight="1">
      <c r="D761" s="221"/>
    </row>
    <row r="762" ht="15.75" customHeight="1">
      <c r="D762" s="221"/>
    </row>
    <row r="763" ht="15.75" customHeight="1">
      <c r="D763" s="221"/>
    </row>
    <row r="764" ht="15.75" customHeight="1">
      <c r="D764" s="221"/>
    </row>
    <row r="765" ht="15.75" customHeight="1">
      <c r="D765" s="221"/>
    </row>
    <row r="766" ht="15.75" customHeight="1">
      <c r="D766" s="221"/>
    </row>
    <row r="767" ht="15.75" customHeight="1">
      <c r="D767" s="221"/>
    </row>
    <row r="768" ht="15.75" customHeight="1">
      <c r="D768" s="221"/>
    </row>
    <row r="769" ht="15.75" customHeight="1">
      <c r="D769" s="221"/>
    </row>
    <row r="770" ht="15.75" customHeight="1">
      <c r="D770" s="221"/>
    </row>
    <row r="771" ht="15.75" customHeight="1">
      <c r="D771" s="221"/>
    </row>
    <row r="772" ht="15.75" customHeight="1">
      <c r="D772" s="221"/>
    </row>
    <row r="773" ht="15.75" customHeight="1">
      <c r="D773" s="221"/>
    </row>
    <row r="774" ht="15.75" customHeight="1">
      <c r="D774" s="221"/>
    </row>
    <row r="775" ht="15.75" customHeight="1">
      <c r="D775" s="221"/>
    </row>
    <row r="776" ht="15.75" customHeight="1">
      <c r="D776" s="221"/>
    </row>
    <row r="777" ht="15.75" customHeight="1">
      <c r="D777" s="221"/>
    </row>
    <row r="778" ht="15.75" customHeight="1">
      <c r="D778" s="221"/>
    </row>
    <row r="779" ht="15.75" customHeight="1">
      <c r="D779" s="221"/>
    </row>
    <row r="780" ht="15.75" customHeight="1">
      <c r="D780" s="221"/>
    </row>
    <row r="781" ht="15.75" customHeight="1">
      <c r="D781" s="221"/>
    </row>
    <row r="782" ht="15.75" customHeight="1">
      <c r="D782" s="221"/>
    </row>
    <row r="783" ht="15.75" customHeight="1">
      <c r="D783" s="221"/>
    </row>
    <row r="784" ht="15.75" customHeight="1">
      <c r="D784" s="221"/>
    </row>
    <row r="785" ht="15.75" customHeight="1">
      <c r="D785" s="221"/>
    </row>
    <row r="786" ht="15.75" customHeight="1">
      <c r="D786" s="221"/>
    </row>
    <row r="787" ht="15.75" customHeight="1">
      <c r="D787" s="221"/>
    </row>
    <row r="788" ht="15.75" customHeight="1">
      <c r="D788" s="221"/>
    </row>
    <row r="789" ht="15.75" customHeight="1">
      <c r="D789" s="221"/>
    </row>
    <row r="790" ht="15.75" customHeight="1">
      <c r="D790" s="221"/>
    </row>
    <row r="791" ht="15.75" customHeight="1">
      <c r="D791" s="221"/>
    </row>
    <row r="792" ht="15.75" customHeight="1">
      <c r="D792" s="221"/>
    </row>
    <row r="793" ht="15.75" customHeight="1">
      <c r="D793" s="221"/>
    </row>
    <row r="794" ht="15.75" customHeight="1">
      <c r="D794" s="221"/>
    </row>
    <row r="795" ht="15.75" customHeight="1">
      <c r="D795" s="221"/>
    </row>
    <row r="796" ht="15.75" customHeight="1">
      <c r="D796" s="221"/>
    </row>
    <row r="797" ht="15.75" customHeight="1">
      <c r="D797" s="221"/>
    </row>
    <row r="798" ht="15.75" customHeight="1">
      <c r="D798" s="221"/>
    </row>
    <row r="799" ht="15.75" customHeight="1">
      <c r="D799" s="221"/>
    </row>
    <row r="800" ht="15.75" customHeight="1">
      <c r="D800" s="221"/>
    </row>
    <row r="801" ht="15.75" customHeight="1">
      <c r="D801" s="221"/>
    </row>
    <row r="802" ht="15.75" customHeight="1">
      <c r="D802" s="221"/>
    </row>
    <row r="803" ht="15.75" customHeight="1">
      <c r="D803" s="221"/>
    </row>
    <row r="804" ht="15.75" customHeight="1">
      <c r="D804" s="221"/>
    </row>
    <row r="805" ht="15.75" customHeight="1">
      <c r="D805" s="221"/>
    </row>
    <row r="806" ht="15.75" customHeight="1">
      <c r="D806" s="221"/>
    </row>
    <row r="807" ht="15.75" customHeight="1">
      <c r="D807" s="221"/>
    </row>
    <row r="808" ht="15.75" customHeight="1">
      <c r="D808" s="221"/>
    </row>
    <row r="809" ht="15.75" customHeight="1">
      <c r="D809" s="221"/>
    </row>
    <row r="810" ht="15.75" customHeight="1">
      <c r="D810" s="221"/>
    </row>
    <row r="811" ht="15.75" customHeight="1">
      <c r="D811" s="221"/>
    </row>
    <row r="812" ht="15.75" customHeight="1">
      <c r="D812" s="221"/>
    </row>
    <row r="813" ht="15.75" customHeight="1">
      <c r="D813" s="221"/>
    </row>
    <row r="814" ht="15.75" customHeight="1">
      <c r="D814" s="221"/>
    </row>
    <row r="815" ht="15.75" customHeight="1">
      <c r="D815" s="221"/>
    </row>
    <row r="816" ht="15.75" customHeight="1">
      <c r="D816" s="221"/>
    </row>
    <row r="817" ht="15.75" customHeight="1">
      <c r="D817" s="221"/>
    </row>
    <row r="818" ht="15.75" customHeight="1">
      <c r="D818" s="221"/>
    </row>
    <row r="819" ht="15.75" customHeight="1">
      <c r="D819" s="221"/>
    </row>
    <row r="820" ht="15.75" customHeight="1">
      <c r="D820" s="221"/>
    </row>
    <row r="821" ht="15.75" customHeight="1">
      <c r="D821" s="221"/>
    </row>
    <row r="822" ht="15.75" customHeight="1">
      <c r="D822" s="221"/>
    </row>
    <row r="823" ht="15.75" customHeight="1">
      <c r="D823" s="221"/>
    </row>
    <row r="824" ht="15.75" customHeight="1">
      <c r="D824" s="221"/>
    </row>
    <row r="825" ht="15.75" customHeight="1">
      <c r="D825" s="221"/>
    </row>
    <row r="826" ht="15.75" customHeight="1">
      <c r="D826" s="221"/>
    </row>
    <row r="827" ht="15.75" customHeight="1">
      <c r="D827" s="221"/>
    </row>
    <row r="828" ht="15.75" customHeight="1">
      <c r="D828" s="221"/>
    </row>
    <row r="829" ht="15.75" customHeight="1">
      <c r="D829" s="221"/>
    </row>
    <row r="830" ht="15.75" customHeight="1">
      <c r="D830" s="221"/>
    </row>
    <row r="831" ht="15.75" customHeight="1">
      <c r="D831" s="221"/>
    </row>
    <row r="832" ht="15.75" customHeight="1">
      <c r="D832" s="221"/>
    </row>
    <row r="833" ht="15.75" customHeight="1">
      <c r="D833" s="221"/>
    </row>
    <row r="834" ht="15.75" customHeight="1">
      <c r="D834" s="221"/>
    </row>
    <row r="835" ht="15.75" customHeight="1">
      <c r="D835" s="221"/>
    </row>
    <row r="836" ht="15.75" customHeight="1">
      <c r="D836" s="221"/>
    </row>
    <row r="837" ht="15.75" customHeight="1">
      <c r="D837" s="221"/>
    </row>
    <row r="838" ht="15.75" customHeight="1">
      <c r="D838" s="221"/>
    </row>
    <row r="839" ht="15.75" customHeight="1">
      <c r="D839" s="221"/>
    </row>
    <row r="840" ht="15.75" customHeight="1">
      <c r="D840" s="221"/>
    </row>
    <row r="841" ht="15.75" customHeight="1">
      <c r="D841" s="221"/>
    </row>
    <row r="842" ht="15.75" customHeight="1">
      <c r="D842" s="221"/>
    </row>
    <row r="843" ht="15.75" customHeight="1">
      <c r="D843" s="221"/>
    </row>
    <row r="844" ht="15.75" customHeight="1">
      <c r="D844" s="221"/>
    </row>
    <row r="845" ht="15.75" customHeight="1">
      <c r="D845" s="221"/>
    </row>
    <row r="846" ht="15.75" customHeight="1">
      <c r="D846" s="221"/>
    </row>
    <row r="847" ht="15.75" customHeight="1">
      <c r="D847" s="221"/>
    </row>
    <row r="848" ht="15.75" customHeight="1">
      <c r="D848" s="221"/>
    </row>
    <row r="849" ht="15.75" customHeight="1">
      <c r="D849" s="221"/>
    </row>
    <row r="850" ht="15.75" customHeight="1">
      <c r="D850" s="221"/>
    </row>
    <row r="851" ht="15.75" customHeight="1">
      <c r="D851" s="221"/>
    </row>
    <row r="852" ht="15.75" customHeight="1">
      <c r="D852" s="221"/>
    </row>
    <row r="853" ht="15.75" customHeight="1">
      <c r="D853" s="221"/>
    </row>
    <row r="854" ht="15.75" customHeight="1">
      <c r="D854" s="221"/>
    </row>
    <row r="855" ht="15.75" customHeight="1">
      <c r="D855" s="221"/>
    </row>
    <row r="856" ht="15.75" customHeight="1">
      <c r="D856" s="221"/>
    </row>
    <row r="857" ht="15.75" customHeight="1">
      <c r="D857" s="221"/>
    </row>
    <row r="858" ht="15.75" customHeight="1">
      <c r="D858" s="221"/>
    </row>
    <row r="859" ht="15.75" customHeight="1">
      <c r="D859" s="221"/>
    </row>
    <row r="860" ht="15.75" customHeight="1">
      <c r="D860" s="221"/>
    </row>
    <row r="861" ht="15.75" customHeight="1">
      <c r="D861" s="221"/>
    </row>
    <row r="862" ht="15.75" customHeight="1">
      <c r="D862" s="221"/>
    </row>
    <row r="863" ht="15.75" customHeight="1">
      <c r="D863" s="221"/>
    </row>
    <row r="864" ht="15.75" customHeight="1">
      <c r="D864" s="221"/>
    </row>
    <row r="865" ht="15.75" customHeight="1">
      <c r="D865" s="221"/>
    </row>
    <row r="866" ht="15.75" customHeight="1">
      <c r="D866" s="221"/>
    </row>
    <row r="867" ht="15.75" customHeight="1">
      <c r="D867" s="221"/>
    </row>
    <row r="868" ht="15.75" customHeight="1">
      <c r="D868" s="221"/>
    </row>
    <row r="869" ht="15.75" customHeight="1">
      <c r="D869" s="221"/>
    </row>
    <row r="870" ht="15.75" customHeight="1">
      <c r="D870" s="221"/>
    </row>
    <row r="871" ht="15.75" customHeight="1">
      <c r="D871" s="221"/>
    </row>
    <row r="872" ht="15.75" customHeight="1">
      <c r="D872" s="221"/>
    </row>
    <row r="873" ht="15.75" customHeight="1">
      <c r="D873" s="221"/>
    </row>
    <row r="874" ht="15.75" customHeight="1">
      <c r="D874" s="221"/>
    </row>
    <row r="875" ht="15.75" customHeight="1">
      <c r="D875" s="221"/>
    </row>
    <row r="876" ht="15.75" customHeight="1">
      <c r="D876" s="221"/>
    </row>
    <row r="877" ht="15.75" customHeight="1">
      <c r="D877" s="221"/>
    </row>
    <row r="878" ht="15.75" customHeight="1">
      <c r="D878" s="221"/>
    </row>
    <row r="879" ht="15.75" customHeight="1">
      <c r="D879" s="221"/>
    </row>
    <row r="880" ht="15.75" customHeight="1">
      <c r="D880" s="221"/>
    </row>
    <row r="881" ht="15.75" customHeight="1">
      <c r="D881" s="221"/>
    </row>
    <row r="882" ht="15.75" customHeight="1">
      <c r="D882" s="221"/>
    </row>
    <row r="883" ht="15.75" customHeight="1">
      <c r="D883" s="221"/>
    </row>
    <row r="884" ht="15.75" customHeight="1">
      <c r="D884" s="221"/>
    </row>
    <row r="885" ht="15.75" customHeight="1">
      <c r="D885" s="221"/>
    </row>
    <row r="886" ht="15.75" customHeight="1">
      <c r="D886" s="221"/>
    </row>
    <row r="887" ht="15.75" customHeight="1">
      <c r="D887" s="221"/>
    </row>
    <row r="888" ht="15.75" customHeight="1">
      <c r="D888" s="221"/>
    </row>
    <row r="889" ht="15.75" customHeight="1">
      <c r="D889" s="221"/>
    </row>
    <row r="890" ht="15.75" customHeight="1">
      <c r="D890" s="221"/>
    </row>
    <row r="891" ht="15.75" customHeight="1">
      <c r="D891" s="221"/>
    </row>
    <row r="892" ht="15.75" customHeight="1">
      <c r="D892" s="221"/>
    </row>
    <row r="893" ht="15.75" customHeight="1">
      <c r="D893" s="221"/>
    </row>
    <row r="894" ht="15.75" customHeight="1">
      <c r="D894" s="221"/>
    </row>
    <row r="895" ht="15.75" customHeight="1">
      <c r="D895" s="221"/>
    </row>
    <row r="896" ht="15.75" customHeight="1">
      <c r="D896" s="221"/>
    </row>
    <row r="897" ht="15.75" customHeight="1">
      <c r="D897" s="221"/>
    </row>
    <row r="898" ht="15.75" customHeight="1">
      <c r="D898" s="221"/>
    </row>
    <row r="899" ht="15.75" customHeight="1">
      <c r="D899" s="221"/>
    </row>
    <row r="900" ht="15.75" customHeight="1">
      <c r="D900" s="221"/>
    </row>
    <row r="901" ht="15.75" customHeight="1">
      <c r="D901" s="221"/>
    </row>
    <row r="902" ht="15.75" customHeight="1">
      <c r="D902" s="221"/>
    </row>
    <row r="903" ht="15.75" customHeight="1">
      <c r="D903" s="221"/>
    </row>
    <row r="904" ht="15.75" customHeight="1">
      <c r="D904" s="221"/>
    </row>
    <row r="905" ht="15.75" customHeight="1">
      <c r="D905" s="221"/>
    </row>
    <row r="906" ht="15.75" customHeight="1">
      <c r="D906" s="221"/>
    </row>
    <row r="907" ht="15.75" customHeight="1">
      <c r="D907" s="221"/>
    </row>
    <row r="908" ht="15.75" customHeight="1">
      <c r="D908" s="221"/>
    </row>
    <row r="909" ht="15.75" customHeight="1">
      <c r="D909" s="221"/>
    </row>
    <row r="910" ht="15.75" customHeight="1">
      <c r="D910" s="221"/>
    </row>
    <row r="911" ht="15.75" customHeight="1">
      <c r="D911" s="221"/>
    </row>
    <row r="912" ht="15.75" customHeight="1">
      <c r="D912" s="221"/>
    </row>
    <row r="913" ht="15.75" customHeight="1">
      <c r="D913" s="221"/>
    </row>
    <row r="914" ht="15.75" customHeight="1">
      <c r="D914" s="221"/>
    </row>
    <row r="915" ht="15.75" customHeight="1">
      <c r="D915" s="221"/>
    </row>
    <row r="916" ht="15.75" customHeight="1">
      <c r="D916" s="221"/>
    </row>
    <row r="917" ht="15.75" customHeight="1">
      <c r="D917" s="221"/>
    </row>
    <row r="918" ht="15.75" customHeight="1">
      <c r="D918" s="221"/>
    </row>
    <row r="919" ht="15.75" customHeight="1">
      <c r="D919" s="221"/>
    </row>
    <row r="920" ht="15.75" customHeight="1">
      <c r="D920" s="221"/>
    </row>
    <row r="921" ht="15.75" customHeight="1">
      <c r="D921" s="221"/>
    </row>
    <row r="922" ht="15.75" customHeight="1">
      <c r="D922" s="221"/>
    </row>
    <row r="923" ht="15.75" customHeight="1">
      <c r="D923" s="221"/>
    </row>
    <row r="924" ht="15.75" customHeight="1">
      <c r="D924" s="221"/>
    </row>
    <row r="925" ht="15.75" customHeight="1">
      <c r="D925" s="221"/>
    </row>
    <row r="926" ht="15.75" customHeight="1">
      <c r="D926" s="221"/>
    </row>
    <row r="927" ht="15.75" customHeight="1">
      <c r="D927" s="221"/>
    </row>
    <row r="928" ht="15.75" customHeight="1">
      <c r="D928" s="221"/>
    </row>
    <row r="929" ht="15.75" customHeight="1">
      <c r="D929" s="221"/>
    </row>
    <row r="930" ht="15.75" customHeight="1">
      <c r="D930" s="221"/>
    </row>
    <row r="931" ht="15.75" customHeight="1">
      <c r="D931" s="221"/>
    </row>
    <row r="932" ht="15.75" customHeight="1">
      <c r="D932" s="221"/>
    </row>
    <row r="933" ht="15.75" customHeight="1">
      <c r="D933" s="221"/>
    </row>
    <row r="934" ht="15.75" customHeight="1">
      <c r="D934" s="221"/>
    </row>
    <row r="935" ht="15.75" customHeight="1">
      <c r="D935" s="221"/>
    </row>
    <row r="936" ht="15.75" customHeight="1">
      <c r="D936" s="221"/>
    </row>
    <row r="937" ht="15.75" customHeight="1">
      <c r="D937" s="221"/>
    </row>
    <row r="938" ht="15.75" customHeight="1">
      <c r="D938" s="221"/>
    </row>
    <row r="939" ht="15.75" customHeight="1">
      <c r="D939" s="221"/>
    </row>
    <row r="940" ht="15.75" customHeight="1">
      <c r="D940" s="221"/>
    </row>
    <row r="941" ht="15.75" customHeight="1">
      <c r="D941" s="221"/>
    </row>
    <row r="942" ht="15.75" customHeight="1">
      <c r="D942" s="221"/>
    </row>
    <row r="943" ht="15.75" customHeight="1">
      <c r="D943" s="221"/>
    </row>
    <row r="944" ht="15.75" customHeight="1">
      <c r="D944" s="221"/>
    </row>
    <row r="945" ht="15.75" customHeight="1">
      <c r="D945" s="221"/>
    </row>
    <row r="946" ht="15.75" customHeight="1">
      <c r="D946" s="221"/>
    </row>
    <row r="947" ht="15.75" customHeight="1">
      <c r="D947" s="221"/>
    </row>
    <row r="948" ht="15.75" customHeight="1">
      <c r="D948" s="221"/>
    </row>
    <row r="949" ht="15.75" customHeight="1">
      <c r="D949" s="221"/>
    </row>
    <row r="950" ht="15.75" customHeight="1">
      <c r="D950" s="221"/>
    </row>
    <row r="951" ht="15.75" customHeight="1">
      <c r="D951" s="221"/>
    </row>
    <row r="952" ht="15.75" customHeight="1">
      <c r="D952" s="221"/>
    </row>
    <row r="953" ht="15.75" customHeight="1">
      <c r="D953" s="221"/>
    </row>
    <row r="954" ht="15.75" customHeight="1">
      <c r="D954" s="221"/>
    </row>
    <row r="955" ht="15.75" customHeight="1">
      <c r="D955" s="221"/>
    </row>
    <row r="956" ht="15.75" customHeight="1">
      <c r="D956" s="221"/>
    </row>
    <row r="957" ht="15.75" customHeight="1">
      <c r="D957" s="221"/>
    </row>
    <row r="958" ht="15.75" customHeight="1">
      <c r="D958" s="221"/>
    </row>
    <row r="959" ht="15.75" customHeight="1">
      <c r="D959" s="221"/>
    </row>
    <row r="960" ht="15.75" customHeight="1">
      <c r="D960" s="221"/>
    </row>
    <row r="961" ht="15.75" customHeight="1">
      <c r="D961" s="221"/>
    </row>
    <row r="962" ht="15.75" customHeight="1">
      <c r="D962" s="221"/>
    </row>
    <row r="963" ht="15.75" customHeight="1">
      <c r="D963" s="221"/>
    </row>
    <row r="964" ht="15.75" customHeight="1">
      <c r="D964" s="221"/>
    </row>
    <row r="965" ht="15.75" customHeight="1">
      <c r="D965" s="221"/>
    </row>
    <row r="966" ht="15.75" customHeight="1">
      <c r="D966" s="221"/>
    </row>
    <row r="967" ht="15.75" customHeight="1">
      <c r="D967" s="221"/>
    </row>
    <row r="968" ht="15.75" customHeight="1">
      <c r="D968" s="221"/>
    </row>
    <row r="969" ht="15.75" customHeight="1">
      <c r="D969" s="221"/>
    </row>
    <row r="970" ht="15.75" customHeight="1">
      <c r="D970" s="221"/>
    </row>
    <row r="971" ht="15.75" customHeight="1">
      <c r="D971" s="221"/>
    </row>
    <row r="972" ht="15.75" customHeight="1">
      <c r="D972" s="221"/>
    </row>
    <row r="973" ht="15.75" customHeight="1">
      <c r="D973" s="221"/>
    </row>
    <row r="974" ht="15.75" customHeight="1">
      <c r="D974" s="221"/>
    </row>
    <row r="975" ht="15.75" customHeight="1">
      <c r="D975" s="221"/>
    </row>
    <row r="976" ht="15.75" customHeight="1">
      <c r="D976" s="221"/>
    </row>
    <row r="977" ht="15.75" customHeight="1">
      <c r="D977" s="221"/>
    </row>
    <row r="978" ht="15.75" customHeight="1">
      <c r="D978" s="221"/>
    </row>
    <row r="979" ht="15.75" customHeight="1">
      <c r="D979" s="221"/>
    </row>
    <row r="980" ht="15.75" customHeight="1">
      <c r="D980" s="221"/>
    </row>
    <row r="981" ht="15.75" customHeight="1">
      <c r="D981" s="221"/>
    </row>
    <row r="982" ht="15.75" customHeight="1">
      <c r="D982" s="221"/>
    </row>
    <row r="983" ht="15.75" customHeight="1">
      <c r="D983" s="221"/>
    </row>
    <row r="984" ht="15.75" customHeight="1">
      <c r="D984" s="221"/>
    </row>
    <row r="985" ht="15.75" customHeight="1">
      <c r="D985" s="221"/>
    </row>
    <row r="986" ht="15.75" customHeight="1">
      <c r="D986" s="221"/>
    </row>
    <row r="987" ht="15.75" customHeight="1">
      <c r="D987" s="221"/>
    </row>
    <row r="988" ht="15.75" customHeight="1">
      <c r="D988" s="221"/>
    </row>
    <row r="989" ht="15.75" customHeight="1">
      <c r="D989" s="221"/>
    </row>
    <row r="990" ht="15.75" customHeight="1">
      <c r="D990" s="221"/>
    </row>
    <row r="991" ht="15.75" customHeight="1">
      <c r="D991" s="221"/>
    </row>
    <row r="992" ht="15.75" customHeight="1">
      <c r="D992" s="221"/>
    </row>
    <row r="993" ht="15.75" customHeight="1">
      <c r="D993" s="221"/>
    </row>
    <row r="994" ht="15.75" customHeight="1">
      <c r="D994" s="221"/>
    </row>
    <row r="995" ht="15.75" customHeight="1">
      <c r="D995" s="221"/>
    </row>
    <row r="996" ht="15.75" customHeight="1">
      <c r="D996" s="221"/>
    </row>
    <row r="997" ht="15.75" customHeight="1">
      <c r="D997" s="221"/>
    </row>
    <row r="998" ht="15.75" customHeight="1">
      <c r="D998" s="221"/>
    </row>
    <row r="999" ht="15.75" customHeight="1">
      <c r="D999" s="221"/>
    </row>
    <row r="1000" ht="15.75" customHeight="1">
      <c r="D1000" s="221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1.29"/>
    <col customWidth="1" min="3" max="3" width="28.14"/>
    <col customWidth="1" min="4" max="4" width="17.29"/>
    <col customWidth="1" min="5" max="5" width="15.0"/>
    <col customWidth="1" min="6" max="6" width="13.14"/>
    <col customWidth="1" min="7" max="26" width="8.71"/>
  </cols>
  <sheetData>
    <row r="1">
      <c r="A1" s="235" t="s">
        <v>5</v>
      </c>
      <c r="B1" s="236" t="s">
        <v>97</v>
      </c>
      <c r="C1" s="237" t="s">
        <v>137</v>
      </c>
      <c r="D1" s="238" t="s">
        <v>138</v>
      </c>
      <c r="E1" s="238" t="s">
        <v>139</v>
      </c>
      <c r="F1" s="239" t="s">
        <v>140</v>
      </c>
    </row>
    <row r="2">
      <c r="A2" s="240" t="s">
        <v>131</v>
      </c>
      <c r="B2" s="241" t="s">
        <v>141</v>
      </c>
      <c r="C2" s="242">
        <v>-2000.0</v>
      </c>
      <c r="D2" s="243">
        <v>456.0</v>
      </c>
      <c r="E2" s="244">
        <v>137.0</v>
      </c>
      <c r="F2" s="228">
        <f t="shared" ref="F2:F6" si="1">E2*D2*C2</f>
        <v>-124944000</v>
      </c>
    </row>
    <row r="3">
      <c r="A3" s="245" t="s">
        <v>131</v>
      </c>
      <c r="B3" s="246" t="s">
        <v>142</v>
      </c>
      <c r="C3" s="247">
        <v>-10000.0</v>
      </c>
      <c r="D3" s="243">
        <v>456.0</v>
      </c>
      <c r="E3" s="225">
        <v>10.0</v>
      </c>
      <c r="F3" s="199">
        <f t="shared" si="1"/>
        <v>-45600000</v>
      </c>
    </row>
    <row r="4">
      <c r="A4" s="245" t="s">
        <v>131</v>
      </c>
      <c r="B4" s="246" t="s">
        <v>143</v>
      </c>
      <c r="C4" s="247">
        <v>-3000.0</v>
      </c>
      <c r="D4" s="243">
        <v>456.0</v>
      </c>
      <c r="E4" s="225">
        <v>10.0</v>
      </c>
      <c r="F4" s="199">
        <f t="shared" si="1"/>
        <v>-13680000</v>
      </c>
    </row>
    <row r="5">
      <c r="A5" s="245" t="s">
        <v>131</v>
      </c>
      <c r="B5" s="246" t="s">
        <v>144</v>
      </c>
      <c r="C5" s="247">
        <v>-5000.0</v>
      </c>
      <c r="D5" s="243">
        <v>456.0</v>
      </c>
      <c r="E5" s="225">
        <v>10.0</v>
      </c>
      <c r="F5" s="199">
        <f t="shared" si="1"/>
        <v>-22800000</v>
      </c>
    </row>
    <row r="6">
      <c r="A6" s="248" t="s">
        <v>131</v>
      </c>
      <c r="B6" s="249" t="s">
        <v>145</v>
      </c>
      <c r="C6" s="250">
        <v>-25000.0</v>
      </c>
      <c r="D6" s="243">
        <v>456.0</v>
      </c>
      <c r="E6" s="251">
        <v>4.0</v>
      </c>
      <c r="F6" s="204">
        <f t="shared" si="1"/>
        <v>-45600000</v>
      </c>
    </row>
    <row r="7">
      <c r="A7" s="252"/>
      <c r="B7" s="253" t="s">
        <v>146</v>
      </c>
      <c r="C7" s="254">
        <f t="shared" ref="C7:F7" si="2">SUM(C2:C6)</f>
        <v>-45000</v>
      </c>
      <c r="D7" s="255">
        <f t="shared" si="2"/>
        <v>2280</v>
      </c>
      <c r="E7" s="255">
        <f t="shared" si="2"/>
        <v>171</v>
      </c>
      <c r="F7" s="256">
        <f t="shared" si="2"/>
        <v>-252624000</v>
      </c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>
      <c r="A8" s="257" t="s">
        <v>136</v>
      </c>
      <c r="B8" s="258"/>
      <c r="C8" s="259">
        <f t="shared" ref="C8:F8" si="3">C7*0.1</f>
        <v>-4500</v>
      </c>
      <c r="D8" s="260">
        <f t="shared" si="3"/>
        <v>228</v>
      </c>
      <c r="E8" s="260">
        <f t="shared" si="3"/>
        <v>17.1</v>
      </c>
      <c r="F8" s="216">
        <f t="shared" si="3"/>
        <v>-25262400</v>
      </c>
    </row>
    <row r="9">
      <c r="A9" s="252"/>
      <c r="B9" s="253" t="s">
        <v>147</v>
      </c>
      <c r="C9" s="254">
        <f t="shared" ref="C9:F9" si="4">SUM(C8)</f>
        <v>-4500</v>
      </c>
      <c r="D9" s="255">
        <f t="shared" si="4"/>
        <v>228</v>
      </c>
      <c r="E9" s="255">
        <f t="shared" si="4"/>
        <v>17.1</v>
      </c>
      <c r="F9" s="256">
        <f t="shared" si="4"/>
        <v>-25262400</v>
      </c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34.0"/>
    <col customWidth="1" min="3" max="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200"/>
      <c r="C39" s="200"/>
      <c r="D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43"/>
    <col customWidth="1" min="3" max="3" width="19.14"/>
    <col customWidth="1" min="4" max="4" width="13.14"/>
    <col customWidth="1" min="5" max="5" width="16.43"/>
    <col customWidth="1" min="6" max="6" width="8.71"/>
  </cols>
  <sheetData>
    <row r="1">
      <c r="A1" s="262" t="s">
        <v>5</v>
      </c>
      <c r="B1" s="263" t="s">
        <v>97</v>
      </c>
      <c r="C1" s="263" t="s">
        <v>163</v>
      </c>
      <c r="D1" s="264" t="s">
        <v>164</v>
      </c>
      <c r="E1" s="265" t="s">
        <v>165</v>
      </c>
    </row>
    <row r="2">
      <c r="A2" s="266" t="s">
        <v>150</v>
      </c>
      <c r="B2" s="267" t="s">
        <v>152</v>
      </c>
      <c r="C2" s="268">
        <v>-500000.0</v>
      </c>
      <c r="D2" s="269">
        <f t="shared" ref="D2:D30" si="1">C2/$C$31</f>
        <v>0.00001458864606</v>
      </c>
      <c r="E2" s="149">
        <f t="shared" ref="E2:E30" si="2">C2*6</f>
        <v>-3000000</v>
      </c>
    </row>
    <row r="3">
      <c r="A3" s="270" t="s">
        <v>150</v>
      </c>
      <c r="B3" s="271" t="s">
        <v>151</v>
      </c>
      <c r="C3" s="268">
        <v>-500000.0</v>
      </c>
      <c r="D3" s="272">
        <f t="shared" si="1"/>
        <v>0.00001458864606</v>
      </c>
      <c r="E3" s="149">
        <f t="shared" si="2"/>
        <v>-3000000</v>
      </c>
    </row>
    <row r="4">
      <c r="A4" s="270" t="s">
        <v>150</v>
      </c>
      <c r="B4" s="271" t="s">
        <v>42</v>
      </c>
      <c r="C4" s="268">
        <v>-500000.0</v>
      </c>
      <c r="D4" s="272">
        <f t="shared" si="1"/>
        <v>0.00001458864606</v>
      </c>
      <c r="E4" s="149">
        <f t="shared" si="2"/>
        <v>-3000000</v>
      </c>
    </row>
    <row r="5">
      <c r="A5" s="270" t="s">
        <v>150</v>
      </c>
      <c r="B5" s="271" t="s">
        <v>41</v>
      </c>
      <c r="C5" s="273">
        <v>-3500000.0</v>
      </c>
      <c r="D5" s="272">
        <f t="shared" si="1"/>
        <v>0.0001021205224</v>
      </c>
      <c r="E5" s="149">
        <f t="shared" si="2"/>
        <v>-21000000</v>
      </c>
    </row>
    <row r="6">
      <c r="A6" s="274" t="s">
        <v>154</v>
      </c>
      <c r="B6" s="275" t="s">
        <v>46</v>
      </c>
      <c r="C6" s="276">
        <f>'Штатный персонал'!J25</f>
        <v>-31123979992</v>
      </c>
      <c r="D6" s="277">
        <f t="shared" si="1"/>
        <v>0.9081134563</v>
      </c>
      <c r="E6" s="149">
        <f t="shared" si="2"/>
        <v>-186743879951</v>
      </c>
      <c r="F6" s="149">
        <f>SUM(E2:E5)</f>
        <v>-30000000</v>
      </c>
    </row>
    <row r="7">
      <c r="A7" s="270" t="s">
        <v>154</v>
      </c>
      <c r="B7" s="271" t="s">
        <v>47</v>
      </c>
      <c r="C7" s="273">
        <v>-3500000.0</v>
      </c>
      <c r="D7" s="272">
        <f t="shared" si="1"/>
        <v>0.0001021205224</v>
      </c>
      <c r="E7" s="149">
        <f t="shared" si="2"/>
        <v>-21000000</v>
      </c>
    </row>
    <row r="8">
      <c r="A8" s="270" t="s">
        <v>154</v>
      </c>
      <c r="B8" s="271" t="s">
        <v>48</v>
      </c>
      <c r="C8" s="273">
        <v>956000.0</v>
      </c>
      <c r="D8" s="272">
        <f t="shared" si="1"/>
        <v>-0.00002789349127</v>
      </c>
      <c r="E8" s="149">
        <f t="shared" si="2"/>
        <v>5736000</v>
      </c>
    </row>
    <row r="9">
      <c r="A9" s="270" t="s">
        <v>154</v>
      </c>
      <c r="B9" s="271" t="s">
        <v>49</v>
      </c>
      <c r="C9" s="273">
        <v>954666.0</v>
      </c>
      <c r="D9" s="272">
        <f t="shared" si="1"/>
        <v>-0.00002785456876</v>
      </c>
      <c r="E9" s="149">
        <f t="shared" si="2"/>
        <v>5727996</v>
      </c>
    </row>
    <row r="10">
      <c r="A10" s="270" t="s">
        <v>154</v>
      </c>
      <c r="B10" s="271" t="s">
        <v>50</v>
      </c>
      <c r="C10" s="273">
        <v>444555.0</v>
      </c>
      <c r="D10" s="272">
        <f t="shared" si="1"/>
        <v>-0.0000129709111</v>
      </c>
      <c r="E10" s="149">
        <f t="shared" si="2"/>
        <v>2667330</v>
      </c>
    </row>
    <row r="11">
      <c r="A11" s="270" t="s">
        <v>154</v>
      </c>
      <c r="B11" s="271" t="s">
        <v>51</v>
      </c>
      <c r="C11" s="273">
        <v>-790999.0</v>
      </c>
      <c r="D11" s="272">
        <f t="shared" si="1"/>
        <v>0.00002307920889</v>
      </c>
      <c r="E11" s="149">
        <f t="shared" si="2"/>
        <v>-4745994</v>
      </c>
    </row>
    <row r="12">
      <c r="A12" s="270" t="s">
        <v>154</v>
      </c>
      <c r="B12" s="271" t="s">
        <v>52</v>
      </c>
      <c r="C12" s="278">
        <v>-1.0E7</v>
      </c>
      <c r="D12" s="272">
        <f t="shared" si="1"/>
        <v>0.0002917729213</v>
      </c>
      <c r="E12" s="149">
        <f t="shared" si="2"/>
        <v>-60000000</v>
      </c>
    </row>
    <row r="13">
      <c r="A13" s="270" t="s">
        <v>154</v>
      </c>
      <c r="B13" s="271" t="s">
        <v>53</v>
      </c>
      <c r="C13" s="279">
        <f>'Штатный персонал'!J22</f>
        <v>-298122413.7</v>
      </c>
      <c r="D13" s="272">
        <f t="shared" si="1"/>
        <v>0.008698404754</v>
      </c>
      <c r="E13" s="149">
        <f t="shared" si="2"/>
        <v>-1788734482</v>
      </c>
    </row>
    <row r="14">
      <c r="A14" s="270" t="s">
        <v>55</v>
      </c>
      <c r="B14" s="271" t="s">
        <v>157</v>
      </c>
      <c r="C14" s="273">
        <v>-1000000.0</v>
      </c>
      <c r="D14" s="272">
        <f t="shared" si="1"/>
        <v>0.00002917729213</v>
      </c>
      <c r="E14" s="149">
        <f t="shared" si="2"/>
        <v>-6000000</v>
      </c>
    </row>
    <row r="15">
      <c r="A15" s="270" t="s">
        <v>55</v>
      </c>
      <c r="B15" s="271" t="s">
        <v>156</v>
      </c>
      <c r="C15" s="279">
        <f>'Штатный персонал'!J24</f>
        <v>-566432586.1</v>
      </c>
      <c r="D15" s="272">
        <f t="shared" si="1"/>
        <v>0.01652696903</v>
      </c>
      <c r="E15" s="149">
        <f t="shared" si="2"/>
        <v>-3398595516</v>
      </c>
    </row>
    <row r="16">
      <c r="A16" s="270" t="s">
        <v>59</v>
      </c>
      <c r="B16" s="271" t="s">
        <v>46</v>
      </c>
      <c r="C16" s="279">
        <f>'Штатный персонал'!J55</f>
        <v>-2178678599</v>
      </c>
      <c r="D16" s="272">
        <f t="shared" si="1"/>
        <v>0.06356794194</v>
      </c>
      <c r="E16" s="149">
        <f t="shared" si="2"/>
        <v>-13072071597</v>
      </c>
    </row>
    <row r="17">
      <c r="A17" s="270" t="s">
        <v>59</v>
      </c>
      <c r="B17" s="271" t="s">
        <v>47</v>
      </c>
      <c r="C17" s="271">
        <f>C7*0.07</f>
        <v>-245000</v>
      </c>
      <c r="D17" s="272">
        <f t="shared" si="1"/>
        <v>0.000007148436571</v>
      </c>
      <c r="E17" s="149">
        <f t="shared" si="2"/>
        <v>-1470000</v>
      </c>
    </row>
    <row r="18">
      <c r="A18" s="270" t="s">
        <v>59</v>
      </c>
      <c r="B18" s="271" t="s">
        <v>48</v>
      </c>
      <c r="C18" s="271">
        <f t="shared" ref="C18:C25" si="3">C8*0.1</f>
        <v>95600</v>
      </c>
      <c r="D18" s="272">
        <f t="shared" si="1"/>
        <v>-0.000002789349127</v>
      </c>
      <c r="E18" s="149">
        <f t="shared" si="2"/>
        <v>573600</v>
      </c>
    </row>
    <row r="19">
      <c r="A19" s="270" t="s">
        <v>59</v>
      </c>
      <c r="B19" s="271" t="s">
        <v>49</v>
      </c>
      <c r="C19" s="271">
        <f t="shared" si="3"/>
        <v>95466.6</v>
      </c>
      <c r="D19" s="272">
        <f t="shared" si="1"/>
        <v>-0.000002785456876</v>
      </c>
      <c r="E19" s="149">
        <f t="shared" si="2"/>
        <v>572799.6</v>
      </c>
    </row>
    <row r="20">
      <c r="A20" s="270" t="s">
        <v>59</v>
      </c>
      <c r="B20" s="271" t="s">
        <v>50</v>
      </c>
      <c r="C20" s="271">
        <f t="shared" si="3"/>
        <v>44455.5</v>
      </c>
      <c r="D20" s="272">
        <f t="shared" si="1"/>
        <v>-0.00000129709111</v>
      </c>
      <c r="E20" s="149">
        <f t="shared" si="2"/>
        <v>266733</v>
      </c>
    </row>
    <row r="21" ht="15.75" customHeight="1">
      <c r="A21" s="270" t="s">
        <v>59</v>
      </c>
      <c r="B21" s="271" t="s">
        <v>51</v>
      </c>
      <c r="C21" s="271">
        <f t="shared" si="3"/>
        <v>-79099.9</v>
      </c>
      <c r="D21" s="272">
        <f t="shared" si="1"/>
        <v>0.000002307920889</v>
      </c>
      <c r="E21" s="149">
        <f t="shared" si="2"/>
        <v>-474599.4</v>
      </c>
    </row>
    <row r="22" ht="15.75" customHeight="1">
      <c r="A22" s="270" t="s">
        <v>59</v>
      </c>
      <c r="B22" s="271" t="s">
        <v>52</v>
      </c>
      <c r="C22" s="271">
        <f t="shared" si="3"/>
        <v>-1000000</v>
      </c>
      <c r="D22" s="272">
        <f t="shared" si="1"/>
        <v>0.00002917729213</v>
      </c>
      <c r="E22" s="149">
        <f t="shared" si="2"/>
        <v>-6000000</v>
      </c>
    </row>
    <row r="23" ht="15.75" customHeight="1">
      <c r="A23" s="270" t="s">
        <v>59</v>
      </c>
      <c r="B23" s="271" t="s">
        <v>53</v>
      </c>
      <c r="C23" s="271">
        <f t="shared" si="3"/>
        <v>-29812241.37</v>
      </c>
      <c r="D23" s="272">
        <f t="shared" si="1"/>
        <v>0.0008698404754</v>
      </c>
      <c r="E23" s="149">
        <f t="shared" si="2"/>
        <v>-178873448.2</v>
      </c>
    </row>
    <row r="24" ht="15.75" customHeight="1">
      <c r="A24" s="270" t="s">
        <v>59</v>
      </c>
      <c r="B24" s="271" t="s">
        <v>61</v>
      </c>
      <c r="C24" s="271">
        <f t="shared" si="3"/>
        <v>-100000</v>
      </c>
      <c r="D24" s="272">
        <f t="shared" si="1"/>
        <v>0.000002917729213</v>
      </c>
      <c r="E24" s="149">
        <f t="shared" si="2"/>
        <v>-600000</v>
      </c>
    </row>
    <row r="25" ht="15.75" customHeight="1">
      <c r="A25" s="270" t="s">
        <v>59</v>
      </c>
      <c r="B25" s="271" t="s">
        <v>62</v>
      </c>
      <c r="C25" s="271">
        <f t="shared" si="3"/>
        <v>-56643258.61</v>
      </c>
      <c r="D25" s="272">
        <f t="shared" si="1"/>
        <v>0.001652696903</v>
      </c>
      <c r="E25" s="149">
        <f t="shared" si="2"/>
        <v>-339859551.6</v>
      </c>
    </row>
    <row r="26" ht="15.75" customHeight="1">
      <c r="A26" s="270" t="s">
        <v>59</v>
      </c>
      <c r="B26" s="271" t="s">
        <v>65</v>
      </c>
      <c r="C26" s="271">
        <v>-50000.0</v>
      </c>
      <c r="D26" s="272">
        <f t="shared" si="1"/>
        <v>0.000001458864606</v>
      </c>
      <c r="E26" s="149">
        <f t="shared" si="2"/>
        <v>-300000</v>
      </c>
    </row>
    <row r="27" ht="15.75" customHeight="1">
      <c r="A27" s="270" t="s">
        <v>67</v>
      </c>
      <c r="B27" s="271" t="s">
        <v>68</v>
      </c>
      <c r="C27" s="271">
        <v>-100000.0</v>
      </c>
      <c r="D27" s="272">
        <f t="shared" si="1"/>
        <v>0.000002917729213</v>
      </c>
      <c r="E27" s="149">
        <f t="shared" si="2"/>
        <v>-600000</v>
      </c>
    </row>
    <row r="28" ht="15.75" customHeight="1">
      <c r="A28" s="270" t="s">
        <v>67</v>
      </c>
      <c r="B28" s="271" t="s">
        <v>38</v>
      </c>
      <c r="C28" s="280">
        <v>-190281.97439999998</v>
      </c>
      <c r="D28" s="272">
        <f t="shared" si="1"/>
        <v>0.000005551912753</v>
      </c>
      <c r="E28" s="149">
        <f t="shared" si="2"/>
        <v>-1141691.846</v>
      </c>
    </row>
    <row r="29" ht="15.75" customHeight="1">
      <c r="A29" s="270" t="s">
        <v>67</v>
      </c>
      <c r="B29" s="271" t="s">
        <v>69</v>
      </c>
      <c r="C29" s="280">
        <v>-69770.05728</v>
      </c>
      <c r="D29" s="272">
        <f t="shared" si="1"/>
        <v>0.000002035701343</v>
      </c>
      <c r="E29" s="149">
        <f t="shared" si="2"/>
        <v>-418620.3437</v>
      </c>
    </row>
    <row r="30" ht="15.75" customHeight="1">
      <c r="A30" s="281" t="s">
        <v>67</v>
      </c>
      <c r="B30" s="282" t="s">
        <v>160</v>
      </c>
      <c r="C30" s="283">
        <v>-25000.0</v>
      </c>
      <c r="D30" s="284">
        <f t="shared" si="1"/>
        <v>0.0000007294323031</v>
      </c>
      <c r="E30" s="149">
        <f t="shared" si="2"/>
        <v>-150000</v>
      </c>
    </row>
    <row r="31" ht="15.75" customHeight="1">
      <c r="A31" s="285"/>
      <c r="B31" s="286" t="s">
        <v>166</v>
      </c>
      <c r="C31" s="287">
        <f>SUM(C2:C30)</f>
        <v>-34273228499</v>
      </c>
      <c r="D31" s="287"/>
      <c r="E31" s="287">
        <f>SUM(E2:E30)</f>
        <v>-205639370993</v>
      </c>
    </row>
    <row r="32" ht="15.75" customHeight="1">
      <c r="D32" s="26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36.0"/>
    <col customWidth="1" min="3" max="3" width="5.14"/>
    <col customWidth="1" min="4" max="4" width="51.29"/>
    <col customWidth="1" min="5" max="5" width="31.86"/>
    <col customWidth="1" min="6" max="6" width="14.71"/>
    <col customWidth="1" min="7" max="9" width="12.86"/>
    <col customWidth="1" min="10" max="10" width="11.0"/>
    <col customWidth="1" min="11" max="27" width="8.71"/>
  </cols>
  <sheetData>
    <row r="1">
      <c r="A1" s="288" t="s">
        <v>167</v>
      </c>
      <c r="B1" s="288" t="s">
        <v>168</v>
      </c>
      <c r="C1" s="288" t="s">
        <v>169</v>
      </c>
      <c r="D1" s="288" t="s">
        <v>170</v>
      </c>
      <c r="E1" s="289" t="s">
        <v>171</v>
      </c>
      <c r="F1" s="288" t="s">
        <v>172</v>
      </c>
      <c r="G1" s="288" t="s">
        <v>173</v>
      </c>
      <c r="H1" s="290" t="s">
        <v>174</v>
      </c>
      <c r="I1" s="291" t="s">
        <v>175</v>
      </c>
      <c r="J1" s="290" t="s">
        <v>176</v>
      </c>
      <c r="K1" s="292"/>
      <c r="L1" s="293" t="s">
        <v>177</v>
      </c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</row>
    <row r="2">
      <c r="A2" s="294">
        <v>50.0</v>
      </c>
      <c r="B2" s="295" t="s">
        <v>178</v>
      </c>
      <c r="C2" s="296">
        <v>1.0</v>
      </c>
      <c r="D2" s="297">
        <v>1.0</v>
      </c>
      <c r="E2" s="296">
        <f>483882</f>
        <v>483882</v>
      </c>
      <c r="F2" s="297">
        <v>1.0</v>
      </c>
      <c r="G2" s="297">
        <f t="shared" ref="G2:G28" si="1">E2*C2</f>
        <v>483882</v>
      </c>
      <c r="H2" s="298">
        <f>'План БДР'!$B$9</f>
        <v>0</v>
      </c>
      <c r="I2" s="299">
        <f>'Планообразующие услуги'!$G2+('Планообразующие услуги'!$G2*'Планообразующие услуги'!$H2)</f>
        <v>483882</v>
      </c>
      <c r="J2" s="299">
        <f t="shared" ref="J2:J178" si="2">I2*F2</f>
        <v>483882</v>
      </c>
      <c r="L2" s="300">
        <f>AVERAGE('Планообразующие услуги'!$J$2:$J$197)</f>
        <v>14624.72975</v>
      </c>
    </row>
    <row r="3">
      <c r="A3" s="301">
        <v>50.0</v>
      </c>
      <c r="B3" s="295" t="s">
        <v>178</v>
      </c>
      <c r="C3" s="302">
        <v>1.0</v>
      </c>
      <c r="D3" s="303">
        <v>2.0</v>
      </c>
      <c r="E3" s="296">
        <v>639432.0</v>
      </c>
      <c r="F3" s="303">
        <v>1.0</v>
      </c>
      <c r="G3" s="297">
        <f t="shared" si="1"/>
        <v>639432</v>
      </c>
      <c r="H3" s="304">
        <f>'План БДР'!$B$9</f>
        <v>0</v>
      </c>
      <c r="I3" s="305">
        <f>'Планообразующие услуги'!$G3+('Планообразующие услуги'!$G3*'Планообразующие услуги'!$H3)</f>
        <v>639432</v>
      </c>
      <c r="J3" s="305">
        <f t="shared" si="2"/>
        <v>639432</v>
      </c>
    </row>
    <row r="4">
      <c r="A4" s="294">
        <v>50.0</v>
      </c>
      <c r="B4" s="295" t="s">
        <v>178</v>
      </c>
      <c r="C4" s="296">
        <v>1.0</v>
      </c>
      <c r="D4" s="297">
        <v>3.0</v>
      </c>
      <c r="E4" s="296">
        <v>155550.0</v>
      </c>
      <c r="F4" s="297">
        <v>1.0</v>
      </c>
      <c r="G4" s="297">
        <f t="shared" si="1"/>
        <v>155550</v>
      </c>
      <c r="H4" s="298">
        <f>'План БДР'!$B$9</f>
        <v>0</v>
      </c>
      <c r="I4" s="299">
        <f>'Планообразующие услуги'!$G4+('Планообразующие услуги'!$G4*'Планообразующие услуги'!$H4)</f>
        <v>155550</v>
      </c>
      <c r="J4" s="299">
        <f t="shared" si="2"/>
        <v>155550</v>
      </c>
    </row>
    <row r="5">
      <c r="A5" s="301">
        <v>50.0</v>
      </c>
      <c r="B5" s="306" t="s">
        <v>179</v>
      </c>
      <c r="C5" s="302">
        <v>1.0</v>
      </c>
      <c r="D5" s="303">
        <v>4.0</v>
      </c>
      <c r="E5" s="296">
        <v>639432.0</v>
      </c>
      <c r="F5" s="303">
        <v>1.0</v>
      </c>
      <c r="G5" s="297">
        <f t="shared" si="1"/>
        <v>639432</v>
      </c>
      <c r="H5" s="304">
        <f>'План БДР'!$B$9</f>
        <v>0</v>
      </c>
      <c r="I5" s="305">
        <f>'Планообразующие услуги'!$G5+('Планообразующие услуги'!$G5*'Планообразующие услуги'!$H5)</f>
        <v>639432</v>
      </c>
      <c r="J5" s="305">
        <f t="shared" si="2"/>
        <v>639432</v>
      </c>
    </row>
    <row r="6">
      <c r="A6" s="294">
        <v>50.0</v>
      </c>
      <c r="B6" s="306" t="s">
        <v>179</v>
      </c>
      <c r="C6" s="296">
        <v>1.0</v>
      </c>
      <c r="D6" s="297">
        <v>5.0</v>
      </c>
      <c r="E6" s="296">
        <v>155550.0</v>
      </c>
      <c r="F6" s="297">
        <v>1.0</v>
      </c>
      <c r="G6" s="297">
        <f t="shared" si="1"/>
        <v>155550</v>
      </c>
      <c r="H6" s="298">
        <f>'План БДР'!$B$9</f>
        <v>0</v>
      </c>
      <c r="I6" s="299">
        <f>'Планообразующие услуги'!$G6+('Планообразующие услуги'!$G6*'Планообразующие услуги'!$H6)</f>
        <v>155550</v>
      </c>
      <c r="J6" s="299">
        <f t="shared" si="2"/>
        <v>155550</v>
      </c>
    </row>
    <row r="7">
      <c r="A7" s="301">
        <v>50.0</v>
      </c>
      <c r="B7" s="295" t="s">
        <v>178</v>
      </c>
      <c r="C7" s="302">
        <v>1.0</v>
      </c>
      <c r="D7" s="303">
        <v>6.0</v>
      </c>
      <c r="E7" s="296">
        <v>1.0</v>
      </c>
      <c r="F7" s="303">
        <v>1.0</v>
      </c>
      <c r="G7" s="297">
        <f t="shared" si="1"/>
        <v>1</v>
      </c>
      <c r="H7" s="304">
        <f>'План БДР'!$B$9</f>
        <v>0</v>
      </c>
      <c r="I7" s="305">
        <f>'Планообразующие услуги'!$G7+('Планообразующие услуги'!$G7*'Планообразующие услуги'!$H7)</f>
        <v>1</v>
      </c>
      <c r="J7" s="305">
        <f t="shared" si="2"/>
        <v>1</v>
      </c>
    </row>
    <row r="8">
      <c r="A8" s="294">
        <v>50.0</v>
      </c>
      <c r="B8" s="295" t="s">
        <v>180</v>
      </c>
      <c r="C8" s="296">
        <v>1.0</v>
      </c>
      <c r="D8" s="297">
        <v>7.0</v>
      </c>
      <c r="E8" s="296">
        <v>706.0</v>
      </c>
      <c r="F8" s="297">
        <v>1.0</v>
      </c>
      <c r="G8" s="297">
        <f t="shared" si="1"/>
        <v>706</v>
      </c>
      <c r="H8" s="298">
        <f>'План БДР'!$B$9</f>
        <v>0</v>
      </c>
      <c r="I8" s="299">
        <f>'Планообразующие услуги'!$G8+('Планообразующие услуги'!$G8*'Планообразующие услуги'!$H8)</f>
        <v>706</v>
      </c>
      <c r="J8" s="299">
        <f t="shared" si="2"/>
        <v>706</v>
      </c>
    </row>
    <row r="9">
      <c r="A9" s="301">
        <v>50.0</v>
      </c>
      <c r="B9" s="306" t="s">
        <v>181</v>
      </c>
      <c r="C9" s="302">
        <v>1.0</v>
      </c>
      <c r="D9" s="303">
        <v>8.0</v>
      </c>
      <c r="E9" s="296">
        <f>13890+4900</f>
        <v>18790</v>
      </c>
      <c r="F9" s="303">
        <v>1.0</v>
      </c>
      <c r="G9" s="297">
        <f t="shared" si="1"/>
        <v>18790</v>
      </c>
      <c r="H9" s="304">
        <f>'План БДР'!$B$9</f>
        <v>0</v>
      </c>
      <c r="I9" s="305">
        <f>'Планообразующие услуги'!$G9+('Планообразующие услуги'!$G9*'Планообразующие услуги'!$H9)</f>
        <v>18790</v>
      </c>
      <c r="J9" s="305">
        <f t="shared" si="2"/>
        <v>18790</v>
      </c>
    </row>
    <row r="10">
      <c r="A10" s="294">
        <v>50.0</v>
      </c>
      <c r="B10" s="306" t="s">
        <v>181</v>
      </c>
      <c r="C10" s="296">
        <v>1.0</v>
      </c>
      <c r="D10" s="297">
        <v>9.0</v>
      </c>
      <c r="E10" s="296">
        <f>6752+2600</f>
        <v>9352</v>
      </c>
      <c r="F10" s="297">
        <v>1.0</v>
      </c>
      <c r="G10" s="297">
        <f t="shared" si="1"/>
        <v>9352</v>
      </c>
      <c r="H10" s="298">
        <f>'План БДР'!$B$9</f>
        <v>0</v>
      </c>
      <c r="I10" s="299">
        <f>'Планообразующие услуги'!$G10+('Планообразующие услуги'!$G10*'Планообразующие услуги'!$H10)</f>
        <v>9352</v>
      </c>
      <c r="J10" s="299">
        <f t="shared" si="2"/>
        <v>9352</v>
      </c>
    </row>
    <row r="11">
      <c r="A11" s="301">
        <v>50.0</v>
      </c>
      <c r="B11" s="306" t="s">
        <v>182</v>
      </c>
      <c r="C11" s="302">
        <v>1.0</v>
      </c>
      <c r="D11" s="303">
        <v>10.0</v>
      </c>
      <c r="E11" s="296">
        <f>7082.85+3650</f>
        <v>10732.85</v>
      </c>
      <c r="F11" s="303">
        <v>1.0</v>
      </c>
      <c r="G11" s="297">
        <f t="shared" si="1"/>
        <v>10732.85</v>
      </c>
      <c r="H11" s="304">
        <f>'План БДР'!$B$9</f>
        <v>0</v>
      </c>
      <c r="I11" s="305">
        <f>'Планообразующие услуги'!$G11+('Планообразующие услуги'!$G11*'Планообразующие услуги'!$H11)</f>
        <v>10732.85</v>
      </c>
      <c r="J11" s="305">
        <f t="shared" si="2"/>
        <v>10732.85</v>
      </c>
    </row>
    <row r="12">
      <c r="A12" s="294">
        <v>50.0</v>
      </c>
      <c r="B12" s="306" t="s">
        <v>182</v>
      </c>
      <c r="C12" s="296">
        <v>1.0</v>
      </c>
      <c r="D12" s="297">
        <v>11.0</v>
      </c>
      <c r="E12" s="296">
        <f>29600+4900</f>
        <v>34500</v>
      </c>
      <c r="F12" s="297">
        <v>1.0</v>
      </c>
      <c r="G12" s="297">
        <f t="shared" si="1"/>
        <v>34500</v>
      </c>
      <c r="H12" s="298">
        <f>'План БДР'!$B$9</f>
        <v>0</v>
      </c>
      <c r="I12" s="299">
        <f>'Планообразующие услуги'!$G12+('Планообразующие услуги'!$G12*'Планообразующие услуги'!$H12)</f>
        <v>34500</v>
      </c>
      <c r="J12" s="299">
        <f t="shared" si="2"/>
        <v>34500</v>
      </c>
    </row>
    <row r="13">
      <c r="A13" s="301">
        <v>50.0</v>
      </c>
      <c r="B13" s="306"/>
      <c r="C13" s="302"/>
      <c r="D13" s="303"/>
      <c r="E13" s="296"/>
      <c r="F13" s="303">
        <v>1.0</v>
      </c>
      <c r="G13" s="297">
        <f t="shared" si="1"/>
        <v>0</v>
      </c>
      <c r="H13" s="304">
        <f>'План БДР'!$B$9</f>
        <v>0</v>
      </c>
      <c r="I13" s="305">
        <f>'Планообразующие услуги'!$G13+('Планообразующие услуги'!$G13*'Планообразующие услуги'!$H13)</f>
        <v>0</v>
      </c>
      <c r="J13" s="305">
        <f t="shared" si="2"/>
        <v>0</v>
      </c>
    </row>
    <row r="14">
      <c r="A14" s="294">
        <v>50.0</v>
      </c>
      <c r="B14" s="306" t="s">
        <v>183</v>
      </c>
      <c r="C14" s="296">
        <v>1.0</v>
      </c>
      <c r="D14" s="297">
        <v>13.0</v>
      </c>
      <c r="E14" s="296">
        <v>13890.0</v>
      </c>
      <c r="F14" s="297">
        <v>1.0</v>
      </c>
      <c r="G14" s="297">
        <f t="shared" si="1"/>
        <v>13890</v>
      </c>
      <c r="H14" s="298">
        <f>'План БДР'!$B$9</f>
        <v>0</v>
      </c>
      <c r="I14" s="299">
        <f>'Планообразующие услуги'!$G14+('Планообразующие услуги'!$G14*'Планообразующие услуги'!$H14)</f>
        <v>13890</v>
      </c>
      <c r="J14" s="299">
        <f t="shared" si="2"/>
        <v>13890</v>
      </c>
    </row>
    <row r="15">
      <c r="A15" s="301">
        <v>50.0</v>
      </c>
      <c r="B15" s="306" t="s">
        <v>184</v>
      </c>
      <c r="C15" s="302">
        <v>1.0</v>
      </c>
      <c r="D15" s="303">
        <v>14.0</v>
      </c>
      <c r="E15" s="296">
        <v>6753.0</v>
      </c>
      <c r="F15" s="303">
        <v>1.0</v>
      </c>
      <c r="G15" s="297">
        <f t="shared" si="1"/>
        <v>6753</v>
      </c>
      <c r="H15" s="304">
        <f>'План БДР'!$B$9</f>
        <v>0</v>
      </c>
      <c r="I15" s="305">
        <f>'Планообразующие услуги'!$G15+('Планообразующие услуги'!$G15*'Планообразующие услуги'!$H15)</f>
        <v>6753</v>
      </c>
      <c r="J15" s="305">
        <f t="shared" si="2"/>
        <v>6753</v>
      </c>
    </row>
    <row r="16">
      <c r="A16" s="294">
        <v>50.0</v>
      </c>
      <c r="B16" s="306" t="s">
        <v>185</v>
      </c>
      <c r="C16" s="296">
        <v>1.0</v>
      </c>
      <c r="D16" s="297">
        <v>15.0</v>
      </c>
      <c r="E16" s="296">
        <v>7083.0</v>
      </c>
      <c r="F16" s="297">
        <v>1.0</v>
      </c>
      <c r="G16" s="297">
        <f t="shared" si="1"/>
        <v>7083</v>
      </c>
      <c r="H16" s="298">
        <f>'План БДР'!$B$9</f>
        <v>0</v>
      </c>
      <c r="I16" s="299">
        <f>'Планообразующие услуги'!$G16+('Планообразующие услуги'!$G16*'Планообразующие услуги'!$H16)</f>
        <v>7083</v>
      </c>
      <c r="J16" s="299">
        <f t="shared" si="2"/>
        <v>7083</v>
      </c>
    </row>
    <row r="17">
      <c r="A17" s="301">
        <v>50.0</v>
      </c>
      <c r="B17" s="306" t="s">
        <v>186</v>
      </c>
      <c r="C17" s="302">
        <v>1.0</v>
      </c>
      <c r="D17" s="303">
        <v>16.0</v>
      </c>
      <c r="E17" s="296">
        <v>29600.0</v>
      </c>
      <c r="F17" s="303">
        <v>1.0</v>
      </c>
      <c r="G17" s="297">
        <f t="shared" si="1"/>
        <v>29600</v>
      </c>
      <c r="H17" s="304">
        <f>'План БДР'!$B$9</f>
        <v>0</v>
      </c>
      <c r="I17" s="305">
        <f>'Планообразующие услуги'!$G17+('Планообразующие услуги'!$G17*'Планообразующие услуги'!$H17)</f>
        <v>29600</v>
      </c>
      <c r="J17" s="305">
        <f t="shared" si="2"/>
        <v>29600</v>
      </c>
    </row>
    <row r="18">
      <c r="A18" s="294">
        <v>50.0</v>
      </c>
      <c r="B18" s="306" t="s">
        <v>187</v>
      </c>
      <c r="C18" s="296">
        <v>1.0</v>
      </c>
      <c r="D18" s="297">
        <v>17.0</v>
      </c>
      <c r="E18" s="296">
        <v>2800.0</v>
      </c>
      <c r="F18" s="297">
        <v>1.0</v>
      </c>
      <c r="G18" s="297">
        <f t="shared" si="1"/>
        <v>2800</v>
      </c>
      <c r="H18" s="298">
        <f>'План БДР'!$B$9</f>
        <v>0</v>
      </c>
      <c r="I18" s="299">
        <f>'Планообразующие услуги'!$G18+('Планообразующие услуги'!$G18*'Планообразующие услуги'!$H18)</f>
        <v>2800</v>
      </c>
      <c r="J18" s="299">
        <f t="shared" si="2"/>
        <v>2800</v>
      </c>
    </row>
    <row r="19">
      <c r="A19" s="301">
        <v>50.0</v>
      </c>
      <c r="B19" s="306" t="s">
        <v>188</v>
      </c>
      <c r="C19" s="302">
        <v>1.0</v>
      </c>
      <c r="D19" s="303">
        <v>18.0</v>
      </c>
      <c r="E19" s="296">
        <v>7000.0</v>
      </c>
      <c r="F19" s="303">
        <v>1.0</v>
      </c>
      <c r="G19" s="297">
        <f t="shared" si="1"/>
        <v>7000</v>
      </c>
      <c r="H19" s="304">
        <f>'План БДР'!$B$9</f>
        <v>0</v>
      </c>
      <c r="I19" s="305">
        <f>'Планообразующие услуги'!$G19+('Планообразующие услуги'!$G19*'Планообразующие услуги'!$H19)</f>
        <v>7000</v>
      </c>
      <c r="J19" s="305">
        <f t="shared" si="2"/>
        <v>7000</v>
      </c>
    </row>
    <row r="20">
      <c r="A20" s="294">
        <v>50.0</v>
      </c>
      <c r="B20" s="306"/>
      <c r="C20" s="296">
        <v>1.0</v>
      </c>
      <c r="D20" s="297">
        <v>19.0</v>
      </c>
      <c r="E20" s="296"/>
      <c r="F20" s="297">
        <v>1.0</v>
      </c>
      <c r="G20" s="297">
        <f t="shared" si="1"/>
        <v>0</v>
      </c>
      <c r="H20" s="298">
        <f>'План БДР'!$B$9</f>
        <v>0</v>
      </c>
      <c r="I20" s="299">
        <f>'Планообразующие услуги'!$G20+('Планообразующие услуги'!$G20*'Планообразующие услуги'!$H20)</f>
        <v>0</v>
      </c>
      <c r="J20" s="299">
        <f t="shared" si="2"/>
        <v>0</v>
      </c>
    </row>
    <row r="21" ht="15.75" customHeight="1">
      <c r="A21" s="301">
        <v>50.0</v>
      </c>
      <c r="B21" s="307" t="s">
        <v>189</v>
      </c>
      <c r="C21" s="302">
        <v>1.0</v>
      </c>
      <c r="D21" s="303">
        <v>20.0</v>
      </c>
      <c r="E21" s="296">
        <f> 340795/20</f>
        <v>17039.75</v>
      </c>
      <c r="F21" s="303">
        <v>1.0</v>
      </c>
      <c r="G21" s="297">
        <f t="shared" si="1"/>
        <v>17039.75</v>
      </c>
      <c r="H21" s="304">
        <f>'План БДР'!$B$9</f>
        <v>0</v>
      </c>
      <c r="I21" s="305">
        <f>'Планообразующие услуги'!$G21+('Планообразующие услуги'!$G21*'Планообразующие услуги'!$H21)</f>
        <v>17039.75</v>
      </c>
      <c r="J21" s="305">
        <f t="shared" si="2"/>
        <v>17039.75</v>
      </c>
    </row>
    <row r="22" ht="15.75" customHeight="1">
      <c r="A22" s="294">
        <v>50.0</v>
      </c>
      <c r="B22" s="307" t="s">
        <v>189</v>
      </c>
      <c r="C22" s="296">
        <v>1.0</v>
      </c>
      <c r="D22" s="297">
        <v>21.0</v>
      </c>
      <c r="E22" s="296">
        <v>29600.0</v>
      </c>
      <c r="F22" s="297">
        <v>1.0</v>
      </c>
      <c r="G22" s="297">
        <f t="shared" si="1"/>
        <v>29600</v>
      </c>
      <c r="H22" s="298">
        <f>'План БДР'!$B$9</f>
        <v>0</v>
      </c>
      <c r="I22" s="299">
        <f>'Планообразующие услуги'!$G22+('Планообразующие услуги'!$G22*'Планообразующие услуги'!$H22)</f>
        <v>29600</v>
      </c>
      <c r="J22" s="299">
        <f t="shared" si="2"/>
        <v>29600</v>
      </c>
    </row>
    <row r="23" ht="15.75" customHeight="1">
      <c r="A23" s="301">
        <v>75.0</v>
      </c>
      <c r="B23" s="307" t="s">
        <v>189</v>
      </c>
      <c r="C23" s="302">
        <v>1.0</v>
      </c>
      <c r="D23" s="303">
        <v>22.0</v>
      </c>
      <c r="E23" s="296">
        <f>472244.5/20</f>
        <v>23612.225</v>
      </c>
      <c r="F23" s="303">
        <v>1.0</v>
      </c>
      <c r="G23" s="297">
        <f t="shared" si="1"/>
        <v>23612.225</v>
      </c>
      <c r="H23" s="304">
        <f>'План БДР'!$B$9</f>
        <v>0</v>
      </c>
      <c r="I23" s="305">
        <f>'Планообразующие услуги'!$G23+('Планообразующие услуги'!$G23*'Планообразующие услуги'!$H23)</f>
        <v>23612.225</v>
      </c>
      <c r="J23" s="305">
        <f t="shared" si="2"/>
        <v>23612.225</v>
      </c>
    </row>
    <row r="24" ht="15.75" customHeight="1">
      <c r="A24" s="294">
        <v>75.0</v>
      </c>
      <c r="B24" s="307" t="s">
        <v>189</v>
      </c>
      <c r="C24" s="296">
        <v>1.0</v>
      </c>
      <c r="D24" s="297">
        <v>23.0</v>
      </c>
      <c r="E24" s="296">
        <v>6752.0</v>
      </c>
      <c r="F24" s="297">
        <v>1.0</v>
      </c>
      <c r="G24" s="297">
        <f t="shared" si="1"/>
        <v>6752</v>
      </c>
      <c r="H24" s="298">
        <f>'План БДР'!$B$9</f>
        <v>0</v>
      </c>
      <c r="I24" s="299">
        <f>'Планообразующие услуги'!$G24+('Планообразующие услуги'!$G24*'Планообразующие услуги'!$H24)</f>
        <v>6752</v>
      </c>
      <c r="J24" s="299">
        <f t="shared" si="2"/>
        <v>6752</v>
      </c>
    </row>
    <row r="25" ht="15.75" customHeight="1">
      <c r="A25" s="301">
        <v>75.0</v>
      </c>
      <c r="B25" s="307" t="s">
        <v>189</v>
      </c>
      <c r="C25" s="302">
        <v>1.0</v>
      </c>
      <c r="D25" s="303">
        <v>24.0</v>
      </c>
      <c r="E25" s="296">
        <v>7082.85</v>
      </c>
      <c r="F25" s="303">
        <v>1.0</v>
      </c>
      <c r="G25" s="297">
        <f t="shared" si="1"/>
        <v>7082.85</v>
      </c>
      <c r="H25" s="304">
        <f>'План БДР'!$B$9</f>
        <v>0</v>
      </c>
      <c r="I25" s="305">
        <f>'Планообразующие услуги'!$G25+('Планообразующие услуги'!$G25*'Планообразующие услуги'!$H25)</f>
        <v>7082.85</v>
      </c>
      <c r="J25" s="305">
        <f t="shared" si="2"/>
        <v>7082.85</v>
      </c>
    </row>
    <row r="26" ht="15.75" customHeight="1">
      <c r="A26" s="294">
        <v>75.0</v>
      </c>
      <c r="B26" s="307"/>
      <c r="C26" s="296">
        <v>1.0</v>
      </c>
      <c r="D26" s="297">
        <v>25.0</v>
      </c>
      <c r="E26" s="296"/>
      <c r="F26" s="297">
        <v>1.0</v>
      </c>
      <c r="G26" s="297">
        <f t="shared" si="1"/>
        <v>0</v>
      </c>
      <c r="H26" s="298">
        <f>'План БДР'!$B$9</f>
        <v>0</v>
      </c>
      <c r="I26" s="299">
        <f>'Планообразующие услуги'!$G26+('Планообразующие услуги'!$G26*'Планообразующие услуги'!$H26)</f>
        <v>0</v>
      </c>
      <c r="J26" s="299">
        <f t="shared" si="2"/>
        <v>0</v>
      </c>
    </row>
    <row r="27" ht="15.75" customHeight="1">
      <c r="A27" s="301">
        <v>75.0</v>
      </c>
      <c r="B27" s="307" t="s">
        <v>190</v>
      </c>
      <c r="C27" s="302">
        <v>1.0</v>
      </c>
      <c r="D27" s="303">
        <v>26.0</v>
      </c>
      <c r="E27" s="296">
        <v>24000.0</v>
      </c>
      <c r="F27" s="303">
        <v>1.0</v>
      </c>
      <c r="G27" s="297">
        <f t="shared" si="1"/>
        <v>24000</v>
      </c>
      <c r="H27" s="304">
        <f>'План БДР'!$B$9</f>
        <v>0</v>
      </c>
      <c r="I27" s="305">
        <f>'Планообразующие услуги'!$G27+('Планообразующие услуги'!$G27*'Планообразующие услуги'!$H27)</f>
        <v>24000</v>
      </c>
      <c r="J27" s="305">
        <f t="shared" si="2"/>
        <v>24000</v>
      </c>
    </row>
    <row r="28" ht="15.75" customHeight="1">
      <c r="A28" s="294">
        <v>75.0</v>
      </c>
      <c r="B28" s="307" t="s">
        <v>191</v>
      </c>
      <c r="C28" s="296">
        <v>1.0</v>
      </c>
      <c r="D28" s="297">
        <v>27.0</v>
      </c>
      <c r="E28" s="296">
        <v>12000.0</v>
      </c>
      <c r="F28" s="297">
        <v>1.0</v>
      </c>
      <c r="G28" s="297">
        <f t="shared" si="1"/>
        <v>12000</v>
      </c>
      <c r="H28" s="298">
        <f>'План БДР'!$B$9</f>
        <v>0</v>
      </c>
      <c r="I28" s="299">
        <f>'Планообразующие услуги'!$G28+('Планообразующие услуги'!$G28*'Планообразующие услуги'!$H28)</f>
        <v>12000</v>
      </c>
      <c r="J28" s="299">
        <f t="shared" si="2"/>
        <v>12000</v>
      </c>
    </row>
    <row r="29" ht="15.75" customHeight="1">
      <c r="A29" s="301">
        <v>75.0</v>
      </c>
      <c r="B29" s="307" t="s">
        <v>192</v>
      </c>
      <c r="C29" s="302">
        <v>1.0</v>
      </c>
      <c r="D29" s="303">
        <v>28.0</v>
      </c>
      <c r="E29" s="308">
        <v>16231.0</v>
      </c>
      <c r="F29" s="303">
        <v>1.0</v>
      </c>
      <c r="G29" s="297">
        <f t="shared" ref="G29:G31" si="3">E30*C29</f>
        <v>6975</v>
      </c>
      <c r="H29" s="304">
        <f>'План БДР'!$B$9</f>
        <v>0</v>
      </c>
      <c r="I29" s="305">
        <f>'Планообразующие услуги'!$G29+('Планообразующие услуги'!$G29*'Планообразующие услуги'!$H29)</f>
        <v>6975</v>
      </c>
      <c r="J29" s="305">
        <f t="shared" si="2"/>
        <v>6975</v>
      </c>
    </row>
    <row r="30" ht="15.75" customHeight="1">
      <c r="A30" s="294">
        <v>75.0</v>
      </c>
      <c r="B30" s="307" t="s">
        <v>193</v>
      </c>
      <c r="C30" s="296">
        <v>1.0</v>
      </c>
      <c r="D30" s="297">
        <v>29.0</v>
      </c>
      <c r="E30" s="296">
        <v>6975.0</v>
      </c>
      <c r="F30" s="297">
        <v>1.0</v>
      </c>
      <c r="G30" s="297">
        <f t="shared" si="3"/>
        <v>3595</v>
      </c>
      <c r="H30" s="298">
        <f>'План БДР'!$B$9</f>
        <v>0</v>
      </c>
      <c r="I30" s="299">
        <f>'Планообразующие услуги'!$G30+('Планообразующие услуги'!$G30*'Планообразующие услуги'!$H30)</f>
        <v>3595</v>
      </c>
      <c r="J30" s="299">
        <f t="shared" si="2"/>
        <v>3595</v>
      </c>
    </row>
    <row r="31" ht="15.75" customHeight="1">
      <c r="A31" s="301">
        <v>75.0</v>
      </c>
      <c r="B31" s="307" t="s">
        <v>194</v>
      </c>
      <c r="C31" s="302">
        <v>1.0</v>
      </c>
      <c r="D31" s="303">
        <v>30.0</v>
      </c>
      <c r="E31" s="296">
        <v>3595.0</v>
      </c>
      <c r="F31" s="303">
        <v>1.0</v>
      </c>
      <c r="G31" s="297">
        <f t="shared" si="3"/>
        <v>5855.4</v>
      </c>
      <c r="H31" s="304">
        <f>'План БДР'!$B$9</f>
        <v>0</v>
      </c>
      <c r="I31" s="305">
        <f>'Планообразующие услуги'!$G31+('Планообразующие услуги'!$G31*'Планообразующие услуги'!$H31)</f>
        <v>5855.4</v>
      </c>
      <c r="J31" s="305">
        <f t="shared" si="2"/>
        <v>5855.4</v>
      </c>
    </row>
    <row r="32" ht="15.75" customHeight="1">
      <c r="A32" s="294">
        <v>75.0</v>
      </c>
      <c r="B32" s="307" t="s">
        <v>195</v>
      </c>
      <c r="C32" s="296">
        <v>1.0</v>
      </c>
      <c r="D32" s="297">
        <v>31.0</v>
      </c>
      <c r="E32" s="296">
        <f>9759*0.6</f>
        <v>5855.4</v>
      </c>
      <c r="F32" s="297">
        <v>1.0</v>
      </c>
      <c r="G32" s="297">
        <f t="shared" ref="G32:G132" si="4">E32*C32</f>
        <v>5855.4</v>
      </c>
      <c r="H32" s="298">
        <f>'План БДР'!$B$9</f>
        <v>0</v>
      </c>
      <c r="I32" s="299">
        <f>'Планообразующие услуги'!$G32+('Планообразующие услуги'!$G32*'Планообразующие услуги'!$H32)</f>
        <v>5855.4</v>
      </c>
      <c r="J32" s="299">
        <f t="shared" si="2"/>
        <v>5855.4</v>
      </c>
    </row>
    <row r="33" ht="15.75" customHeight="1">
      <c r="A33" s="301">
        <v>75.0</v>
      </c>
      <c r="B33" s="307" t="s">
        <v>196</v>
      </c>
      <c r="C33" s="302">
        <v>1.0</v>
      </c>
      <c r="D33" s="303">
        <v>32.0</v>
      </c>
      <c r="E33" s="296">
        <v>25952.0</v>
      </c>
      <c r="F33" s="303">
        <v>1.0</v>
      </c>
      <c r="G33" s="297">
        <f t="shared" si="4"/>
        <v>25952</v>
      </c>
      <c r="H33" s="304">
        <f>'План БДР'!$B$9</f>
        <v>0</v>
      </c>
      <c r="I33" s="305">
        <f>'Планообразующие услуги'!$G33+('Планообразующие услуги'!$G33*'Планообразующие услуги'!$H33)</f>
        <v>25952</v>
      </c>
      <c r="J33" s="305">
        <f t="shared" si="2"/>
        <v>25952</v>
      </c>
    </row>
    <row r="34" ht="15.75" customHeight="1">
      <c r="A34" s="294">
        <v>75.0</v>
      </c>
      <c r="B34" s="307" t="s">
        <v>197</v>
      </c>
      <c r="C34" s="296">
        <v>1.0</v>
      </c>
      <c r="D34" s="297">
        <v>33.0</v>
      </c>
      <c r="E34" s="296">
        <v>29908.46</v>
      </c>
      <c r="F34" s="297">
        <v>1.0</v>
      </c>
      <c r="G34" s="297">
        <f t="shared" si="4"/>
        <v>29908.46</v>
      </c>
      <c r="H34" s="298">
        <f>'План БДР'!$B$9</f>
        <v>0</v>
      </c>
      <c r="I34" s="299">
        <f>'Планообразующие услуги'!$G34+('Планообразующие услуги'!$G34*'Планообразующие услуги'!$H34)</f>
        <v>29908.46</v>
      </c>
      <c r="J34" s="299">
        <f t="shared" si="2"/>
        <v>29908.46</v>
      </c>
    </row>
    <row r="35" ht="15.75" customHeight="1">
      <c r="A35" s="301">
        <v>75.0</v>
      </c>
      <c r="B35" s="307" t="s">
        <v>198</v>
      </c>
      <c r="C35" s="302">
        <v>1.0</v>
      </c>
      <c r="D35" s="303">
        <v>34.0</v>
      </c>
      <c r="E35" s="296">
        <v>13890.0</v>
      </c>
      <c r="F35" s="303">
        <v>1.0</v>
      </c>
      <c r="G35" s="297">
        <f t="shared" si="4"/>
        <v>13890</v>
      </c>
      <c r="H35" s="304">
        <f>'План БДР'!$B$9</f>
        <v>0</v>
      </c>
      <c r="I35" s="305">
        <f>'Планообразующие услуги'!$G35+('Планообразующие услуги'!$G35*'Планообразующие услуги'!$H35)</f>
        <v>13890</v>
      </c>
      <c r="J35" s="305">
        <f t="shared" si="2"/>
        <v>13890</v>
      </c>
    </row>
    <row r="36" ht="15.75" customHeight="1">
      <c r="A36" s="294">
        <v>75.0</v>
      </c>
      <c r="B36" s="307" t="s">
        <v>199</v>
      </c>
      <c r="C36" s="296">
        <v>1.0</v>
      </c>
      <c r="D36" s="297">
        <v>35.0</v>
      </c>
      <c r="E36" s="296">
        <v>13890.0</v>
      </c>
      <c r="F36" s="297">
        <v>1.0</v>
      </c>
      <c r="G36" s="297">
        <f t="shared" si="4"/>
        <v>13890</v>
      </c>
      <c r="H36" s="298">
        <f>'План БДР'!$B$9</f>
        <v>0</v>
      </c>
      <c r="I36" s="299">
        <f>'Планообразующие услуги'!$G36+('Планообразующие услуги'!$G36*'Планообразующие услуги'!$H36)</f>
        <v>13890</v>
      </c>
      <c r="J36" s="299">
        <f t="shared" si="2"/>
        <v>13890</v>
      </c>
    </row>
    <row r="37" ht="15.75" customHeight="1">
      <c r="A37" s="301">
        <v>75.0</v>
      </c>
      <c r="B37" s="307" t="s">
        <v>200</v>
      </c>
      <c r="C37" s="302">
        <v>1.0</v>
      </c>
      <c r="D37" s="303">
        <v>36.0</v>
      </c>
      <c r="E37" s="296">
        <f>E36*0.5</f>
        <v>6945</v>
      </c>
      <c r="F37" s="303">
        <v>1.0</v>
      </c>
      <c r="G37" s="297">
        <f t="shared" si="4"/>
        <v>6945</v>
      </c>
      <c r="H37" s="304">
        <f>'План БДР'!$B$9</f>
        <v>0</v>
      </c>
      <c r="I37" s="305">
        <f>'Планообразующие услуги'!$G37+('Планообразующие услуги'!$G37*'Планообразующие услуги'!$H37)</f>
        <v>6945</v>
      </c>
      <c r="J37" s="305">
        <f t="shared" si="2"/>
        <v>6945</v>
      </c>
    </row>
    <row r="38" ht="15.75" customHeight="1">
      <c r="A38" s="294">
        <v>75.0</v>
      </c>
      <c r="B38" s="307" t="s">
        <v>201</v>
      </c>
      <c r="C38" s="296">
        <v>1.0</v>
      </c>
      <c r="D38" s="297">
        <v>37.0</v>
      </c>
      <c r="E38" s="296">
        <v>12817.91</v>
      </c>
      <c r="F38" s="297">
        <v>1.0</v>
      </c>
      <c r="G38" s="297">
        <f t="shared" si="4"/>
        <v>12817.91</v>
      </c>
      <c r="H38" s="298">
        <f>'План БДР'!$B$9</f>
        <v>0</v>
      </c>
      <c r="I38" s="299">
        <f>'Планообразующие услуги'!$G38+('Планообразующие услуги'!$G38*'Планообразующие услуги'!$H38)</f>
        <v>12817.91</v>
      </c>
      <c r="J38" s="299">
        <f t="shared" si="2"/>
        <v>12817.91</v>
      </c>
    </row>
    <row r="39" ht="15.75" customHeight="1">
      <c r="A39" s="301">
        <v>75.0</v>
      </c>
      <c r="B39" s="306" t="s">
        <v>202</v>
      </c>
      <c r="C39" s="302">
        <v>1.0</v>
      </c>
      <c r="D39" s="303">
        <v>38.0</v>
      </c>
      <c r="E39" s="296">
        <v>18886.32</v>
      </c>
      <c r="F39" s="303">
        <v>1.0</v>
      </c>
      <c r="G39" s="297">
        <f t="shared" si="4"/>
        <v>18886.32</v>
      </c>
      <c r="H39" s="304">
        <f>'План БДР'!$B$9</f>
        <v>0</v>
      </c>
      <c r="I39" s="305">
        <f>'Планообразующие услуги'!$G39+('Планообразующие услуги'!$G39*'Планообразующие услуги'!$H39)</f>
        <v>18886.32</v>
      </c>
      <c r="J39" s="305">
        <f t="shared" si="2"/>
        <v>18886.32</v>
      </c>
    </row>
    <row r="40" ht="15.75" customHeight="1">
      <c r="A40" s="294">
        <v>75.0</v>
      </c>
      <c r="B40" s="295" t="s">
        <v>203</v>
      </c>
      <c r="C40" s="296">
        <v>1.0</v>
      </c>
      <c r="D40" s="297">
        <v>39.0</v>
      </c>
      <c r="E40" s="296">
        <f>E35*0.5</f>
        <v>6945</v>
      </c>
      <c r="F40" s="297">
        <v>1.0</v>
      </c>
      <c r="G40" s="297">
        <f t="shared" si="4"/>
        <v>6945</v>
      </c>
      <c r="H40" s="298">
        <f>'План БДР'!$B$9</f>
        <v>0</v>
      </c>
      <c r="I40" s="299">
        <f>'Планообразующие услуги'!$G40+('Планообразующие услуги'!$G40*'Планообразующие услуги'!$H40)</f>
        <v>6945</v>
      </c>
      <c r="J40" s="299">
        <f t="shared" si="2"/>
        <v>6945</v>
      </c>
    </row>
    <row r="41" ht="15.75" customHeight="1">
      <c r="A41" s="301">
        <v>75.0</v>
      </c>
      <c r="B41" s="301"/>
      <c r="C41" s="302">
        <v>1.0</v>
      </c>
      <c r="D41" s="303">
        <v>40.0</v>
      </c>
      <c r="E41" s="296"/>
      <c r="F41" s="303">
        <v>1.0</v>
      </c>
      <c r="G41" s="297">
        <f t="shared" si="4"/>
        <v>0</v>
      </c>
      <c r="H41" s="304">
        <f>'План БДР'!$B$9</f>
        <v>0</v>
      </c>
      <c r="I41" s="305">
        <f>'Планообразующие услуги'!$G41+('Планообразующие услуги'!$G41*'Планообразующие услуги'!$H41)</f>
        <v>0</v>
      </c>
      <c r="J41" s="305">
        <f t="shared" si="2"/>
        <v>0</v>
      </c>
    </row>
    <row r="42" ht="15.75" customHeight="1">
      <c r="A42" s="294">
        <v>75.0</v>
      </c>
      <c r="B42" s="295" t="s">
        <v>204</v>
      </c>
      <c r="C42" s="296">
        <v>1.0</v>
      </c>
      <c r="D42" s="297">
        <v>41.0</v>
      </c>
      <c r="E42" s="296">
        <v>5500.0</v>
      </c>
      <c r="F42" s="297">
        <v>1.0</v>
      </c>
      <c r="G42" s="297">
        <f t="shared" si="4"/>
        <v>5500</v>
      </c>
      <c r="H42" s="298">
        <f>'План БДР'!$B$9</f>
        <v>0</v>
      </c>
      <c r="I42" s="299">
        <f>'Планообразующие услуги'!$G42+('Планообразующие услуги'!$G42*'Планообразующие услуги'!$H42)</f>
        <v>5500</v>
      </c>
      <c r="J42" s="299">
        <f t="shared" si="2"/>
        <v>5500</v>
      </c>
    </row>
    <row r="43" ht="15.75" customHeight="1">
      <c r="A43" s="301">
        <v>75.0</v>
      </c>
      <c r="B43" s="295" t="s">
        <v>205</v>
      </c>
      <c r="C43" s="302">
        <v>1.0</v>
      </c>
      <c r="D43" s="303">
        <v>42.0</v>
      </c>
      <c r="E43" s="296">
        <v>14500.0</v>
      </c>
      <c r="F43" s="303">
        <v>1.0</v>
      </c>
      <c r="G43" s="297">
        <f t="shared" si="4"/>
        <v>14500</v>
      </c>
      <c r="H43" s="304">
        <f>'План БДР'!$B$9</f>
        <v>0</v>
      </c>
      <c r="I43" s="305">
        <f>'Планообразующие услуги'!$G43+('Планообразующие услуги'!$G43*'Планообразующие услуги'!$H43)</f>
        <v>14500</v>
      </c>
      <c r="J43" s="305">
        <f t="shared" si="2"/>
        <v>14500</v>
      </c>
    </row>
    <row r="44" ht="15.75" customHeight="1">
      <c r="A44" s="294">
        <v>100.0</v>
      </c>
      <c r="B44" s="295" t="s">
        <v>206</v>
      </c>
      <c r="C44" s="296">
        <v>3.0</v>
      </c>
      <c r="D44" s="297">
        <v>43.0</v>
      </c>
      <c r="E44" s="296">
        <v>1200.0</v>
      </c>
      <c r="F44" s="297">
        <v>1.0</v>
      </c>
      <c r="G44" s="297">
        <f t="shared" si="4"/>
        <v>3600</v>
      </c>
      <c r="H44" s="298">
        <f>'План БДР'!$B$9</f>
        <v>0</v>
      </c>
      <c r="I44" s="299">
        <f>'Планообразующие услуги'!$G44+('Планообразующие услуги'!$G44*'Планообразующие услуги'!$H44)</f>
        <v>3600</v>
      </c>
      <c r="J44" s="299">
        <f t="shared" si="2"/>
        <v>3600</v>
      </c>
    </row>
    <row r="45" ht="15.75" customHeight="1">
      <c r="A45" s="301">
        <v>100.0</v>
      </c>
      <c r="B45" s="295" t="s">
        <v>206</v>
      </c>
      <c r="C45" s="302">
        <v>4.0</v>
      </c>
      <c r="D45" s="303">
        <v>44.0</v>
      </c>
      <c r="E45" s="296">
        <v>1200.0</v>
      </c>
      <c r="F45" s="303">
        <v>1.0</v>
      </c>
      <c r="G45" s="297">
        <f t="shared" si="4"/>
        <v>4800</v>
      </c>
      <c r="H45" s="298">
        <f>'План БДР'!$B$9</f>
        <v>0</v>
      </c>
      <c r="I45" s="299">
        <f>'Планообразующие услуги'!$G45+('Планообразующие услуги'!$G45*'Планообразующие услуги'!$H45)</f>
        <v>4800</v>
      </c>
      <c r="J45" s="299">
        <f t="shared" si="2"/>
        <v>4800</v>
      </c>
    </row>
    <row r="46" ht="15.75" customHeight="1">
      <c r="A46" s="301">
        <v>100.0</v>
      </c>
      <c r="B46" s="295" t="s">
        <v>206</v>
      </c>
      <c r="C46" s="296">
        <v>5.0</v>
      </c>
      <c r="D46" s="297">
        <v>45.0</v>
      </c>
      <c r="E46" s="296">
        <v>1500.0</v>
      </c>
      <c r="F46" s="303">
        <v>1.0</v>
      </c>
      <c r="G46" s="297">
        <f t="shared" si="4"/>
        <v>7500</v>
      </c>
      <c r="H46" s="298">
        <f>'План БДР'!$B$9</f>
        <v>0</v>
      </c>
      <c r="I46" s="299">
        <f>'Планообразующие услуги'!$G46+('Планообразующие услуги'!$G46*'Планообразующие услуги'!$H46)</f>
        <v>7500</v>
      </c>
      <c r="J46" s="299">
        <f t="shared" si="2"/>
        <v>7500</v>
      </c>
    </row>
    <row r="47" ht="15.75" customHeight="1">
      <c r="A47" s="301">
        <v>100.0</v>
      </c>
      <c r="B47" s="295" t="s">
        <v>206</v>
      </c>
      <c r="C47" s="296">
        <v>6.0</v>
      </c>
      <c r="D47" s="303">
        <v>46.0</v>
      </c>
      <c r="E47" s="296">
        <v>1500.0</v>
      </c>
      <c r="F47" s="303">
        <v>1.0</v>
      </c>
      <c r="G47" s="297">
        <f t="shared" si="4"/>
        <v>9000</v>
      </c>
      <c r="H47" s="298">
        <f>'План БДР'!$B$9</f>
        <v>0</v>
      </c>
      <c r="I47" s="299">
        <f>'Планообразующие услуги'!$G47+('Планообразующие услуги'!$G47*'Планообразующие услуги'!$H47)</f>
        <v>9000</v>
      </c>
      <c r="J47" s="299">
        <f t="shared" si="2"/>
        <v>9000</v>
      </c>
    </row>
    <row r="48" ht="15.75" customHeight="1">
      <c r="A48" s="301">
        <v>100.0</v>
      </c>
      <c r="B48" s="295" t="s">
        <v>206</v>
      </c>
      <c r="C48" s="296">
        <v>7.0</v>
      </c>
      <c r="D48" s="297">
        <v>47.0</v>
      </c>
      <c r="E48" s="296">
        <v>1500.0</v>
      </c>
      <c r="F48" s="303">
        <v>1.0</v>
      </c>
      <c r="G48" s="297">
        <f t="shared" si="4"/>
        <v>10500</v>
      </c>
      <c r="H48" s="298">
        <f>'План БДР'!$B$9</f>
        <v>0</v>
      </c>
      <c r="I48" s="299">
        <f>'Планообразующие услуги'!$G48+('Планообразующие услуги'!$G48*'Планообразующие услуги'!$H48)</f>
        <v>10500</v>
      </c>
      <c r="J48" s="299">
        <f t="shared" si="2"/>
        <v>10500</v>
      </c>
    </row>
    <row r="49" ht="15.75" customHeight="1">
      <c r="A49" s="301">
        <v>100.0</v>
      </c>
      <c r="B49" s="295" t="s">
        <v>206</v>
      </c>
      <c r="C49" s="296">
        <v>8.0</v>
      </c>
      <c r="D49" s="303">
        <v>48.0</v>
      </c>
      <c r="E49" s="296">
        <v>1500.0</v>
      </c>
      <c r="F49" s="303">
        <v>1.0</v>
      </c>
      <c r="G49" s="297">
        <f t="shared" si="4"/>
        <v>12000</v>
      </c>
      <c r="H49" s="298">
        <f>'План БДР'!$B$9</f>
        <v>0</v>
      </c>
      <c r="I49" s="299">
        <f>'Планообразующие услуги'!$G49+('Планообразующие услуги'!$G49*'Планообразующие услуги'!$H49)</f>
        <v>12000</v>
      </c>
      <c r="J49" s="299">
        <f t="shared" si="2"/>
        <v>12000</v>
      </c>
    </row>
    <row r="50" ht="15.75" customHeight="1">
      <c r="A50" s="301">
        <v>100.0</v>
      </c>
      <c r="B50" s="295" t="s">
        <v>206</v>
      </c>
      <c r="C50" s="296">
        <v>9.0</v>
      </c>
      <c r="D50" s="297">
        <v>49.0</v>
      </c>
      <c r="E50" s="296">
        <v>1500.0</v>
      </c>
      <c r="F50" s="303">
        <v>1.0</v>
      </c>
      <c r="G50" s="297">
        <f t="shared" si="4"/>
        <v>13500</v>
      </c>
      <c r="H50" s="298">
        <f>'План БДР'!$B$9</f>
        <v>0</v>
      </c>
      <c r="I50" s="299">
        <f>'Планообразующие услуги'!$G50+('Планообразующие услуги'!$G50*'Планообразующие услуги'!$H50)</f>
        <v>13500</v>
      </c>
      <c r="J50" s="299">
        <f t="shared" si="2"/>
        <v>13500</v>
      </c>
    </row>
    <row r="51" ht="15.75" customHeight="1">
      <c r="A51" s="301">
        <v>100.0</v>
      </c>
      <c r="B51" s="295"/>
      <c r="C51" s="296"/>
      <c r="D51" s="303">
        <v>50.0</v>
      </c>
      <c r="E51" s="296"/>
      <c r="F51" s="303">
        <v>1.0</v>
      </c>
      <c r="G51" s="297">
        <f t="shared" si="4"/>
        <v>0</v>
      </c>
      <c r="H51" s="298">
        <f>'План БДР'!$B$9</f>
        <v>0</v>
      </c>
      <c r="I51" s="299">
        <f>'Планообразующие услуги'!$G51+('Планообразующие услуги'!$G51*'Планообразующие услуги'!$H51)</f>
        <v>0</v>
      </c>
      <c r="J51" s="299">
        <f t="shared" si="2"/>
        <v>0</v>
      </c>
    </row>
    <row r="52" ht="15.75" customHeight="1">
      <c r="A52" s="301">
        <v>100.0</v>
      </c>
      <c r="B52" s="295"/>
      <c r="C52" s="296"/>
      <c r="D52" s="297">
        <v>51.0</v>
      </c>
      <c r="E52" s="296"/>
      <c r="F52" s="303">
        <v>1.0</v>
      </c>
      <c r="G52" s="297">
        <f t="shared" si="4"/>
        <v>0</v>
      </c>
      <c r="H52" s="298">
        <f>'План БДР'!$B$9</f>
        <v>0</v>
      </c>
      <c r="I52" s="299">
        <f>'Планообразующие услуги'!$G52+('Планообразующие услуги'!$G52*'Планообразующие услуги'!$H52)</f>
        <v>0</v>
      </c>
      <c r="J52" s="299">
        <f t="shared" si="2"/>
        <v>0</v>
      </c>
    </row>
    <row r="53" ht="15.75" customHeight="1">
      <c r="A53" s="294">
        <v>100.0</v>
      </c>
      <c r="B53" s="295" t="s">
        <v>207</v>
      </c>
      <c r="C53" s="296">
        <v>3.0</v>
      </c>
      <c r="D53" s="303">
        <v>52.0</v>
      </c>
      <c r="E53" s="296">
        <v>637.0</v>
      </c>
      <c r="F53" s="297">
        <v>1.0</v>
      </c>
      <c r="G53" s="297">
        <f t="shared" si="4"/>
        <v>1911</v>
      </c>
      <c r="H53" s="298">
        <f>'План БДР'!$B$9</f>
        <v>0</v>
      </c>
      <c r="I53" s="299">
        <f>'Планообразующие услуги'!$G53+('Планообразующие услуги'!$G53*'Планообразующие услуги'!$H53)</f>
        <v>1911</v>
      </c>
      <c r="J53" s="299">
        <f t="shared" si="2"/>
        <v>1911</v>
      </c>
    </row>
    <row r="54" ht="15.75" customHeight="1">
      <c r="A54" s="301">
        <v>100.0</v>
      </c>
      <c r="B54" s="295" t="s">
        <v>207</v>
      </c>
      <c r="C54" s="302">
        <v>4.0</v>
      </c>
      <c r="D54" s="297">
        <v>53.0</v>
      </c>
      <c r="E54" s="296">
        <v>637.0</v>
      </c>
      <c r="F54" s="303">
        <v>1.0</v>
      </c>
      <c r="G54" s="297">
        <f t="shared" si="4"/>
        <v>2548</v>
      </c>
      <c r="H54" s="304">
        <f>'План БДР'!$B$9</f>
        <v>0</v>
      </c>
      <c r="I54" s="305">
        <f>'Планообразующие услуги'!$G54+('Планообразующие услуги'!$G54*'Планообразующие услуги'!$H54)</f>
        <v>2548</v>
      </c>
      <c r="J54" s="305">
        <f t="shared" si="2"/>
        <v>2548</v>
      </c>
    </row>
    <row r="55" ht="15.75" customHeight="1">
      <c r="A55" s="294">
        <v>100.0</v>
      </c>
      <c r="B55" s="295" t="s">
        <v>207</v>
      </c>
      <c r="C55" s="296">
        <v>5.0</v>
      </c>
      <c r="D55" s="303">
        <v>54.0</v>
      </c>
      <c r="E55" s="296">
        <v>637.0</v>
      </c>
      <c r="F55" s="297">
        <v>1.0</v>
      </c>
      <c r="G55" s="297">
        <f t="shared" si="4"/>
        <v>3185</v>
      </c>
      <c r="H55" s="298">
        <f>'План БДР'!$B$9</f>
        <v>0</v>
      </c>
      <c r="I55" s="299">
        <f>'Планообразующие услуги'!$G55+('Планообразующие услуги'!$G55*'Планообразующие услуги'!$H55)</f>
        <v>3185</v>
      </c>
      <c r="J55" s="299">
        <f t="shared" si="2"/>
        <v>3185</v>
      </c>
    </row>
    <row r="56" ht="15.75" customHeight="1">
      <c r="A56" s="301">
        <v>100.0</v>
      </c>
      <c r="B56" s="295" t="s">
        <v>207</v>
      </c>
      <c r="C56" s="302">
        <v>6.0</v>
      </c>
      <c r="D56" s="297">
        <v>55.0</v>
      </c>
      <c r="E56" s="296">
        <v>637.0</v>
      </c>
      <c r="F56" s="303">
        <v>1.0</v>
      </c>
      <c r="G56" s="297">
        <f t="shared" si="4"/>
        <v>3822</v>
      </c>
      <c r="H56" s="304">
        <f>'План БДР'!$B$9</f>
        <v>0</v>
      </c>
      <c r="I56" s="305">
        <f>'Планообразующие услуги'!$G56+('Планообразующие услуги'!$G56*'Планообразующие услуги'!$H56)</f>
        <v>3822</v>
      </c>
      <c r="J56" s="305">
        <f t="shared" si="2"/>
        <v>3822</v>
      </c>
    </row>
    <row r="57" ht="15.75" customHeight="1">
      <c r="A57" s="294">
        <v>100.0</v>
      </c>
      <c r="B57" s="295" t="s">
        <v>207</v>
      </c>
      <c r="C57" s="296">
        <v>7.0</v>
      </c>
      <c r="D57" s="297">
        <v>56.0</v>
      </c>
      <c r="E57" s="296">
        <v>637.0</v>
      </c>
      <c r="F57" s="297">
        <v>1.0</v>
      </c>
      <c r="G57" s="297">
        <f t="shared" si="4"/>
        <v>4459</v>
      </c>
      <c r="H57" s="298">
        <f>'План БДР'!$B$9</f>
        <v>0</v>
      </c>
      <c r="I57" s="299">
        <f>'Планообразующие услуги'!$G57+('Планообразующие услуги'!$G57*'Планообразующие услуги'!$H57)</f>
        <v>4459</v>
      </c>
      <c r="J57" s="299">
        <f t="shared" si="2"/>
        <v>4459</v>
      </c>
    </row>
    <row r="58" ht="15.75" customHeight="1">
      <c r="A58" s="301">
        <v>100.0</v>
      </c>
      <c r="B58" s="295" t="s">
        <v>207</v>
      </c>
      <c r="C58" s="302">
        <v>8.0</v>
      </c>
      <c r="D58" s="303">
        <v>57.0</v>
      </c>
      <c r="E58" s="296">
        <v>637.0</v>
      </c>
      <c r="F58" s="303">
        <v>1.0</v>
      </c>
      <c r="G58" s="297">
        <f t="shared" si="4"/>
        <v>5096</v>
      </c>
      <c r="H58" s="304">
        <f>'План БДР'!$B$9</f>
        <v>0</v>
      </c>
      <c r="I58" s="305">
        <f>'Планообразующие услуги'!$G58+('Планообразующие услуги'!$G58*'Планообразующие услуги'!$H58)</f>
        <v>5096</v>
      </c>
      <c r="J58" s="305">
        <f t="shared" si="2"/>
        <v>5096</v>
      </c>
    </row>
    <row r="59" ht="15.75" customHeight="1">
      <c r="A59" s="294">
        <v>100.0</v>
      </c>
      <c r="B59" s="294"/>
      <c r="C59" s="296">
        <v>1.0</v>
      </c>
      <c r="D59" s="297">
        <v>58.0</v>
      </c>
      <c r="E59" s="296"/>
      <c r="F59" s="297">
        <v>1.0</v>
      </c>
      <c r="G59" s="297">
        <f t="shared" si="4"/>
        <v>0</v>
      </c>
      <c r="H59" s="298">
        <f>'План БДР'!$B$9</f>
        <v>0</v>
      </c>
      <c r="I59" s="299">
        <f>'Планообразующие услуги'!$G59+('Планообразующие услуги'!$G59*'Планообразующие услуги'!$H59)</f>
        <v>0</v>
      </c>
      <c r="J59" s="299">
        <f t="shared" si="2"/>
        <v>0</v>
      </c>
    </row>
    <row r="60" ht="15.75" customHeight="1">
      <c r="A60" s="301">
        <v>100.0</v>
      </c>
      <c r="B60" s="301"/>
      <c r="C60" s="302">
        <v>1.0</v>
      </c>
      <c r="D60" s="303">
        <v>59.0</v>
      </c>
      <c r="E60" s="296"/>
      <c r="F60" s="303">
        <v>1.0</v>
      </c>
      <c r="G60" s="297">
        <f t="shared" si="4"/>
        <v>0</v>
      </c>
      <c r="H60" s="304">
        <f>'План БДР'!$B$9</f>
        <v>0</v>
      </c>
      <c r="I60" s="305">
        <f>'Планообразующие услуги'!$G60+('Планообразующие услуги'!$G60*'Планообразующие услуги'!$H60)</f>
        <v>0</v>
      </c>
      <c r="J60" s="305">
        <f t="shared" si="2"/>
        <v>0</v>
      </c>
    </row>
    <row r="61" ht="15.75" customHeight="1">
      <c r="A61" s="294">
        <v>100.0</v>
      </c>
      <c r="B61" s="294"/>
      <c r="C61" s="296">
        <v>1.0</v>
      </c>
      <c r="D61" s="297">
        <v>60.0</v>
      </c>
      <c r="E61" s="296"/>
      <c r="F61" s="297">
        <v>1.0</v>
      </c>
      <c r="G61" s="297">
        <f t="shared" si="4"/>
        <v>0</v>
      </c>
      <c r="H61" s="298">
        <f>'План БДР'!$B$9</f>
        <v>0</v>
      </c>
      <c r="I61" s="299">
        <f>'Планообразующие услуги'!$G61+('Планообразующие услуги'!$G61*'Планообразующие услуги'!$H61)</f>
        <v>0</v>
      </c>
      <c r="J61" s="299">
        <f t="shared" si="2"/>
        <v>0</v>
      </c>
    </row>
    <row r="62" ht="15.75" customHeight="1">
      <c r="A62" s="301">
        <v>100.0</v>
      </c>
      <c r="B62" s="301"/>
      <c r="C62" s="302">
        <v>1.0</v>
      </c>
      <c r="D62" s="303">
        <v>61.0</v>
      </c>
      <c r="E62" s="296"/>
      <c r="F62" s="303">
        <v>1.0</v>
      </c>
      <c r="G62" s="297">
        <f t="shared" si="4"/>
        <v>0</v>
      </c>
      <c r="H62" s="304">
        <f>'План БДР'!$B$9</f>
        <v>0</v>
      </c>
      <c r="I62" s="305">
        <f>'Планообразующие услуги'!$G62+('Планообразующие услуги'!$G62*'Планообразующие услуги'!$H62)</f>
        <v>0</v>
      </c>
      <c r="J62" s="305">
        <f t="shared" si="2"/>
        <v>0</v>
      </c>
    </row>
    <row r="63" ht="15.75" customHeight="1">
      <c r="A63" s="294">
        <v>100.0</v>
      </c>
      <c r="B63" s="294"/>
      <c r="C63" s="296">
        <v>1.0</v>
      </c>
      <c r="D63" s="297">
        <v>62.0</v>
      </c>
      <c r="E63" s="296"/>
      <c r="F63" s="297">
        <v>1.0</v>
      </c>
      <c r="G63" s="297">
        <f t="shared" si="4"/>
        <v>0</v>
      </c>
      <c r="H63" s="298">
        <f>'План БДР'!$B$9</f>
        <v>0</v>
      </c>
      <c r="I63" s="299">
        <f>'Планообразующие услуги'!$G63+('Планообразующие услуги'!$G63*'Планообразующие услуги'!$H63)</f>
        <v>0</v>
      </c>
      <c r="J63" s="299">
        <f t="shared" si="2"/>
        <v>0</v>
      </c>
    </row>
    <row r="64" ht="15.75" customHeight="1">
      <c r="A64" s="301">
        <v>100.0</v>
      </c>
      <c r="B64" s="301"/>
      <c r="C64" s="302">
        <v>1.0</v>
      </c>
      <c r="D64" s="303">
        <v>63.0</v>
      </c>
      <c r="E64" s="296"/>
      <c r="F64" s="303">
        <v>1.0</v>
      </c>
      <c r="G64" s="297">
        <f t="shared" si="4"/>
        <v>0</v>
      </c>
      <c r="H64" s="304">
        <f>'План БДР'!$B$9</f>
        <v>0</v>
      </c>
      <c r="I64" s="305">
        <f>'Планообразующие услуги'!$G64+('Планообразующие услуги'!$G64*'Планообразующие услуги'!$H64)</f>
        <v>0</v>
      </c>
      <c r="J64" s="305">
        <f t="shared" si="2"/>
        <v>0</v>
      </c>
    </row>
    <row r="65" ht="15.75" customHeight="1">
      <c r="A65" s="294">
        <v>100.0</v>
      </c>
      <c r="B65" s="294"/>
      <c r="C65" s="296">
        <v>1.0</v>
      </c>
      <c r="D65" s="297">
        <v>64.0</v>
      </c>
      <c r="E65" s="296"/>
      <c r="F65" s="297">
        <v>1.0</v>
      </c>
      <c r="G65" s="297">
        <f t="shared" si="4"/>
        <v>0</v>
      </c>
      <c r="H65" s="298">
        <f>'План БДР'!$B$9</f>
        <v>0</v>
      </c>
      <c r="I65" s="299">
        <f>'Планообразующие услуги'!$G65+('Планообразующие услуги'!$G65*'Планообразующие услуги'!$H65)</f>
        <v>0</v>
      </c>
      <c r="J65" s="299">
        <f t="shared" si="2"/>
        <v>0</v>
      </c>
    </row>
    <row r="66" ht="15.75" customHeight="1">
      <c r="A66" s="301">
        <v>100.0</v>
      </c>
      <c r="B66" s="301"/>
      <c r="C66" s="302">
        <v>1.0</v>
      </c>
      <c r="D66" s="303">
        <v>65.0</v>
      </c>
      <c r="E66" s="296"/>
      <c r="F66" s="303">
        <v>1.0</v>
      </c>
      <c r="G66" s="297">
        <f t="shared" si="4"/>
        <v>0</v>
      </c>
      <c r="H66" s="304">
        <f>'План БДР'!$B$9</f>
        <v>0</v>
      </c>
      <c r="I66" s="305">
        <f>'Планообразующие услуги'!$G66+('Планообразующие услуги'!$G66*'Планообразующие услуги'!$H66)</f>
        <v>0</v>
      </c>
      <c r="J66" s="305">
        <f t="shared" si="2"/>
        <v>0</v>
      </c>
    </row>
    <row r="67" ht="15.75" customHeight="1">
      <c r="A67" s="294">
        <v>100.0</v>
      </c>
      <c r="B67" s="294"/>
      <c r="C67" s="296">
        <v>1.0</v>
      </c>
      <c r="D67" s="297">
        <v>66.0</v>
      </c>
      <c r="E67" s="296"/>
      <c r="F67" s="297">
        <v>1.0</v>
      </c>
      <c r="G67" s="297">
        <f t="shared" si="4"/>
        <v>0</v>
      </c>
      <c r="H67" s="298">
        <f>'План БДР'!$B$9</f>
        <v>0</v>
      </c>
      <c r="I67" s="299">
        <f>'Планообразующие услуги'!$G67+('Планообразующие услуги'!$G67*'Планообразующие услуги'!$H67)</f>
        <v>0</v>
      </c>
      <c r="J67" s="299">
        <f t="shared" si="2"/>
        <v>0</v>
      </c>
    </row>
    <row r="68" ht="15.75" customHeight="1">
      <c r="A68" s="301">
        <v>100.0</v>
      </c>
      <c r="B68" s="301"/>
      <c r="C68" s="302">
        <v>1.0</v>
      </c>
      <c r="D68" s="303">
        <v>67.0</v>
      </c>
      <c r="E68" s="296"/>
      <c r="F68" s="303">
        <v>1.0</v>
      </c>
      <c r="G68" s="297">
        <f t="shared" si="4"/>
        <v>0</v>
      </c>
      <c r="H68" s="304">
        <f>'План БДР'!$B$9</f>
        <v>0</v>
      </c>
      <c r="I68" s="305">
        <f>'Планообразующие услуги'!$G68+('Планообразующие услуги'!$G68*'Планообразующие услуги'!$H68)</f>
        <v>0</v>
      </c>
      <c r="J68" s="305">
        <f t="shared" si="2"/>
        <v>0</v>
      </c>
    </row>
    <row r="69" ht="15.75" customHeight="1">
      <c r="A69" s="294">
        <v>100.0</v>
      </c>
      <c r="B69" s="294"/>
      <c r="C69" s="296">
        <v>1.0</v>
      </c>
      <c r="D69" s="297">
        <v>68.0</v>
      </c>
      <c r="E69" s="296"/>
      <c r="F69" s="297">
        <v>1.0</v>
      </c>
      <c r="G69" s="297">
        <f t="shared" si="4"/>
        <v>0</v>
      </c>
      <c r="H69" s="298">
        <f>'План БДР'!$B$9</f>
        <v>0</v>
      </c>
      <c r="I69" s="299">
        <f>'Планообразующие услуги'!$G69+('Планообразующие услуги'!$G69*'Планообразующие услуги'!$H69)</f>
        <v>0</v>
      </c>
      <c r="J69" s="299">
        <f t="shared" si="2"/>
        <v>0</v>
      </c>
    </row>
    <row r="70" ht="15.75" customHeight="1">
      <c r="A70" s="301">
        <v>100.0</v>
      </c>
      <c r="B70" s="301"/>
      <c r="C70" s="302">
        <v>1.0</v>
      </c>
      <c r="D70" s="303">
        <v>69.0</v>
      </c>
      <c r="E70" s="296"/>
      <c r="F70" s="303">
        <v>1.0</v>
      </c>
      <c r="G70" s="297">
        <f t="shared" si="4"/>
        <v>0</v>
      </c>
      <c r="H70" s="304">
        <f>'План БДР'!$B$9</f>
        <v>0</v>
      </c>
      <c r="I70" s="305">
        <f>'Планообразующие услуги'!$G70+('Планообразующие услуги'!$G70*'Планообразующие услуги'!$H70)</f>
        <v>0</v>
      </c>
      <c r="J70" s="305">
        <f t="shared" si="2"/>
        <v>0</v>
      </c>
    </row>
    <row r="71" ht="15.75" customHeight="1">
      <c r="A71" s="294">
        <v>100.0</v>
      </c>
      <c r="B71" s="294"/>
      <c r="C71" s="296">
        <v>1.0</v>
      </c>
      <c r="D71" s="297">
        <v>70.0</v>
      </c>
      <c r="E71" s="296"/>
      <c r="F71" s="297">
        <v>1.0</v>
      </c>
      <c r="G71" s="297">
        <f t="shared" si="4"/>
        <v>0</v>
      </c>
      <c r="H71" s="298">
        <f>'План БДР'!$B$9</f>
        <v>0</v>
      </c>
      <c r="I71" s="299">
        <f>'Планообразующие услуги'!$G71+('Планообразующие услуги'!$G71*'Планообразующие услуги'!$H71)</f>
        <v>0</v>
      </c>
      <c r="J71" s="299">
        <f t="shared" si="2"/>
        <v>0</v>
      </c>
    </row>
    <row r="72" ht="15.75" customHeight="1">
      <c r="A72" s="301">
        <v>150.0</v>
      </c>
      <c r="B72" s="301"/>
      <c r="C72" s="302">
        <v>1.0</v>
      </c>
      <c r="D72" s="297">
        <v>71.0</v>
      </c>
      <c r="E72" s="296"/>
      <c r="F72" s="303">
        <v>1.0</v>
      </c>
      <c r="G72" s="297">
        <f t="shared" si="4"/>
        <v>0</v>
      </c>
      <c r="H72" s="304">
        <f>'План БДР'!$B$9</f>
        <v>0</v>
      </c>
      <c r="I72" s="305">
        <f>'Планообразующие услуги'!$G72+('Планообразующие услуги'!$G72*'Планообразующие услуги'!$H72)</f>
        <v>0</v>
      </c>
      <c r="J72" s="305">
        <f t="shared" si="2"/>
        <v>0</v>
      </c>
    </row>
    <row r="73" ht="15.75" customHeight="1">
      <c r="A73" s="294">
        <v>150.0</v>
      </c>
      <c r="B73" s="294"/>
      <c r="C73" s="296">
        <v>1.0</v>
      </c>
      <c r="D73" s="303">
        <v>72.0</v>
      </c>
      <c r="E73" s="296"/>
      <c r="F73" s="297">
        <v>1.0</v>
      </c>
      <c r="G73" s="297">
        <f t="shared" si="4"/>
        <v>0</v>
      </c>
      <c r="H73" s="298">
        <f>'План БДР'!$B$9</f>
        <v>0</v>
      </c>
      <c r="I73" s="299">
        <f>'Планообразующие услуги'!$G73+('Планообразующие услуги'!$G73*'Планообразующие услуги'!$H73)</f>
        <v>0</v>
      </c>
      <c r="J73" s="299">
        <f t="shared" si="2"/>
        <v>0</v>
      </c>
    </row>
    <row r="74" ht="15.75" customHeight="1">
      <c r="A74" s="301">
        <v>150.0</v>
      </c>
      <c r="B74" s="301"/>
      <c r="C74" s="302">
        <v>1.0</v>
      </c>
      <c r="D74" s="297">
        <v>73.0</v>
      </c>
      <c r="E74" s="296"/>
      <c r="F74" s="303">
        <v>1.0</v>
      </c>
      <c r="G74" s="297">
        <f t="shared" si="4"/>
        <v>0</v>
      </c>
      <c r="H74" s="304">
        <f>'План БДР'!$B$9</f>
        <v>0</v>
      </c>
      <c r="I74" s="305">
        <f>'Планообразующие услуги'!$G74+('Планообразующие услуги'!$G74*'Планообразующие услуги'!$H74)</f>
        <v>0</v>
      </c>
      <c r="J74" s="305">
        <f t="shared" si="2"/>
        <v>0</v>
      </c>
    </row>
    <row r="75" ht="15.75" customHeight="1">
      <c r="A75" s="294">
        <v>150.0</v>
      </c>
      <c r="B75" s="294"/>
      <c r="C75" s="296">
        <v>1.0</v>
      </c>
      <c r="D75" s="303">
        <v>74.0</v>
      </c>
      <c r="E75" s="296"/>
      <c r="F75" s="297">
        <v>1.0</v>
      </c>
      <c r="G75" s="297">
        <f t="shared" si="4"/>
        <v>0</v>
      </c>
      <c r="H75" s="298">
        <f>'План БДР'!$B$9</f>
        <v>0</v>
      </c>
      <c r="I75" s="299">
        <f>'Планообразующие услуги'!$G75+('Планообразующие услуги'!$G75*'Планообразующие услуги'!$H75)</f>
        <v>0</v>
      </c>
      <c r="J75" s="299">
        <f t="shared" si="2"/>
        <v>0</v>
      </c>
    </row>
    <row r="76" ht="15.75" customHeight="1">
      <c r="A76" s="301">
        <v>150.0</v>
      </c>
      <c r="B76" s="301"/>
      <c r="C76" s="302">
        <v>1.0</v>
      </c>
      <c r="D76" s="297">
        <v>75.0</v>
      </c>
      <c r="E76" s="296"/>
      <c r="F76" s="303">
        <v>1.0</v>
      </c>
      <c r="G76" s="297">
        <f t="shared" si="4"/>
        <v>0</v>
      </c>
      <c r="H76" s="304">
        <f>'План БДР'!$B$9</f>
        <v>0</v>
      </c>
      <c r="I76" s="305">
        <f>'Планообразующие услуги'!$G76+('Планообразующие услуги'!$G76*'Планообразующие услуги'!$H76)</f>
        <v>0</v>
      </c>
      <c r="J76" s="305">
        <f t="shared" si="2"/>
        <v>0</v>
      </c>
    </row>
    <row r="77" ht="15.75" customHeight="1">
      <c r="A77" s="294">
        <v>150.0</v>
      </c>
      <c r="B77" s="294"/>
      <c r="C77" s="296">
        <v>1.0</v>
      </c>
      <c r="D77" s="303">
        <v>76.0</v>
      </c>
      <c r="E77" s="296"/>
      <c r="F77" s="297">
        <v>1.0</v>
      </c>
      <c r="G77" s="297">
        <f t="shared" si="4"/>
        <v>0</v>
      </c>
      <c r="H77" s="298">
        <f>'План БДР'!$B$9</f>
        <v>0</v>
      </c>
      <c r="I77" s="299">
        <f>'Планообразующие услуги'!$G77+('Планообразующие услуги'!$G77*'Планообразующие услуги'!$H77)</f>
        <v>0</v>
      </c>
      <c r="J77" s="299">
        <f t="shared" si="2"/>
        <v>0</v>
      </c>
    </row>
    <row r="78" ht="15.75" customHeight="1">
      <c r="A78" s="301">
        <v>150.0</v>
      </c>
      <c r="B78" s="301"/>
      <c r="C78" s="302">
        <v>1.0</v>
      </c>
      <c r="D78" s="297">
        <v>77.0</v>
      </c>
      <c r="E78" s="296"/>
      <c r="F78" s="303">
        <v>1.0</v>
      </c>
      <c r="G78" s="297">
        <f t="shared" si="4"/>
        <v>0</v>
      </c>
      <c r="H78" s="304">
        <f>'План БДР'!$B$9</f>
        <v>0</v>
      </c>
      <c r="I78" s="305">
        <f>'Планообразующие услуги'!$G78+('Планообразующие услуги'!$G78*'Планообразующие услуги'!$H78)</f>
        <v>0</v>
      </c>
      <c r="J78" s="305">
        <f t="shared" si="2"/>
        <v>0</v>
      </c>
    </row>
    <row r="79" ht="15.75" customHeight="1">
      <c r="A79" s="294">
        <v>150.0</v>
      </c>
      <c r="B79" s="294"/>
      <c r="C79" s="296">
        <v>1.0</v>
      </c>
      <c r="D79" s="303">
        <v>78.0</v>
      </c>
      <c r="E79" s="296"/>
      <c r="F79" s="297">
        <v>1.0</v>
      </c>
      <c r="G79" s="297">
        <f t="shared" si="4"/>
        <v>0</v>
      </c>
      <c r="H79" s="298">
        <f>'План БДР'!$B$9</f>
        <v>0</v>
      </c>
      <c r="I79" s="299">
        <f>'Планообразующие услуги'!$G79+('Планообразующие услуги'!$G79*'Планообразующие услуги'!$H79)</f>
        <v>0</v>
      </c>
      <c r="J79" s="299">
        <f t="shared" si="2"/>
        <v>0</v>
      </c>
    </row>
    <row r="80" ht="15.75" customHeight="1">
      <c r="A80" s="301">
        <v>150.0</v>
      </c>
      <c r="B80" s="301"/>
      <c r="C80" s="302">
        <v>1.0</v>
      </c>
      <c r="D80" s="297">
        <v>79.0</v>
      </c>
      <c r="E80" s="296"/>
      <c r="F80" s="303">
        <v>1.0</v>
      </c>
      <c r="G80" s="297">
        <f t="shared" si="4"/>
        <v>0</v>
      </c>
      <c r="H80" s="304">
        <f>'План БДР'!$B$9</f>
        <v>0</v>
      </c>
      <c r="I80" s="305">
        <f>'Планообразующие услуги'!$G80+('Планообразующие услуги'!$G80*'Планообразующие услуги'!$H80)</f>
        <v>0</v>
      </c>
      <c r="J80" s="305">
        <f t="shared" si="2"/>
        <v>0</v>
      </c>
    </row>
    <row r="81" ht="15.75" customHeight="1">
      <c r="A81" s="294">
        <v>150.0</v>
      </c>
      <c r="B81" s="294"/>
      <c r="C81" s="296">
        <v>1.0</v>
      </c>
      <c r="D81" s="303">
        <v>80.0</v>
      </c>
      <c r="E81" s="296"/>
      <c r="F81" s="297">
        <v>1.0</v>
      </c>
      <c r="G81" s="297">
        <f t="shared" si="4"/>
        <v>0</v>
      </c>
      <c r="H81" s="298">
        <f>'План БДР'!$B$9</f>
        <v>0</v>
      </c>
      <c r="I81" s="299">
        <f>'Планообразующие услуги'!$G81+('Планообразующие услуги'!$G81*'Планообразующие услуги'!$H81)</f>
        <v>0</v>
      </c>
      <c r="J81" s="299">
        <f t="shared" si="2"/>
        <v>0</v>
      </c>
    </row>
    <row r="82" ht="15.75" customHeight="1">
      <c r="A82" s="301">
        <v>150.0</v>
      </c>
      <c r="B82" s="301"/>
      <c r="C82" s="302">
        <v>1.0</v>
      </c>
      <c r="D82" s="297">
        <v>81.0</v>
      </c>
      <c r="E82" s="296"/>
      <c r="F82" s="303">
        <v>1.0</v>
      </c>
      <c r="G82" s="297">
        <f t="shared" si="4"/>
        <v>0</v>
      </c>
      <c r="H82" s="304">
        <f>'План БДР'!$B$9</f>
        <v>0</v>
      </c>
      <c r="I82" s="305">
        <f>'Планообразующие услуги'!$G82+('Планообразующие услуги'!$G82*'Планообразующие услуги'!$H82)</f>
        <v>0</v>
      </c>
      <c r="J82" s="305">
        <f t="shared" si="2"/>
        <v>0</v>
      </c>
    </row>
    <row r="83" ht="15.75" customHeight="1">
      <c r="A83" s="294">
        <v>150.0</v>
      </c>
      <c r="B83" s="294"/>
      <c r="C83" s="296">
        <v>1.0</v>
      </c>
      <c r="D83" s="303">
        <v>82.0</v>
      </c>
      <c r="E83" s="296"/>
      <c r="F83" s="297">
        <v>1.0</v>
      </c>
      <c r="G83" s="297">
        <f t="shared" si="4"/>
        <v>0</v>
      </c>
      <c r="H83" s="298">
        <f>'План БДР'!$B$9</f>
        <v>0</v>
      </c>
      <c r="I83" s="299">
        <f>'Планообразующие услуги'!$G83+('Планообразующие услуги'!$G83*'Планообразующие услуги'!$H83)</f>
        <v>0</v>
      </c>
      <c r="J83" s="299">
        <f t="shared" si="2"/>
        <v>0</v>
      </c>
    </row>
    <row r="84" ht="15.75" customHeight="1">
      <c r="A84" s="301">
        <v>150.0</v>
      </c>
      <c r="B84" s="301"/>
      <c r="C84" s="302">
        <v>1.0</v>
      </c>
      <c r="D84" s="297">
        <v>83.0</v>
      </c>
      <c r="E84" s="296"/>
      <c r="F84" s="303">
        <v>1.0</v>
      </c>
      <c r="G84" s="297">
        <f t="shared" si="4"/>
        <v>0</v>
      </c>
      <c r="H84" s="304">
        <f>'План БДР'!$B$9</f>
        <v>0</v>
      </c>
      <c r="I84" s="305">
        <f>'Планообразующие услуги'!$G84+('Планообразующие услуги'!$G84*'Планообразующие услуги'!$H84)</f>
        <v>0</v>
      </c>
      <c r="J84" s="305">
        <f t="shared" si="2"/>
        <v>0</v>
      </c>
    </row>
    <row r="85" ht="15.75" customHeight="1">
      <c r="A85" s="294">
        <v>150.0</v>
      </c>
      <c r="B85" s="294"/>
      <c r="C85" s="296">
        <v>1.0</v>
      </c>
      <c r="D85" s="303">
        <v>84.0</v>
      </c>
      <c r="E85" s="296"/>
      <c r="F85" s="297">
        <v>1.0</v>
      </c>
      <c r="G85" s="297">
        <f t="shared" si="4"/>
        <v>0</v>
      </c>
      <c r="H85" s="298">
        <f>'План БДР'!$B$9</f>
        <v>0</v>
      </c>
      <c r="I85" s="299">
        <f>'Планообразующие услуги'!$G85+('Планообразующие услуги'!$G85*'Планообразующие услуги'!$H85)</f>
        <v>0</v>
      </c>
      <c r="J85" s="299">
        <f t="shared" si="2"/>
        <v>0</v>
      </c>
    </row>
    <row r="86" ht="15.75" customHeight="1">
      <c r="A86" s="301">
        <v>150.0</v>
      </c>
      <c r="B86" s="301"/>
      <c r="C86" s="302">
        <v>1.0</v>
      </c>
      <c r="D86" s="297">
        <v>85.0</v>
      </c>
      <c r="E86" s="296"/>
      <c r="F86" s="303">
        <v>1.0</v>
      </c>
      <c r="G86" s="297">
        <f t="shared" si="4"/>
        <v>0</v>
      </c>
      <c r="H86" s="304">
        <f>'План БДР'!$B$9</f>
        <v>0</v>
      </c>
      <c r="I86" s="305">
        <f>'Планообразующие услуги'!$G86+('Планообразующие услуги'!$G86*'Планообразующие услуги'!$H86)</f>
        <v>0</v>
      </c>
      <c r="J86" s="305">
        <f t="shared" si="2"/>
        <v>0</v>
      </c>
    </row>
    <row r="87" ht="15.75" customHeight="1">
      <c r="A87" s="294">
        <v>150.0</v>
      </c>
      <c r="B87" s="294"/>
      <c r="C87" s="296">
        <v>1.0</v>
      </c>
      <c r="D87" s="297">
        <v>86.0</v>
      </c>
      <c r="E87" s="296"/>
      <c r="F87" s="297">
        <v>1.0</v>
      </c>
      <c r="G87" s="297">
        <f t="shared" si="4"/>
        <v>0</v>
      </c>
      <c r="H87" s="298">
        <f>'План БДР'!$B$9</f>
        <v>0</v>
      </c>
      <c r="I87" s="299">
        <f>'Планообразующие услуги'!$G87+('Планообразующие услуги'!$G87*'Планообразующие услуги'!$H87)</f>
        <v>0</v>
      </c>
      <c r="J87" s="299">
        <f t="shared" si="2"/>
        <v>0</v>
      </c>
    </row>
    <row r="88" ht="15.75" customHeight="1">
      <c r="A88" s="301">
        <v>150.0</v>
      </c>
      <c r="B88" s="301"/>
      <c r="C88" s="302">
        <v>1.0</v>
      </c>
      <c r="D88" s="303">
        <v>87.0</v>
      </c>
      <c r="E88" s="296"/>
      <c r="F88" s="303">
        <v>1.0</v>
      </c>
      <c r="G88" s="297">
        <f t="shared" si="4"/>
        <v>0</v>
      </c>
      <c r="H88" s="304">
        <f>'План БДР'!$B$9</f>
        <v>0</v>
      </c>
      <c r="I88" s="305">
        <f>'Планообразующие услуги'!$G88+('Планообразующие услуги'!$G88*'Планообразующие услуги'!$H88)</f>
        <v>0</v>
      </c>
      <c r="J88" s="305">
        <f t="shared" si="2"/>
        <v>0</v>
      </c>
    </row>
    <row r="89" ht="15.75" customHeight="1">
      <c r="A89" s="294">
        <v>150.0</v>
      </c>
      <c r="B89" s="294"/>
      <c r="C89" s="296">
        <v>1.0</v>
      </c>
      <c r="D89" s="297">
        <v>88.0</v>
      </c>
      <c r="E89" s="296"/>
      <c r="F89" s="297">
        <v>1.0</v>
      </c>
      <c r="G89" s="297">
        <f t="shared" si="4"/>
        <v>0</v>
      </c>
      <c r="H89" s="298">
        <f>'План БДР'!$B$9</f>
        <v>0</v>
      </c>
      <c r="I89" s="299">
        <f>'Планообразующие услуги'!$G89+('Планообразующие услуги'!$G89*'Планообразующие услуги'!$H89)</f>
        <v>0</v>
      </c>
      <c r="J89" s="299">
        <f t="shared" si="2"/>
        <v>0</v>
      </c>
    </row>
    <row r="90" ht="15.75" customHeight="1">
      <c r="A90" s="301">
        <v>150.0</v>
      </c>
      <c r="B90" s="301"/>
      <c r="C90" s="302">
        <v>1.0</v>
      </c>
      <c r="D90" s="303">
        <v>89.0</v>
      </c>
      <c r="E90" s="296"/>
      <c r="F90" s="303">
        <v>1.0</v>
      </c>
      <c r="G90" s="297">
        <f t="shared" si="4"/>
        <v>0</v>
      </c>
      <c r="H90" s="304">
        <f>'План БДР'!$B$9</f>
        <v>0</v>
      </c>
      <c r="I90" s="305">
        <f>'Планообразующие услуги'!$G90+('Планообразующие услуги'!$G90*'Планообразующие услуги'!$H90)</f>
        <v>0</v>
      </c>
      <c r="J90" s="305">
        <f t="shared" si="2"/>
        <v>0</v>
      </c>
    </row>
    <row r="91" ht="15.75" customHeight="1">
      <c r="A91" s="294">
        <v>150.0</v>
      </c>
      <c r="B91" s="294"/>
      <c r="C91" s="296">
        <v>1.0</v>
      </c>
      <c r="D91" s="297">
        <v>90.0</v>
      </c>
      <c r="E91" s="296"/>
      <c r="F91" s="297">
        <v>1.0</v>
      </c>
      <c r="G91" s="297">
        <f t="shared" si="4"/>
        <v>0</v>
      </c>
      <c r="H91" s="298">
        <f>'План БДР'!$B$9</f>
        <v>0</v>
      </c>
      <c r="I91" s="299">
        <f>'Планообразующие услуги'!$G91+('Планообразующие услуги'!$G91*'Планообразующие услуги'!$H91)</f>
        <v>0</v>
      </c>
      <c r="J91" s="299">
        <f t="shared" si="2"/>
        <v>0</v>
      </c>
    </row>
    <row r="92" ht="15.75" customHeight="1">
      <c r="A92" s="301">
        <v>150.0</v>
      </c>
      <c r="B92" s="301"/>
      <c r="C92" s="302">
        <v>1.0</v>
      </c>
      <c r="D92" s="303">
        <v>91.0</v>
      </c>
      <c r="E92" s="296"/>
      <c r="F92" s="303">
        <v>1.0</v>
      </c>
      <c r="G92" s="297">
        <f t="shared" si="4"/>
        <v>0</v>
      </c>
      <c r="H92" s="304">
        <f>'План БДР'!$B$9</f>
        <v>0</v>
      </c>
      <c r="I92" s="305">
        <f>'Планообразующие услуги'!$G92+('Планообразующие услуги'!$G92*'Планообразующие услуги'!$H92)</f>
        <v>0</v>
      </c>
      <c r="J92" s="305">
        <f t="shared" si="2"/>
        <v>0</v>
      </c>
    </row>
    <row r="93" ht="15.75" customHeight="1">
      <c r="A93" s="294">
        <v>1000.0</v>
      </c>
      <c r="B93" s="294"/>
      <c r="C93" s="296">
        <v>1.0</v>
      </c>
      <c r="D93" s="297">
        <v>92.0</v>
      </c>
      <c r="E93" s="296"/>
      <c r="F93" s="297">
        <v>1.0</v>
      </c>
      <c r="G93" s="297">
        <f t="shared" si="4"/>
        <v>0</v>
      </c>
      <c r="H93" s="298">
        <f>'План БДР'!$B$9</f>
        <v>0</v>
      </c>
      <c r="I93" s="299">
        <f>'Планообразующие услуги'!$G93+('Планообразующие услуги'!$G93*'Планообразующие услуги'!$H93)</f>
        <v>0</v>
      </c>
      <c r="J93" s="299">
        <f t="shared" si="2"/>
        <v>0</v>
      </c>
    </row>
    <row r="94" ht="15.75" customHeight="1">
      <c r="A94" s="301">
        <v>1000.0</v>
      </c>
      <c r="B94" s="301"/>
      <c r="C94" s="302">
        <v>1.0</v>
      </c>
      <c r="D94" s="303">
        <v>93.0</v>
      </c>
      <c r="E94" s="296"/>
      <c r="F94" s="303">
        <v>1.0</v>
      </c>
      <c r="G94" s="297">
        <f t="shared" si="4"/>
        <v>0</v>
      </c>
      <c r="H94" s="304">
        <f>'План БДР'!$B$9</f>
        <v>0</v>
      </c>
      <c r="I94" s="305">
        <f>'Планообразующие услуги'!$G94+('Планообразующие услуги'!$G94*'Планообразующие услуги'!$H94)</f>
        <v>0</v>
      </c>
      <c r="J94" s="305">
        <f t="shared" si="2"/>
        <v>0</v>
      </c>
    </row>
    <row r="95" ht="15.75" customHeight="1">
      <c r="A95" s="294">
        <v>1000.0</v>
      </c>
      <c r="B95" s="294"/>
      <c r="C95" s="296">
        <v>1.0</v>
      </c>
      <c r="D95" s="297">
        <v>94.0</v>
      </c>
      <c r="E95" s="296"/>
      <c r="F95" s="297">
        <v>1.0</v>
      </c>
      <c r="G95" s="297">
        <f t="shared" si="4"/>
        <v>0</v>
      </c>
      <c r="H95" s="298">
        <f>'План БДР'!$B$9</f>
        <v>0</v>
      </c>
      <c r="I95" s="299">
        <f>'Планообразующие услуги'!$G95+('Планообразующие услуги'!$G95*'Планообразующие услуги'!$H95)</f>
        <v>0</v>
      </c>
      <c r="J95" s="299">
        <f t="shared" si="2"/>
        <v>0</v>
      </c>
    </row>
    <row r="96" ht="15.75" customHeight="1">
      <c r="A96" s="301">
        <v>1000.0</v>
      </c>
      <c r="B96" s="301"/>
      <c r="C96" s="302">
        <v>1.0</v>
      </c>
      <c r="D96" s="303">
        <v>95.0</v>
      </c>
      <c r="E96" s="296"/>
      <c r="F96" s="303">
        <v>1.0</v>
      </c>
      <c r="G96" s="297">
        <f t="shared" si="4"/>
        <v>0</v>
      </c>
      <c r="H96" s="304">
        <f>'План БДР'!$B$9</f>
        <v>0</v>
      </c>
      <c r="I96" s="305">
        <f>'Планообразующие услуги'!$G96+('Планообразующие услуги'!$G96*'Планообразующие услуги'!$H96)</f>
        <v>0</v>
      </c>
      <c r="J96" s="305">
        <f t="shared" si="2"/>
        <v>0</v>
      </c>
    </row>
    <row r="97" ht="15.75" customHeight="1">
      <c r="A97" s="294">
        <v>1000.0</v>
      </c>
      <c r="B97" s="294"/>
      <c r="C97" s="296">
        <v>1.0</v>
      </c>
      <c r="D97" s="297">
        <v>96.0</v>
      </c>
      <c r="E97" s="296"/>
      <c r="F97" s="297">
        <v>1.0</v>
      </c>
      <c r="G97" s="297">
        <f t="shared" si="4"/>
        <v>0</v>
      </c>
      <c r="H97" s="298">
        <f>'План БДР'!$B$9</f>
        <v>0</v>
      </c>
      <c r="I97" s="299">
        <f>'Планообразующие услуги'!$G97+('Планообразующие услуги'!$G97*'Планообразующие услуги'!$H97)</f>
        <v>0</v>
      </c>
      <c r="J97" s="299">
        <f t="shared" si="2"/>
        <v>0</v>
      </c>
    </row>
    <row r="98" ht="15.75" customHeight="1">
      <c r="A98" s="301">
        <v>1000.0</v>
      </c>
      <c r="B98" s="301"/>
      <c r="C98" s="302">
        <v>1.0</v>
      </c>
      <c r="D98" s="303">
        <v>97.0</v>
      </c>
      <c r="E98" s="296"/>
      <c r="F98" s="303">
        <v>1.0</v>
      </c>
      <c r="G98" s="297">
        <f t="shared" si="4"/>
        <v>0</v>
      </c>
      <c r="H98" s="304">
        <f>'План БДР'!$B$9</f>
        <v>0</v>
      </c>
      <c r="I98" s="305">
        <f>'Планообразующие услуги'!$G98+('Планообразующие услуги'!$G98*'Планообразующие услуги'!$H98)</f>
        <v>0</v>
      </c>
      <c r="J98" s="305">
        <f t="shared" si="2"/>
        <v>0</v>
      </c>
    </row>
    <row r="99" ht="15.75" customHeight="1">
      <c r="A99" s="294">
        <v>1000.0</v>
      </c>
      <c r="B99" s="294"/>
      <c r="C99" s="296">
        <v>1.0</v>
      </c>
      <c r="D99" s="297">
        <v>98.0</v>
      </c>
      <c r="E99" s="296"/>
      <c r="F99" s="297">
        <v>1.0</v>
      </c>
      <c r="G99" s="297">
        <f t="shared" si="4"/>
        <v>0</v>
      </c>
      <c r="H99" s="298">
        <f>'План БДР'!$B$9</f>
        <v>0</v>
      </c>
      <c r="I99" s="299">
        <f>'Планообразующие услуги'!$G99+('Планообразующие услуги'!$G99*'Планообразующие услуги'!$H99)</f>
        <v>0</v>
      </c>
      <c r="J99" s="299">
        <f t="shared" si="2"/>
        <v>0</v>
      </c>
    </row>
    <row r="100" ht="15.75" customHeight="1">
      <c r="A100" s="301">
        <v>1000.0</v>
      </c>
      <c r="B100" s="301"/>
      <c r="C100" s="302">
        <v>1.0</v>
      </c>
      <c r="D100" s="303">
        <v>99.0</v>
      </c>
      <c r="E100" s="296"/>
      <c r="F100" s="303">
        <v>1.0</v>
      </c>
      <c r="G100" s="297">
        <f t="shared" si="4"/>
        <v>0</v>
      </c>
      <c r="H100" s="304">
        <f>'План БДР'!$B$9</f>
        <v>0</v>
      </c>
      <c r="I100" s="305">
        <f>'Планообразующие услуги'!$G100+('Планообразующие услуги'!$G100*'Планообразующие услуги'!$H100)</f>
        <v>0</v>
      </c>
      <c r="J100" s="305">
        <f t="shared" si="2"/>
        <v>0</v>
      </c>
    </row>
    <row r="101" ht="15.75" customHeight="1">
      <c r="A101" s="294">
        <v>1000.0</v>
      </c>
      <c r="B101" s="294"/>
      <c r="C101" s="296">
        <v>1.0</v>
      </c>
      <c r="D101" s="297">
        <v>100.0</v>
      </c>
      <c r="E101" s="296"/>
      <c r="F101" s="297">
        <v>1.0</v>
      </c>
      <c r="G101" s="297">
        <f t="shared" si="4"/>
        <v>0</v>
      </c>
      <c r="H101" s="298">
        <f>'План БДР'!$B$9</f>
        <v>0</v>
      </c>
      <c r="I101" s="299">
        <f>'Планообразующие услуги'!$G101+('Планообразующие услуги'!$G101*'Планообразующие услуги'!$H101)</f>
        <v>0</v>
      </c>
      <c r="J101" s="299">
        <f t="shared" si="2"/>
        <v>0</v>
      </c>
    </row>
    <row r="102" ht="15.75" customHeight="1">
      <c r="A102" s="301">
        <v>1000.0</v>
      </c>
      <c r="B102" s="301"/>
      <c r="C102" s="302">
        <v>1.0</v>
      </c>
      <c r="D102" s="297">
        <v>101.0</v>
      </c>
      <c r="E102" s="296"/>
      <c r="F102" s="303">
        <v>1.0</v>
      </c>
      <c r="G102" s="297">
        <f t="shared" si="4"/>
        <v>0</v>
      </c>
      <c r="H102" s="304">
        <f>'План БДР'!$B$9</f>
        <v>0</v>
      </c>
      <c r="I102" s="305">
        <f>'Планообразующие услуги'!$G102+('Планообразующие услуги'!$G102*'Планообразующие услуги'!$H102)</f>
        <v>0</v>
      </c>
      <c r="J102" s="305">
        <f t="shared" si="2"/>
        <v>0</v>
      </c>
    </row>
    <row r="103" ht="15.75" customHeight="1">
      <c r="A103" s="294">
        <v>1000.0</v>
      </c>
      <c r="B103" s="294"/>
      <c r="C103" s="296">
        <v>1.0</v>
      </c>
      <c r="D103" s="303">
        <v>102.0</v>
      </c>
      <c r="E103" s="296"/>
      <c r="F103" s="297">
        <v>1.0</v>
      </c>
      <c r="G103" s="297">
        <f t="shared" si="4"/>
        <v>0</v>
      </c>
      <c r="H103" s="298">
        <f>'План БДР'!$B$9</f>
        <v>0</v>
      </c>
      <c r="I103" s="299">
        <f>'Планообразующие услуги'!$G103+('Планообразующие услуги'!$G103*'Планообразующие услуги'!$H103)</f>
        <v>0</v>
      </c>
      <c r="J103" s="299">
        <f t="shared" si="2"/>
        <v>0</v>
      </c>
    </row>
    <row r="104" ht="15.75" customHeight="1">
      <c r="A104" s="301">
        <v>1000.0</v>
      </c>
      <c r="B104" s="301"/>
      <c r="C104" s="302">
        <v>1.0</v>
      </c>
      <c r="D104" s="297">
        <v>103.0</v>
      </c>
      <c r="E104" s="296"/>
      <c r="F104" s="303">
        <v>1.0</v>
      </c>
      <c r="G104" s="297">
        <f t="shared" si="4"/>
        <v>0</v>
      </c>
      <c r="H104" s="304">
        <f>'План БДР'!$B$9</f>
        <v>0</v>
      </c>
      <c r="I104" s="305">
        <f>'Планообразующие услуги'!$G104+('Планообразующие услуги'!$G104*'Планообразующие услуги'!$H104)</f>
        <v>0</v>
      </c>
      <c r="J104" s="305">
        <f t="shared" si="2"/>
        <v>0</v>
      </c>
    </row>
    <row r="105" ht="15.75" customHeight="1">
      <c r="A105" s="294">
        <v>1000.0</v>
      </c>
      <c r="B105" s="294"/>
      <c r="C105" s="296">
        <v>1.0</v>
      </c>
      <c r="D105" s="303">
        <v>104.0</v>
      </c>
      <c r="E105" s="296"/>
      <c r="F105" s="297">
        <v>1.0</v>
      </c>
      <c r="G105" s="297">
        <f t="shared" si="4"/>
        <v>0</v>
      </c>
      <c r="H105" s="298">
        <f>'План БДР'!$B$9</f>
        <v>0</v>
      </c>
      <c r="I105" s="299">
        <f>'Планообразующие услуги'!$G105+('Планообразующие услуги'!$G105*'Планообразующие услуги'!$H105)</f>
        <v>0</v>
      </c>
      <c r="J105" s="299">
        <f t="shared" si="2"/>
        <v>0</v>
      </c>
    </row>
    <row r="106" ht="15.75" customHeight="1">
      <c r="A106" s="301">
        <v>1000.0</v>
      </c>
      <c r="B106" s="301"/>
      <c r="C106" s="302">
        <v>1.0</v>
      </c>
      <c r="D106" s="297">
        <v>105.0</v>
      </c>
      <c r="E106" s="296"/>
      <c r="F106" s="303">
        <v>1.0</v>
      </c>
      <c r="G106" s="297">
        <f t="shared" si="4"/>
        <v>0</v>
      </c>
      <c r="H106" s="304">
        <f>'План БДР'!$B$9</f>
        <v>0</v>
      </c>
      <c r="I106" s="305">
        <f>'Планообразующие услуги'!$G106+('Планообразующие услуги'!$G106*'Планообразующие услуги'!$H106)</f>
        <v>0</v>
      </c>
      <c r="J106" s="305">
        <f t="shared" si="2"/>
        <v>0</v>
      </c>
    </row>
    <row r="107" ht="15.75" customHeight="1">
      <c r="A107" s="294">
        <v>1000.0</v>
      </c>
      <c r="B107" s="294"/>
      <c r="C107" s="296">
        <v>1.0</v>
      </c>
      <c r="D107" s="303">
        <v>106.0</v>
      </c>
      <c r="E107" s="296"/>
      <c r="F107" s="297">
        <v>1.0</v>
      </c>
      <c r="G107" s="297">
        <f t="shared" si="4"/>
        <v>0</v>
      </c>
      <c r="H107" s="298">
        <f>'План БДР'!$B$9</f>
        <v>0</v>
      </c>
      <c r="I107" s="299">
        <f>'Планообразующие услуги'!$G107+('Планообразующие услуги'!$G107*'Планообразующие услуги'!$H107)</f>
        <v>0</v>
      </c>
      <c r="J107" s="299">
        <f t="shared" si="2"/>
        <v>0</v>
      </c>
    </row>
    <row r="108" ht="15.75" customHeight="1">
      <c r="A108" s="301">
        <v>1000.0</v>
      </c>
      <c r="B108" s="301"/>
      <c r="C108" s="302">
        <v>1.0</v>
      </c>
      <c r="D108" s="297">
        <v>107.0</v>
      </c>
      <c r="E108" s="296"/>
      <c r="F108" s="303">
        <v>1.0</v>
      </c>
      <c r="G108" s="297">
        <f t="shared" si="4"/>
        <v>0</v>
      </c>
      <c r="H108" s="304">
        <f>'План БДР'!$B$9</f>
        <v>0</v>
      </c>
      <c r="I108" s="305">
        <f>'Планообразующие услуги'!$G108+('Планообразующие услуги'!$G108*'Планообразующие услуги'!$H108)</f>
        <v>0</v>
      </c>
      <c r="J108" s="305">
        <f t="shared" si="2"/>
        <v>0</v>
      </c>
    </row>
    <row r="109" ht="15.75" customHeight="1">
      <c r="A109" s="294">
        <v>1000.0</v>
      </c>
      <c r="B109" s="294"/>
      <c r="C109" s="296">
        <v>1.0</v>
      </c>
      <c r="D109" s="303">
        <v>108.0</v>
      </c>
      <c r="E109" s="296"/>
      <c r="F109" s="297">
        <v>1.0</v>
      </c>
      <c r="G109" s="297">
        <f t="shared" si="4"/>
        <v>0</v>
      </c>
      <c r="H109" s="298">
        <f>'План БДР'!$B$9</f>
        <v>0</v>
      </c>
      <c r="I109" s="299">
        <f>'Планообразующие услуги'!$G109+('Планообразующие услуги'!$G109*'Планообразующие услуги'!$H109)</f>
        <v>0</v>
      </c>
      <c r="J109" s="299">
        <f t="shared" si="2"/>
        <v>0</v>
      </c>
    </row>
    <row r="110" ht="15.75" customHeight="1">
      <c r="A110" s="301">
        <v>1000.0</v>
      </c>
      <c r="B110" s="301"/>
      <c r="C110" s="302">
        <v>1.0</v>
      </c>
      <c r="D110" s="297">
        <v>109.0</v>
      </c>
      <c r="E110" s="296"/>
      <c r="F110" s="303">
        <v>1.0</v>
      </c>
      <c r="G110" s="297">
        <f t="shared" si="4"/>
        <v>0</v>
      </c>
      <c r="H110" s="304">
        <f>'План БДР'!$B$9</f>
        <v>0</v>
      </c>
      <c r="I110" s="305">
        <f>'Планообразующие услуги'!$G110+('Планообразующие услуги'!$G110*'Планообразующие услуги'!$H110)</f>
        <v>0</v>
      </c>
      <c r="J110" s="305">
        <f t="shared" si="2"/>
        <v>0</v>
      </c>
    </row>
    <row r="111" ht="15.75" customHeight="1">
      <c r="A111" s="294">
        <v>1000.0</v>
      </c>
      <c r="B111" s="294"/>
      <c r="C111" s="296">
        <v>1.0</v>
      </c>
      <c r="D111" s="303">
        <v>110.0</v>
      </c>
      <c r="E111" s="296"/>
      <c r="F111" s="297">
        <v>1.0</v>
      </c>
      <c r="G111" s="297">
        <f t="shared" si="4"/>
        <v>0</v>
      </c>
      <c r="H111" s="298">
        <f>'План БДР'!$B$9</f>
        <v>0</v>
      </c>
      <c r="I111" s="299">
        <f>'Планообразующие услуги'!$G111+('Планообразующие услуги'!$G111*'Планообразующие услуги'!$H111)</f>
        <v>0</v>
      </c>
      <c r="J111" s="299">
        <f t="shared" si="2"/>
        <v>0</v>
      </c>
    </row>
    <row r="112" ht="15.75" customHeight="1">
      <c r="A112" s="301">
        <v>1000.0</v>
      </c>
      <c r="B112" s="301"/>
      <c r="C112" s="302">
        <v>1.0</v>
      </c>
      <c r="D112" s="297">
        <v>111.0</v>
      </c>
      <c r="E112" s="296"/>
      <c r="F112" s="303">
        <v>1.0</v>
      </c>
      <c r="G112" s="297">
        <f t="shared" si="4"/>
        <v>0</v>
      </c>
      <c r="H112" s="304">
        <f>'План БДР'!$B$9</f>
        <v>0</v>
      </c>
      <c r="I112" s="305">
        <f>'Планообразующие услуги'!$G112+('Планообразующие услуги'!$G112*'Планообразующие услуги'!$H112)</f>
        <v>0</v>
      </c>
      <c r="J112" s="305">
        <f t="shared" si="2"/>
        <v>0</v>
      </c>
    </row>
    <row r="113" ht="15.75" customHeight="1">
      <c r="A113" s="294">
        <v>1000.0</v>
      </c>
      <c r="B113" s="294"/>
      <c r="C113" s="296">
        <v>1.0</v>
      </c>
      <c r="D113" s="303">
        <v>112.0</v>
      </c>
      <c r="E113" s="296"/>
      <c r="F113" s="297">
        <v>1.0</v>
      </c>
      <c r="G113" s="297">
        <f t="shared" si="4"/>
        <v>0</v>
      </c>
      <c r="H113" s="298">
        <f>'План БДР'!$B$9</f>
        <v>0</v>
      </c>
      <c r="I113" s="299">
        <f>'Планообразующие услуги'!$G113+('Планообразующие услуги'!$G113*'Планообразующие услуги'!$H113)</f>
        <v>0</v>
      </c>
      <c r="J113" s="299">
        <f t="shared" si="2"/>
        <v>0</v>
      </c>
    </row>
    <row r="114" ht="15.75" customHeight="1">
      <c r="A114" s="301"/>
      <c r="B114" s="301"/>
      <c r="C114" s="302">
        <v>1.0</v>
      </c>
      <c r="D114" s="297">
        <v>113.0</v>
      </c>
      <c r="E114" s="296"/>
      <c r="F114" s="303">
        <v>1.0</v>
      </c>
      <c r="G114" s="297">
        <f t="shared" si="4"/>
        <v>0</v>
      </c>
      <c r="H114" s="304">
        <f>'План БДР'!$B$9</f>
        <v>0</v>
      </c>
      <c r="I114" s="305">
        <f>'Планообразующие услуги'!$G114+('Планообразующие услуги'!$G114*'Планообразующие услуги'!$H114)</f>
        <v>0</v>
      </c>
      <c r="J114" s="305">
        <f t="shared" si="2"/>
        <v>0</v>
      </c>
    </row>
    <row r="115" ht="15.75" customHeight="1">
      <c r="A115" s="294"/>
      <c r="B115" s="294"/>
      <c r="C115" s="296">
        <v>1.0</v>
      </c>
      <c r="D115" s="303">
        <v>114.0</v>
      </c>
      <c r="E115" s="296"/>
      <c r="F115" s="297">
        <v>1.0</v>
      </c>
      <c r="G115" s="297">
        <f t="shared" si="4"/>
        <v>0</v>
      </c>
      <c r="H115" s="298">
        <v>0.0</v>
      </c>
      <c r="I115" s="299">
        <f>'Планообразующие услуги'!$G115+('Планообразующие услуги'!$G115*'Планообразующие услуги'!$H115)</f>
        <v>0</v>
      </c>
      <c r="J115" s="299">
        <f t="shared" si="2"/>
        <v>0</v>
      </c>
    </row>
    <row r="116" ht="15.75" customHeight="1">
      <c r="A116" s="301"/>
      <c r="B116" s="301"/>
      <c r="C116" s="302">
        <v>1.0</v>
      </c>
      <c r="D116" s="297">
        <v>115.0</v>
      </c>
      <c r="E116" s="296"/>
      <c r="F116" s="303">
        <v>1.0</v>
      </c>
      <c r="G116" s="297">
        <f t="shared" si="4"/>
        <v>0</v>
      </c>
      <c r="H116" s="304">
        <v>0.0</v>
      </c>
      <c r="I116" s="305">
        <f>'Планообразующие услуги'!$G116+('Планообразующие услуги'!$G116*'Планообразующие услуги'!$H116)</f>
        <v>0</v>
      </c>
      <c r="J116" s="305">
        <f t="shared" si="2"/>
        <v>0</v>
      </c>
    </row>
    <row r="117" ht="15.75" customHeight="1">
      <c r="A117" s="294"/>
      <c r="B117" s="294"/>
      <c r="C117" s="296">
        <v>1.0</v>
      </c>
      <c r="D117" s="297">
        <v>116.0</v>
      </c>
      <c r="E117" s="296"/>
      <c r="F117" s="297">
        <v>1.0</v>
      </c>
      <c r="G117" s="297">
        <f t="shared" si="4"/>
        <v>0</v>
      </c>
      <c r="H117" s="298">
        <v>0.0</v>
      </c>
      <c r="I117" s="299">
        <f>'Планообразующие услуги'!$G117+('Планообразующие услуги'!$G117*'Планообразующие услуги'!$H117)</f>
        <v>0</v>
      </c>
      <c r="J117" s="299">
        <f t="shared" si="2"/>
        <v>0</v>
      </c>
    </row>
    <row r="118" ht="15.75" customHeight="1">
      <c r="A118" s="309"/>
      <c r="B118" s="309"/>
      <c r="C118" s="302">
        <v>1.0</v>
      </c>
      <c r="D118" s="303">
        <v>117.0</v>
      </c>
      <c r="E118" s="225"/>
      <c r="F118" s="225">
        <v>1.0</v>
      </c>
      <c r="G118" s="297">
        <f t="shared" si="4"/>
        <v>0</v>
      </c>
      <c r="H118" s="310">
        <f>'План БДР'!$B$9</f>
        <v>0</v>
      </c>
      <c r="I118" s="311">
        <f>'Планообразующие услуги'!$G118+('Планообразующие услуги'!$G118*'Планообразующие услуги'!$H118)</f>
        <v>0</v>
      </c>
      <c r="J118" s="311">
        <f t="shared" si="2"/>
        <v>0</v>
      </c>
    </row>
    <row r="119" ht="15.75" customHeight="1">
      <c r="A119" s="309"/>
      <c r="B119" s="309"/>
      <c r="C119" s="296">
        <v>1.0</v>
      </c>
      <c r="D119" s="297">
        <v>118.0</v>
      </c>
      <c r="E119" s="225"/>
      <c r="F119" s="225">
        <v>1.0</v>
      </c>
      <c r="G119" s="297">
        <f t="shared" si="4"/>
        <v>0</v>
      </c>
      <c r="H119" s="310">
        <f>'План БДР'!$B$9</f>
        <v>0</v>
      </c>
      <c r="I119" s="311">
        <f>'Планообразующие услуги'!$G119+('Планообразующие услуги'!$G119*'Планообразующие услуги'!$H119)</f>
        <v>0</v>
      </c>
      <c r="J119" s="311">
        <f t="shared" si="2"/>
        <v>0</v>
      </c>
    </row>
    <row r="120" ht="15.75" customHeight="1">
      <c r="A120" s="309"/>
      <c r="B120" s="309"/>
      <c r="C120" s="302">
        <v>1.0</v>
      </c>
      <c r="D120" s="303">
        <v>119.0</v>
      </c>
      <c r="E120" s="225"/>
      <c r="F120" s="225">
        <v>1.0</v>
      </c>
      <c r="G120" s="297">
        <f t="shared" si="4"/>
        <v>0</v>
      </c>
      <c r="H120" s="310">
        <f>'План БДР'!$B$9</f>
        <v>0</v>
      </c>
      <c r="I120" s="311">
        <f>'Планообразующие услуги'!$G120+('Планообразующие услуги'!$G120*'Планообразующие услуги'!$H120)</f>
        <v>0</v>
      </c>
      <c r="J120" s="311">
        <f t="shared" si="2"/>
        <v>0</v>
      </c>
    </row>
    <row r="121" ht="15.75" customHeight="1">
      <c r="A121" s="309"/>
      <c r="B121" s="309"/>
      <c r="C121" s="296">
        <v>1.0</v>
      </c>
      <c r="D121" s="297">
        <v>120.0</v>
      </c>
      <c r="E121" s="225"/>
      <c r="F121" s="225">
        <v>1.0</v>
      </c>
      <c r="G121" s="297">
        <f t="shared" si="4"/>
        <v>0</v>
      </c>
      <c r="H121" s="310">
        <f>'План БДР'!$B$9</f>
        <v>0</v>
      </c>
      <c r="I121" s="311">
        <f>'Планообразующие услуги'!$G121+('Планообразующие услуги'!$G121*'Планообразующие услуги'!$H121)</f>
        <v>0</v>
      </c>
      <c r="J121" s="311">
        <f t="shared" si="2"/>
        <v>0</v>
      </c>
    </row>
    <row r="122" ht="15.75" customHeight="1">
      <c r="A122" s="309"/>
      <c r="B122" s="309"/>
      <c r="C122" s="302">
        <v>1.0</v>
      </c>
      <c r="D122" s="303">
        <v>121.0</v>
      </c>
      <c r="E122" s="225"/>
      <c r="F122" s="225">
        <v>1.0</v>
      </c>
      <c r="G122" s="297">
        <f t="shared" si="4"/>
        <v>0</v>
      </c>
      <c r="H122" s="310">
        <f>'План БДР'!$B$9</f>
        <v>0</v>
      </c>
      <c r="I122" s="311">
        <f>'Планообразующие услуги'!$G122+('Планообразующие услуги'!$G122*'Планообразующие услуги'!$H122)</f>
        <v>0</v>
      </c>
      <c r="J122" s="311">
        <f t="shared" si="2"/>
        <v>0</v>
      </c>
    </row>
    <row r="123" ht="15.75" customHeight="1">
      <c r="A123" s="309"/>
      <c r="B123" s="309"/>
      <c r="C123" s="296">
        <v>1.0</v>
      </c>
      <c r="D123" s="297">
        <v>122.0</v>
      </c>
      <c r="E123" s="225"/>
      <c r="F123" s="225">
        <v>1.0</v>
      </c>
      <c r="G123" s="297">
        <f t="shared" si="4"/>
        <v>0</v>
      </c>
      <c r="H123" s="310">
        <f>'План БДР'!$B$9</f>
        <v>0</v>
      </c>
      <c r="I123" s="311">
        <f>'Планообразующие услуги'!$G123+('Планообразующие услуги'!$G123*'Планообразующие услуги'!$H123)</f>
        <v>0</v>
      </c>
      <c r="J123" s="311">
        <f t="shared" si="2"/>
        <v>0</v>
      </c>
    </row>
    <row r="124" ht="15.75" customHeight="1">
      <c r="A124" s="309"/>
      <c r="B124" s="309"/>
      <c r="C124" s="302">
        <v>1.0</v>
      </c>
      <c r="D124" s="303">
        <v>123.0</v>
      </c>
      <c r="E124" s="225"/>
      <c r="F124" s="225">
        <v>1.0</v>
      </c>
      <c r="G124" s="297">
        <f t="shared" si="4"/>
        <v>0</v>
      </c>
      <c r="H124" s="310">
        <f>'План БДР'!$B$9</f>
        <v>0</v>
      </c>
      <c r="I124" s="311">
        <f>'Планообразующие услуги'!$G124+('Планообразующие услуги'!$G124*'Планообразующие услуги'!$H124)</f>
        <v>0</v>
      </c>
      <c r="J124" s="311">
        <f t="shared" si="2"/>
        <v>0</v>
      </c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  <c r="AA124" s="312"/>
    </row>
    <row r="125" ht="15.75" customHeight="1">
      <c r="A125" s="309"/>
      <c r="B125" s="309"/>
      <c r="C125" s="296">
        <v>1.0</v>
      </c>
      <c r="D125" s="297">
        <v>124.0</v>
      </c>
      <c r="E125" s="225"/>
      <c r="F125" s="225">
        <v>1.0</v>
      </c>
      <c r="G125" s="297">
        <f t="shared" si="4"/>
        <v>0</v>
      </c>
      <c r="H125" s="310">
        <f>'План БДР'!$B$9</f>
        <v>0</v>
      </c>
      <c r="I125" s="311">
        <f>'Планообразующие услуги'!$G125+('Планообразующие услуги'!$G125*'Планообразующие услуги'!$H125)</f>
        <v>0</v>
      </c>
      <c r="J125" s="311">
        <f t="shared" si="2"/>
        <v>0</v>
      </c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13"/>
      <c r="Y125" s="313"/>
      <c r="Z125" s="313"/>
      <c r="AA125" s="313"/>
    </row>
    <row r="126" ht="15.75" customHeight="1">
      <c r="A126" s="309"/>
      <c r="B126" s="309"/>
      <c r="C126" s="302">
        <v>1.0</v>
      </c>
      <c r="D126" s="303">
        <v>125.0</v>
      </c>
      <c r="E126" s="225"/>
      <c r="F126" s="225">
        <v>1.0</v>
      </c>
      <c r="G126" s="297">
        <f t="shared" si="4"/>
        <v>0</v>
      </c>
      <c r="H126" s="310">
        <f>'План БДР'!$B$9</f>
        <v>0</v>
      </c>
      <c r="I126" s="311">
        <f>'Планообразующие услуги'!$G126+('Планообразующие услуги'!$G126*'Планообразующие услуги'!$H126)</f>
        <v>0</v>
      </c>
      <c r="J126" s="311">
        <f t="shared" si="2"/>
        <v>0</v>
      </c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313"/>
    </row>
    <row r="127" ht="15.75" customHeight="1">
      <c r="A127" s="309"/>
      <c r="B127" s="309"/>
      <c r="C127" s="296">
        <v>1.0</v>
      </c>
      <c r="D127" s="297">
        <v>126.0</v>
      </c>
      <c r="E127" s="314"/>
      <c r="F127" s="225">
        <v>1.0</v>
      </c>
      <c r="G127" s="297">
        <f t="shared" si="4"/>
        <v>0</v>
      </c>
      <c r="H127" s="310">
        <f>'План БДР'!$B$9</f>
        <v>0</v>
      </c>
      <c r="I127" s="311">
        <f>'Планообразующие услуги'!$G127+('Планообразующие услуги'!$G127*'Планообразующие услуги'!$H127)</f>
        <v>0</v>
      </c>
      <c r="J127" s="311">
        <f t="shared" si="2"/>
        <v>0</v>
      </c>
    </row>
    <row r="128" ht="15.75" customHeight="1">
      <c r="A128" s="309"/>
      <c r="B128" s="309"/>
      <c r="C128" s="302">
        <v>1.0</v>
      </c>
      <c r="D128" s="303">
        <v>127.0</v>
      </c>
      <c r="E128" s="225"/>
      <c r="F128" s="225">
        <v>1.0</v>
      </c>
      <c r="G128" s="297">
        <f t="shared" si="4"/>
        <v>0</v>
      </c>
      <c r="H128" s="310">
        <f>'План БДР'!$B$9</f>
        <v>0</v>
      </c>
      <c r="I128" s="311">
        <f>'Планообразующие услуги'!$G128+('Планообразующие услуги'!$G128*'Планообразующие услуги'!$H128)</f>
        <v>0</v>
      </c>
      <c r="J128" s="311">
        <f t="shared" si="2"/>
        <v>0</v>
      </c>
    </row>
    <row r="129" ht="15.75" customHeight="1">
      <c r="A129" s="309"/>
      <c r="B129" s="309"/>
      <c r="C129" s="296">
        <v>1.0</v>
      </c>
      <c r="D129" s="297">
        <v>128.0</v>
      </c>
      <c r="E129" s="225"/>
      <c r="F129" s="225">
        <v>1.0</v>
      </c>
      <c r="G129" s="297">
        <f t="shared" si="4"/>
        <v>0</v>
      </c>
      <c r="H129" s="310">
        <f>'План БДР'!$B$9</f>
        <v>0</v>
      </c>
      <c r="I129" s="311">
        <f>'Планообразующие услуги'!$G129+('Планообразующие услуги'!$G129*'Планообразующие услуги'!$H129)</f>
        <v>0</v>
      </c>
      <c r="J129" s="311">
        <f t="shared" si="2"/>
        <v>0</v>
      </c>
    </row>
    <row r="130" ht="15.75" customHeight="1">
      <c r="A130" s="309"/>
      <c r="B130" s="309"/>
      <c r="C130" s="302">
        <v>1.0</v>
      </c>
      <c r="D130" s="303">
        <v>129.0</v>
      </c>
      <c r="E130" s="225"/>
      <c r="F130" s="225">
        <v>1.0</v>
      </c>
      <c r="G130" s="297">
        <f t="shared" si="4"/>
        <v>0</v>
      </c>
      <c r="H130" s="310">
        <f>'План БДР'!$B$9</f>
        <v>0</v>
      </c>
      <c r="I130" s="311">
        <f>'Планообразующие услуги'!$G130+('Планообразующие услуги'!$G130*'Планообразующие услуги'!$H130)</f>
        <v>0</v>
      </c>
      <c r="J130" s="311">
        <f t="shared" si="2"/>
        <v>0</v>
      </c>
    </row>
    <row r="131" ht="15.75" customHeight="1">
      <c r="A131" s="309"/>
      <c r="B131" s="309"/>
      <c r="C131" s="296"/>
      <c r="D131" s="225"/>
      <c r="E131" s="225"/>
      <c r="F131" s="225"/>
      <c r="G131" s="297">
        <f t="shared" si="4"/>
        <v>0</v>
      </c>
      <c r="H131" s="310"/>
      <c r="I131" s="311"/>
      <c r="J131" s="311">
        <f t="shared" si="2"/>
        <v>0</v>
      </c>
    </row>
    <row r="132" ht="15.75" customHeight="1">
      <c r="A132" s="309"/>
      <c r="B132" s="309"/>
      <c r="C132" s="225"/>
      <c r="D132" s="225"/>
      <c r="E132" s="225"/>
      <c r="F132" s="225"/>
      <c r="G132" s="297">
        <f t="shared" si="4"/>
        <v>0</v>
      </c>
      <c r="H132" s="310"/>
      <c r="I132" s="311"/>
      <c r="J132" s="311">
        <f t="shared" si="2"/>
        <v>0</v>
      </c>
    </row>
    <row r="133" ht="15.75" customHeight="1">
      <c r="A133" s="309"/>
      <c r="B133" s="309"/>
      <c r="C133" s="225"/>
      <c r="D133" s="225"/>
      <c r="E133" s="225"/>
      <c r="F133" s="225"/>
      <c r="G133" s="225"/>
      <c r="H133" s="310"/>
      <c r="I133" s="311"/>
      <c r="J133" s="311">
        <f t="shared" si="2"/>
        <v>0</v>
      </c>
    </row>
    <row r="134" ht="15.75" customHeight="1">
      <c r="A134" s="309"/>
      <c r="B134" s="309"/>
      <c r="C134" s="225"/>
      <c r="D134" s="225"/>
      <c r="E134" s="225"/>
      <c r="F134" s="225"/>
      <c r="G134" s="225"/>
      <c r="H134" s="310"/>
      <c r="I134" s="311"/>
      <c r="J134" s="311">
        <f t="shared" si="2"/>
        <v>0</v>
      </c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  <c r="AA134" s="312"/>
    </row>
    <row r="135" ht="15.75" customHeight="1">
      <c r="A135" s="309"/>
      <c r="B135" s="309"/>
      <c r="C135" s="225"/>
      <c r="D135" s="225"/>
      <c r="E135" s="225"/>
      <c r="F135" s="225"/>
      <c r="G135" s="225"/>
      <c r="H135" s="310"/>
      <c r="I135" s="311"/>
      <c r="J135" s="311">
        <f t="shared" si="2"/>
        <v>0</v>
      </c>
    </row>
    <row r="136" ht="15.75" customHeight="1">
      <c r="A136" s="309"/>
      <c r="B136" s="309"/>
      <c r="C136" s="225"/>
      <c r="D136" s="225"/>
      <c r="E136" s="225"/>
      <c r="F136" s="225"/>
      <c r="G136" s="225"/>
      <c r="H136" s="310"/>
      <c r="I136" s="311"/>
      <c r="J136" s="311">
        <f t="shared" si="2"/>
        <v>0</v>
      </c>
    </row>
    <row r="137" ht="15.75" customHeight="1">
      <c r="A137" s="309"/>
      <c r="B137" s="309"/>
      <c r="C137" s="225"/>
      <c r="D137" s="225"/>
      <c r="E137" s="225"/>
      <c r="F137" s="225"/>
      <c r="G137" s="225"/>
      <c r="H137" s="310"/>
      <c r="I137" s="311"/>
      <c r="J137" s="311">
        <f t="shared" si="2"/>
        <v>0</v>
      </c>
    </row>
    <row r="138" ht="15.75" customHeight="1">
      <c r="A138" s="309"/>
      <c r="B138" s="309"/>
      <c r="C138" s="225"/>
      <c r="D138" s="225"/>
      <c r="E138" s="225"/>
      <c r="F138" s="225"/>
      <c r="G138" s="225"/>
      <c r="H138" s="310"/>
      <c r="I138" s="311"/>
      <c r="J138" s="311">
        <f t="shared" si="2"/>
        <v>0</v>
      </c>
    </row>
    <row r="139" ht="15.75" customHeight="1">
      <c r="A139" s="309"/>
      <c r="B139" s="309"/>
      <c r="C139" s="225"/>
      <c r="D139" s="225"/>
      <c r="E139" s="225"/>
      <c r="F139" s="225"/>
      <c r="G139" s="225"/>
      <c r="H139" s="310"/>
      <c r="I139" s="311"/>
      <c r="J139" s="311">
        <f t="shared" si="2"/>
        <v>0</v>
      </c>
    </row>
    <row r="140" ht="15.75" customHeight="1">
      <c r="A140" s="309"/>
      <c r="B140" s="309"/>
      <c r="C140" s="225"/>
      <c r="D140" s="225"/>
      <c r="E140" s="225"/>
      <c r="F140" s="225"/>
      <c r="G140" s="225"/>
      <c r="H140" s="310"/>
      <c r="I140" s="311"/>
      <c r="J140" s="311">
        <f t="shared" si="2"/>
        <v>0</v>
      </c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312"/>
      <c r="Z140" s="312"/>
      <c r="AA140" s="312"/>
    </row>
    <row r="141" ht="15.75" customHeight="1">
      <c r="A141" s="309"/>
      <c r="B141" s="309"/>
      <c r="C141" s="225"/>
      <c r="D141" s="225"/>
      <c r="E141" s="225"/>
      <c r="F141" s="225"/>
      <c r="G141" s="225"/>
      <c r="H141" s="310"/>
      <c r="I141" s="311"/>
      <c r="J141" s="311">
        <f t="shared" si="2"/>
        <v>0</v>
      </c>
    </row>
    <row r="142" ht="15.75" customHeight="1">
      <c r="A142" s="309"/>
      <c r="B142" s="309"/>
      <c r="C142" s="225"/>
      <c r="D142" s="225"/>
      <c r="E142" s="225"/>
      <c r="F142" s="225"/>
      <c r="G142" s="225"/>
      <c r="H142" s="310"/>
      <c r="I142" s="311"/>
      <c r="J142" s="311">
        <f t="shared" si="2"/>
        <v>0</v>
      </c>
    </row>
    <row r="143" ht="15.75" customHeight="1">
      <c r="A143" s="309"/>
      <c r="B143" s="309"/>
      <c r="C143" s="225"/>
      <c r="D143" s="225"/>
      <c r="E143" s="225"/>
      <c r="F143" s="225"/>
      <c r="G143" s="225"/>
      <c r="H143" s="310"/>
      <c r="I143" s="311"/>
      <c r="J143" s="311">
        <f t="shared" si="2"/>
        <v>0</v>
      </c>
    </row>
    <row r="144" ht="15.75" customHeight="1">
      <c r="A144" s="309"/>
      <c r="B144" s="309"/>
      <c r="C144" s="225"/>
      <c r="D144" s="225"/>
      <c r="E144" s="225"/>
      <c r="F144" s="225"/>
      <c r="G144" s="225"/>
      <c r="H144" s="310"/>
      <c r="I144" s="311"/>
      <c r="J144" s="311">
        <f t="shared" si="2"/>
        <v>0</v>
      </c>
    </row>
    <row r="145" ht="15.75" customHeight="1">
      <c r="A145" s="309"/>
      <c r="B145" s="309"/>
      <c r="C145" s="225"/>
      <c r="D145" s="225"/>
      <c r="E145" s="225"/>
      <c r="F145" s="225"/>
      <c r="G145" s="225"/>
      <c r="H145" s="310"/>
      <c r="I145" s="311"/>
      <c r="J145" s="311">
        <f t="shared" si="2"/>
        <v>0</v>
      </c>
    </row>
    <row r="146" ht="15.75" customHeight="1">
      <c r="A146" s="309"/>
      <c r="B146" s="309"/>
      <c r="C146" s="225"/>
      <c r="D146" s="225"/>
      <c r="E146" s="225"/>
      <c r="F146" s="225"/>
      <c r="G146" s="225"/>
      <c r="H146" s="310"/>
      <c r="I146" s="311"/>
      <c r="J146" s="311">
        <f t="shared" si="2"/>
        <v>0</v>
      </c>
    </row>
    <row r="147" ht="15.75" customHeight="1">
      <c r="A147" s="309"/>
      <c r="B147" s="309"/>
      <c r="C147" s="225"/>
      <c r="D147" s="225"/>
      <c r="E147" s="225"/>
      <c r="F147" s="225"/>
      <c r="G147" s="225"/>
      <c r="H147" s="310"/>
      <c r="I147" s="311"/>
      <c r="J147" s="311">
        <f t="shared" si="2"/>
        <v>0</v>
      </c>
    </row>
    <row r="148" ht="15.75" customHeight="1">
      <c r="A148" s="309"/>
      <c r="B148" s="309"/>
      <c r="C148" s="225"/>
      <c r="D148" s="225"/>
      <c r="E148" s="225"/>
      <c r="F148" s="225"/>
      <c r="G148" s="225"/>
      <c r="H148" s="310"/>
      <c r="I148" s="311"/>
      <c r="J148" s="311">
        <f t="shared" si="2"/>
        <v>0</v>
      </c>
    </row>
    <row r="149" ht="15.75" customHeight="1">
      <c r="A149" s="309"/>
      <c r="B149" s="309"/>
      <c r="C149" s="225"/>
      <c r="D149" s="225"/>
      <c r="E149" s="225"/>
      <c r="F149" s="225"/>
      <c r="G149" s="225"/>
      <c r="H149" s="310"/>
      <c r="I149" s="311"/>
      <c r="J149" s="311">
        <f t="shared" si="2"/>
        <v>0</v>
      </c>
    </row>
    <row r="150" ht="15.75" customHeight="1">
      <c r="A150" s="309"/>
      <c r="B150" s="309"/>
      <c r="C150" s="225"/>
      <c r="D150" s="225"/>
      <c r="E150" s="225"/>
      <c r="F150" s="225"/>
      <c r="G150" s="225"/>
      <c r="H150" s="310"/>
      <c r="I150" s="311"/>
      <c r="J150" s="311">
        <f t="shared" si="2"/>
        <v>0</v>
      </c>
    </row>
    <row r="151" ht="15.75" customHeight="1">
      <c r="A151" s="309"/>
      <c r="B151" s="309"/>
      <c r="C151" s="225"/>
      <c r="D151" s="225"/>
      <c r="E151" s="225"/>
      <c r="F151" s="225"/>
      <c r="G151" s="225"/>
      <c r="H151" s="310"/>
      <c r="I151" s="311"/>
      <c r="J151" s="311">
        <f t="shared" si="2"/>
        <v>0</v>
      </c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312"/>
      <c r="Z151" s="312"/>
      <c r="AA151" s="312"/>
    </row>
    <row r="152" ht="15.75" customHeight="1">
      <c r="A152" s="309"/>
      <c r="B152" s="309"/>
      <c r="C152" s="225"/>
      <c r="D152" s="225"/>
      <c r="E152" s="225"/>
      <c r="F152" s="225"/>
      <c r="G152" s="225"/>
      <c r="H152" s="310"/>
      <c r="I152" s="311"/>
      <c r="J152" s="311">
        <f t="shared" si="2"/>
        <v>0</v>
      </c>
    </row>
    <row r="153" ht="15.75" customHeight="1">
      <c r="A153" s="309"/>
      <c r="B153" s="315"/>
      <c r="C153" s="225"/>
      <c r="D153" s="251"/>
      <c r="E153" s="251"/>
      <c r="F153" s="251"/>
      <c r="G153" s="251"/>
      <c r="H153" s="316"/>
      <c r="I153" s="311"/>
      <c r="J153" s="311">
        <f t="shared" si="2"/>
        <v>0</v>
      </c>
    </row>
    <row r="154" ht="15.75" customHeight="1">
      <c r="A154" s="309"/>
      <c r="B154" s="309"/>
      <c r="C154" s="225"/>
      <c r="D154" s="225"/>
      <c r="E154" s="225"/>
      <c r="F154" s="225"/>
      <c r="G154" s="225"/>
      <c r="H154" s="310"/>
      <c r="I154" s="311"/>
      <c r="J154" s="311">
        <f t="shared" si="2"/>
        <v>0</v>
      </c>
    </row>
    <row r="155" ht="15.75" customHeight="1">
      <c r="A155" s="309"/>
      <c r="B155" s="309"/>
      <c r="C155" s="225"/>
      <c r="D155" s="225"/>
      <c r="E155" s="225"/>
      <c r="F155" s="225"/>
      <c r="G155" s="225"/>
      <c r="H155" s="310"/>
      <c r="I155" s="311"/>
      <c r="J155" s="311">
        <f t="shared" si="2"/>
        <v>0</v>
      </c>
    </row>
    <row r="156" ht="15.75" customHeight="1">
      <c r="A156" s="309"/>
      <c r="B156" s="309"/>
      <c r="C156" s="225"/>
      <c r="D156" s="225"/>
      <c r="E156" s="225"/>
      <c r="F156" s="225"/>
      <c r="G156" s="225"/>
      <c r="H156" s="310"/>
      <c r="I156" s="311"/>
      <c r="J156" s="311">
        <f t="shared" si="2"/>
        <v>0</v>
      </c>
    </row>
    <row r="157" ht="15.75" customHeight="1">
      <c r="A157" s="309"/>
      <c r="B157" s="309"/>
      <c r="C157" s="225"/>
      <c r="D157" s="225"/>
      <c r="E157" s="225"/>
      <c r="F157" s="225"/>
      <c r="G157" s="225"/>
      <c r="H157" s="310"/>
      <c r="I157" s="311"/>
      <c r="J157" s="311">
        <f t="shared" si="2"/>
        <v>0</v>
      </c>
    </row>
    <row r="158" ht="15.75" customHeight="1">
      <c r="A158" s="309"/>
      <c r="B158" s="309"/>
      <c r="C158" s="225"/>
      <c r="D158" s="225"/>
      <c r="E158" s="225"/>
      <c r="F158" s="225"/>
      <c r="G158" s="225"/>
      <c r="H158" s="310"/>
      <c r="I158" s="311"/>
      <c r="J158" s="311">
        <f t="shared" si="2"/>
        <v>0</v>
      </c>
    </row>
    <row r="159" ht="15.75" customHeight="1">
      <c r="A159" s="309"/>
      <c r="B159" s="309"/>
      <c r="C159" s="225"/>
      <c r="D159" s="225"/>
      <c r="E159" s="225"/>
      <c r="F159" s="225"/>
      <c r="G159" s="225"/>
      <c r="H159" s="310"/>
      <c r="I159" s="311"/>
      <c r="J159" s="311">
        <f t="shared" si="2"/>
        <v>0</v>
      </c>
    </row>
    <row r="160" ht="15.75" customHeight="1">
      <c r="A160" s="309"/>
      <c r="B160" s="309"/>
      <c r="C160" s="225"/>
      <c r="D160" s="225"/>
      <c r="E160" s="225"/>
      <c r="F160" s="225"/>
      <c r="G160" s="225"/>
      <c r="H160" s="310"/>
      <c r="I160" s="311"/>
      <c r="J160" s="311">
        <f t="shared" si="2"/>
        <v>0</v>
      </c>
    </row>
    <row r="161" ht="15.75" customHeight="1">
      <c r="A161" s="309"/>
      <c r="B161" s="309"/>
      <c r="C161" s="225"/>
      <c r="D161" s="225"/>
      <c r="E161" s="225"/>
      <c r="F161" s="225"/>
      <c r="G161" s="225"/>
      <c r="H161" s="310"/>
      <c r="I161" s="311"/>
      <c r="J161" s="311">
        <f t="shared" si="2"/>
        <v>0</v>
      </c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312"/>
      <c r="V161" s="312"/>
      <c r="W161" s="312"/>
      <c r="X161" s="312"/>
      <c r="Y161" s="312"/>
      <c r="Z161" s="312"/>
      <c r="AA161" s="312"/>
    </row>
    <row r="162" ht="15.75" customHeight="1">
      <c r="A162" s="309"/>
      <c r="B162" s="309"/>
      <c r="C162" s="225"/>
      <c r="D162" s="225"/>
      <c r="E162" s="225"/>
      <c r="F162" s="225"/>
      <c r="G162" s="225"/>
      <c r="H162" s="310"/>
      <c r="I162" s="311"/>
      <c r="J162" s="311">
        <f t="shared" si="2"/>
        <v>0</v>
      </c>
    </row>
    <row r="163" ht="15.75" customHeight="1">
      <c r="A163" s="309"/>
      <c r="B163" s="309"/>
      <c r="C163" s="225"/>
      <c r="D163" s="225"/>
      <c r="E163" s="225"/>
      <c r="F163" s="225"/>
      <c r="G163" s="225"/>
      <c r="H163" s="310"/>
      <c r="I163" s="311"/>
      <c r="J163" s="311">
        <f t="shared" si="2"/>
        <v>0</v>
      </c>
    </row>
    <row r="164" ht="15.75" customHeight="1">
      <c r="A164" s="309"/>
      <c r="B164" s="309"/>
      <c r="C164" s="225"/>
      <c r="D164" s="225"/>
      <c r="E164" s="225"/>
      <c r="F164" s="225"/>
      <c r="G164" s="225"/>
      <c r="H164" s="310"/>
      <c r="I164" s="311"/>
      <c r="J164" s="311">
        <f t="shared" si="2"/>
        <v>0</v>
      </c>
    </row>
    <row r="165" ht="15.75" customHeight="1">
      <c r="A165" s="309"/>
      <c r="B165" s="309"/>
      <c r="C165" s="225"/>
      <c r="D165" s="225"/>
      <c r="E165" s="225"/>
      <c r="F165" s="225"/>
      <c r="G165" s="225"/>
      <c r="H165" s="310"/>
      <c r="I165" s="311"/>
      <c r="J165" s="311">
        <f t="shared" si="2"/>
        <v>0</v>
      </c>
    </row>
    <row r="166" ht="15.75" customHeight="1">
      <c r="A166" s="309"/>
      <c r="B166" s="309"/>
      <c r="C166" s="225"/>
      <c r="D166" s="225"/>
      <c r="E166" s="225"/>
      <c r="F166" s="225"/>
      <c r="G166" s="225"/>
      <c r="H166" s="310"/>
      <c r="I166" s="311"/>
      <c r="J166" s="311">
        <f t="shared" si="2"/>
        <v>0</v>
      </c>
    </row>
    <row r="167" ht="15.75" customHeight="1">
      <c r="A167" s="309"/>
      <c r="B167" s="309"/>
      <c r="C167" s="225"/>
      <c r="D167" s="225"/>
      <c r="E167" s="225"/>
      <c r="F167" s="225"/>
      <c r="G167" s="225"/>
      <c r="H167" s="310"/>
      <c r="I167" s="311"/>
      <c r="J167" s="311">
        <f t="shared" si="2"/>
        <v>0</v>
      </c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12"/>
      <c r="V167" s="312"/>
      <c r="W167" s="312"/>
      <c r="X167" s="312"/>
      <c r="Y167" s="312"/>
      <c r="Z167" s="312"/>
      <c r="AA167" s="312"/>
    </row>
    <row r="168" ht="15.75" customHeight="1">
      <c r="A168" s="309"/>
      <c r="B168" s="309"/>
      <c r="C168" s="225"/>
      <c r="D168" s="225"/>
      <c r="E168" s="225"/>
      <c r="F168" s="225"/>
      <c r="G168" s="225"/>
      <c r="H168" s="310"/>
      <c r="I168" s="311"/>
      <c r="J168" s="311">
        <f t="shared" si="2"/>
        <v>0</v>
      </c>
    </row>
    <row r="169" ht="15.75" customHeight="1">
      <c r="A169" s="309"/>
      <c r="B169" s="309"/>
      <c r="C169" s="225"/>
      <c r="D169" s="225"/>
      <c r="E169" s="225"/>
      <c r="F169" s="225"/>
      <c r="G169" s="225"/>
      <c r="H169" s="310"/>
      <c r="I169" s="311"/>
      <c r="J169" s="311">
        <f t="shared" si="2"/>
        <v>0</v>
      </c>
    </row>
    <row r="170" ht="15.75" customHeight="1">
      <c r="A170" s="309"/>
      <c r="B170" s="309"/>
      <c r="C170" s="225"/>
      <c r="D170" s="225"/>
      <c r="E170" s="225"/>
      <c r="F170" s="225"/>
      <c r="G170" s="225"/>
      <c r="H170" s="310"/>
      <c r="I170" s="311"/>
      <c r="J170" s="311">
        <f t="shared" si="2"/>
        <v>0</v>
      </c>
    </row>
    <row r="171" ht="15.75" customHeight="1">
      <c r="A171" s="309"/>
      <c r="B171" s="309"/>
      <c r="C171" s="225"/>
      <c r="D171" s="225"/>
      <c r="E171" s="225"/>
      <c r="F171" s="225"/>
      <c r="G171" s="225"/>
      <c r="H171" s="310"/>
      <c r="I171" s="311"/>
      <c r="J171" s="311">
        <f t="shared" si="2"/>
        <v>0</v>
      </c>
    </row>
    <row r="172" ht="15.75" customHeight="1">
      <c r="A172" s="309"/>
      <c r="B172" s="309"/>
      <c r="C172" s="225"/>
      <c r="D172" s="225"/>
      <c r="E172" s="225"/>
      <c r="F172" s="225"/>
      <c r="G172" s="225"/>
      <c r="H172" s="310"/>
      <c r="I172" s="311"/>
      <c r="J172" s="311">
        <f t="shared" si="2"/>
        <v>0</v>
      </c>
    </row>
    <row r="173" ht="15.75" customHeight="1">
      <c r="A173" s="309"/>
      <c r="B173" s="309"/>
      <c r="C173" s="225"/>
      <c r="D173" s="225"/>
      <c r="E173" s="225"/>
      <c r="F173" s="225"/>
      <c r="G173" s="225"/>
      <c r="H173" s="310"/>
      <c r="I173" s="311"/>
      <c r="J173" s="311">
        <f t="shared" si="2"/>
        <v>0</v>
      </c>
    </row>
    <row r="174" ht="15.75" customHeight="1">
      <c r="A174" s="309"/>
      <c r="B174" s="309"/>
      <c r="C174" s="225"/>
      <c r="D174" s="225"/>
      <c r="E174" s="225"/>
      <c r="F174" s="225"/>
      <c r="G174" s="225"/>
      <c r="H174" s="310"/>
      <c r="I174" s="311"/>
      <c r="J174" s="311">
        <f t="shared" si="2"/>
        <v>0</v>
      </c>
    </row>
    <row r="175" ht="15.75" customHeight="1">
      <c r="A175" s="309"/>
      <c r="B175" s="309"/>
      <c r="C175" s="225"/>
      <c r="D175" s="225"/>
      <c r="E175" s="225"/>
      <c r="F175" s="225"/>
      <c r="G175" s="225"/>
      <c r="H175" s="310"/>
      <c r="I175" s="311"/>
      <c r="J175" s="311">
        <f t="shared" si="2"/>
        <v>0</v>
      </c>
    </row>
    <row r="176" ht="15.75" customHeight="1">
      <c r="A176" s="309"/>
      <c r="B176" s="309"/>
      <c r="C176" s="225"/>
      <c r="D176" s="225"/>
      <c r="E176" s="225"/>
      <c r="F176" s="225"/>
      <c r="G176" s="225"/>
      <c r="H176" s="310"/>
      <c r="I176" s="311"/>
      <c r="J176" s="311">
        <f t="shared" si="2"/>
        <v>0</v>
      </c>
    </row>
    <row r="177" ht="15.75" customHeight="1">
      <c r="A177" s="309"/>
      <c r="B177" s="309"/>
      <c r="C177" s="225"/>
      <c r="D177" s="225"/>
      <c r="E177" s="225"/>
      <c r="F177" s="225"/>
      <c r="G177" s="225"/>
      <c r="H177" s="310"/>
      <c r="I177" s="311"/>
      <c r="J177" s="311">
        <f t="shared" si="2"/>
        <v>0</v>
      </c>
    </row>
    <row r="178" ht="15.75" customHeight="1">
      <c r="A178" s="309"/>
      <c r="B178" s="309"/>
      <c r="C178" s="225"/>
      <c r="D178" s="225"/>
      <c r="E178" s="225"/>
      <c r="F178" s="225"/>
      <c r="G178" s="225"/>
      <c r="H178" s="310"/>
      <c r="I178" s="311"/>
      <c r="J178" s="311">
        <f t="shared" si="2"/>
        <v>0</v>
      </c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  <c r="AA178" s="312"/>
    </row>
    <row r="179" ht="15.75" customHeight="1">
      <c r="I179" s="261"/>
    </row>
    <row r="180" ht="15.75" customHeight="1">
      <c r="I180" s="261"/>
    </row>
    <row r="181" ht="15.75" customHeight="1">
      <c r="I181" s="261"/>
    </row>
    <row r="182" ht="15.75" customHeight="1">
      <c r="I182" s="261"/>
    </row>
    <row r="183" ht="15.75" customHeight="1">
      <c r="I183" s="261"/>
    </row>
    <row r="184" ht="15.75" customHeight="1">
      <c r="I184" s="261"/>
    </row>
    <row r="185" ht="15.75" customHeight="1">
      <c r="I185" s="261"/>
    </row>
    <row r="186" ht="15.75" customHeight="1">
      <c r="I186" s="261"/>
    </row>
    <row r="187" ht="15.75" customHeight="1">
      <c r="I187" s="261"/>
    </row>
    <row r="188" ht="15.75" customHeight="1">
      <c r="I188" s="261"/>
    </row>
    <row r="189" ht="15.75" customHeight="1">
      <c r="I189" s="261"/>
    </row>
    <row r="190" ht="15.75" customHeight="1">
      <c r="I190" s="261"/>
    </row>
    <row r="191" ht="15.75" customHeight="1">
      <c r="I191" s="261"/>
    </row>
    <row r="192" ht="15.75" customHeight="1">
      <c r="I192" s="261"/>
    </row>
    <row r="193" ht="15.75" customHeight="1">
      <c r="I193" s="261"/>
    </row>
    <row r="194" ht="15.75" customHeight="1">
      <c r="I194" s="261"/>
    </row>
    <row r="195" ht="15.75" customHeight="1">
      <c r="I195" s="261"/>
    </row>
    <row r="196" ht="15.75" customHeight="1">
      <c r="I196" s="261"/>
    </row>
    <row r="197" ht="15.75" customHeight="1">
      <c r="I197" s="261"/>
    </row>
    <row r="198" ht="15.75" customHeight="1">
      <c r="I198" s="261"/>
    </row>
    <row r="199" ht="15.75" customHeight="1">
      <c r="I199" s="261"/>
    </row>
    <row r="200" ht="15.75" customHeight="1">
      <c r="I200" s="261"/>
    </row>
    <row r="201" ht="15.75" customHeight="1">
      <c r="I201" s="261"/>
    </row>
    <row r="202" ht="15.75" customHeight="1">
      <c r="I202" s="261"/>
    </row>
    <row r="203" ht="15.75" customHeight="1">
      <c r="I203" s="261"/>
    </row>
    <row r="204" ht="15.75" customHeight="1">
      <c r="I204" s="261"/>
    </row>
    <row r="205" ht="15.75" customHeight="1">
      <c r="I205" s="261"/>
    </row>
    <row r="206" ht="15.75" customHeight="1">
      <c r="I206" s="261"/>
    </row>
    <row r="207" ht="15.75" customHeight="1">
      <c r="I207" s="261"/>
    </row>
    <row r="208" ht="15.75" customHeight="1">
      <c r="I208" s="261"/>
    </row>
    <row r="209" ht="15.75" customHeight="1">
      <c r="I209" s="261"/>
    </row>
    <row r="210" ht="15.75" customHeight="1">
      <c r="I210" s="261"/>
    </row>
    <row r="211" ht="15.75" customHeight="1">
      <c r="I211" s="261"/>
    </row>
    <row r="212" ht="15.75" customHeight="1">
      <c r="I212" s="261"/>
    </row>
    <row r="213" ht="15.75" customHeight="1">
      <c r="I213" s="261"/>
    </row>
    <row r="214" ht="15.75" customHeight="1">
      <c r="I214" s="261"/>
    </row>
    <row r="215" ht="15.75" customHeight="1">
      <c r="I215" s="261"/>
    </row>
    <row r="216" ht="15.75" customHeight="1">
      <c r="I216" s="261"/>
    </row>
    <row r="217" ht="15.75" customHeight="1">
      <c r="I217" s="261"/>
    </row>
    <row r="218" ht="15.75" customHeight="1">
      <c r="I218" s="261"/>
    </row>
    <row r="219" ht="15.75" customHeight="1">
      <c r="I219" s="261"/>
    </row>
    <row r="220" ht="15.75" customHeight="1">
      <c r="I220" s="261"/>
    </row>
    <row r="221" ht="15.75" customHeight="1">
      <c r="I221" s="261"/>
    </row>
    <row r="222" ht="15.75" customHeight="1">
      <c r="I222" s="261"/>
    </row>
    <row r="223" ht="15.75" customHeight="1">
      <c r="I223" s="261"/>
    </row>
    <row r="224" ht="15.75" customHeight="1">
      <c r="I224" s="261"/>
    </row>
    <row r="225" ht="15.75" customHeight="1">
      <c r="I225" s="261"/>
    </row>
    <row r="226" ht="15.75" customHeight="1">
      <c r="I226" s="261"/>
    </row>
    <row r="227" ht="15.75" customHeight="1">
      <c r="I227" s="261"/>
    </row>
    <row r="228" ht="15.75" customHeight="1">
      <c r="I228" s="261"/>
    </row>
    <row r="229" ht="15.75" customHeight="1">
      <c r="I229" s="261"/>
    </row>
    <row r="230" ht="15.75" customHeight="1">
      <c r="I230" s="261"/>
    </row>
    <row r="231" ht="15.75" customHeight="1">
      <c r="I231" s="261"/>
    </row>
    <row r="232" ht="15.75" customHeight="1">
      <c r="I232" s="261"/>
    </row>
    <row r="233" ht="15.75" customHeight="1">
      <c r="I233" s="261"/>
    </row>
    <row r="234" ht="15.75" customHeight="1">
      <c r="I234" s="261"/>
    </row>
    <row r="235" ht="15.75" customHeight="1">
      <c r="I235" s="261"/>
    </row>
    <row r="236" ht="15.75" customHeight="1">
      <c r="I236" s="261"/>
    </row>
    <row r="237" ht="15.75" customHeight="1">
      <c r="I237" s="261"/>
    </row>
    <row r="238" ht="15.75" customHeight="1">
      <c r="I238" s="261"/>
    </row>
    <row r="239" ht="15.75" customHeight="1">
      <c r="I239" s="261"/>
    </row>
    <row r="240" ht="15.75" customHeight="1">
      <c r="I240" s="261"/>
    </row>
    <row r="241" ht="15.75" customHeight="1">
      <c r="I241" s="261"/>
    </row>
    <row r="242" ht="15.75" customHeight="1">
      <c r="I242" s="261"/>
    </row>
    <row r="243" ht="15.75" customHeight="1">
      <c r="I243" s="261"/>
    </row>
    <row r="244" ht="15.75" customHeight="1">
      <c r="I244" s="261"/>
    </row>
    <row r="245" ht="15.75" customHeight="1">
      <c r="I245" s="261"/>
    </row>
    <row r="246" ht="15.75" customHeight="1">
      <c r="I246" s="261"/>
    </row>
    <row r="247" ht="15.75" customHeight="1">
      <c r="I247" s="261"/>
    </row>
    <row r="248" ht="15.75" customHeight="1">
      <c r="I248" s="261"/>
    </row>
    <row r="249" ht="15.75" customHeight="1">
      <c r="I249" s="261"/>
    </row>
    <row r="250" ht="15.75" customHeight="1">
      <c r="I250" s="261"/>
    </row>
    <row r="251" ht="15.75" customHeight="1">
      <c r="I251" s="261"/>
    </row>
    <row r="252" ht="15.75" customHeight="1">
      <c r="I252" s="261"/>
    </row>
    <row r="253" ht="15.75" customHeight="1">
      <c r="I253" s="261"/>
    </row>
    <row r="254" ht="15.75" customHeight="1">
      <c r="I254" s="261"/>
    </row>
    <row r="255" ht="15.75" customHeight="1">
      <c r="I255" s="261"/>
    </row>
    <row r="256" ht="15.75" customHeight="1">
      <c r="I256" s="261"/>
    </row>
    <row r="257" ht="15.75" customHeight="1">
      <c r="I257" s="261"/>
    </row>
    <row r="258" ht="15.75" customHeight="1">
      <c r="I258" s="261"/>
    </row>
    <row r="259" ht="15.75" customHeight="1">
      <c r="I259" s="261"/>
    </row>
    <row r="260" ht="15.75" customHeight="1">
      <c r="I260" s="261"/>
    </row>
    <row r="261" ht="15.75" customHeight="1">
      <c r="I261" s="261"/>
    </row>
    <row r="262" ht="15.75" customHeight="1">
      <c r="I262" s="261"/>
    </row>
    <row r="263" ht="15.75" customHeight="1">
      <c r="I263" s="261"/>
    </row>
    <row r="264" ht="15.75" customHeight="1">
      <c r="I264" s="261"/>
    </row>
    <row r="265" ht="15.75" customHeight="1">
      <c r="I265" s="261"/>
    </row>
    <row r="266" ht="15.75" customHeight="1">
      <c r="I266" s="261"/>
    </row>
    <row r="267" ht="15.75" customHeight="1">
      <c r="I267" s="261"/>
    </row>
    <row r="268" ht="15.75" customHeight="1">
      <c r="I268" s="261"/>
    </row>
    <row r="269" ht="15.75" customHeight="1">
      <c r="I269" s="261"/>
    </row>
    <row r="270" ht="15.75" customHeight="1">
      <c r="I270" s="261"/>
    </row>
    <row r="271" ht="15.75" customHeight="1">
      <c r="I271" s="261"/>
    </row>
    <row r="272" ht="15.75" customHeight="1">
      <c r="I272" s="261"/>
    </row>
    <row r="273" ht="15.75" customHeight="1">
      <c r="I273" s="261"/>
    </row>
    <row r="274" ht="15.75" customHeight="1">
      <c r="I274" s="261"/>
    </row>
    <row r="275" ht="15.75" customHeight="1">
      <c r="I275" s="261"/>
    </row>
    <row r="276" ht="15.75" customHeight="1">
      <c r="I276" s="261"/>
    </row>
    <row r="277" ht="15.75" customHeight="1">
      <c r="I277" s="261"/>
    </row>
    <row r="278" ht="15.75" customHeight="1">
      <c r="I278" s="261"/>
    </row>
    <row r="279" ht="15.75" customHeight="1">
      <c r="I279" s="261"/>
    </row>
    <row r="280" ht="15.75" customHeight="1">
      <c r="I280" s="261"/>
    </row>
    <row r="281" ht="15.75" customHeight="1">
      <c r="I281" s="261"/>
    </row>
    <row r="282" ht="15.75" customHeight="1">
      <c r="I282" s="261"/>
    </row>
    <row r="283" ht="15.75" customHeight="1">
      <c r="I283" s="261"/>
    </row>
    <row r="284" ht="15.75" customHeight="1">
      <c r="I284" s="261"/>
    </row>
    <row r="285" ht="15.75" customHeight="1">
      <c r="I285" s="261"/>
    </row>
    <row r="286" ht="15.75" customHeight="1">
      <c r="I286" s="261"/>
    </row>
    <row r="287" ht="15.75" customHeight="1">
      <c r="I287" s="261"/>
    </row>
    <row r="288" ht="15.75" customHeight="1">
      <c r="I288" s="261"/>
    </row>
    <row r="289" ht="15.75" customHeight="1">
      <c r="I289" s="261"/>
    </row>
    <row r="290" ht="15.75" customHeight="1">
      <c r="I290" s="261"/>
    </row>
    <row r="291" ht="15.75" customHeight="1">
      <c r="I291" s="261"/>
    </row>
    <row r="292" ht="15.75" customHeight="1">
      <c r="I292" s="261"/>
    </row>
    <row r="293" ht="15.75" customHeight="1">
      <c r="I293" s="261"/>
    </row>
    <row r="294" ht="15.75" customHeight="1">
      <c r="I294" s="261"/>
    </row>
    <row r="295" ht="15.75" customHeight="1">
      <c r="I295" s="261"/>
    </row>
    <row r="296" ht="15.75" customHeight="1">
      <c r="I296" s="261"/>
    </row>
    <row r="297" ht="15.75" customHeight="1">
      <c r="I297" s="261"/>
    </row>
    <row r="298" ht="15.75" customHeight="1">
      <c r="I298" s="261"/>
    </row>
    <row r="299" ht="15.75" customHeight="1">
      <c r="I299" s="261"/>
    </row>
    <row r="300" ht="15.75" customHeight="1">
      <c r="I300" s="261"/>
    </row>
    <row r="301" ht="15.75" customHeight="1">
      <c r="I301" s="261"/>
    </row>
    <row r="302" ht="15.75" customHeight="1">
      <c r="I302" s="261"/>
    </row>
    <row r="303" ht="15.75" customHeight="1">
      <c r="I303" s="261"/>
    </row>
    <row r="304" ht="15.75" customHeight="1">
      <c r="I304" s="261"/>
    </row>
    <row r="305" ht="15.75" customHeight="1">
      <c r="I305" s="261"/>
    </row>
    <row r="306" ht="15.75" customHeight="1">
      <c r="I306" s="261"/>
    </row>
    <row r="307" ht="15.75" customHeight="1">
      <c r="I307" s="261"/>
    </row>
    <row r="308" ht="15.75" customHeight="1">
      <c r="I308" s="261"/>
    </row>
    <row r="309" ht="15.75" customHeight="1">
      <c r="I309" s="261"/>
    </row>
    <row r="310" ht="15.75" customHeight="1">
      <c r="I310" s="261"/>
    </row>
    <row r="311" ht="15.75" customHeight="1">
      <c r="I311" s="261"/>
    </row>
    <row r="312" ht="15.75" customHeight="1">
      <c r="I312" s="261"/>
    </row>
    <row r="313" ht="15.75" customHeight="1">
      <c r="I313" s="261"/>
    </row>
    <row r="314" ht="15.75" customHeight="1">
      <c r="I314" s="261"/>
    </row>
    <row r="315" ht="15.75" customHeight="1">
      <c r="I315" s="261"/>
    </row>
    <row r="316" ht="15.75" customHeight="1">
      <c r="I316" s="261"/>
    </row>
    <row r="317" ht="15.75" customHeight="1">
      <c r="I317" s="261"/>
    </row>
    <row r="318" ht="15.75" customHeight="1">
      <c r="I318" s="261"/>
    </row>
    <row r="319" ht="15.75" customHeight="1">
      <c r="I319" s="261"/>
    </row>
    <row r="320" ht="15.75" customHeight="1">
      <c r="I320" s="261"/>
    </row>
    <row r="321" ht="15.75" customHeight="1">
      <c r="I321" s="261"/>
    </row>
    <row r="322" ht="15.75" customHeight="1">
      <c r="I322" s="261"/>
    </row>
    <row r="323" ht="15.75" customHeight="1">
      <c r="I323" s="261"/>
    </row>
    <row r="324" ht="15.75" customHeight="1">
      <c r="I324" s="261"/>
    </row>
    <row r="325" ht="15.75" customHeight="1">
      <c r="I325" s="261"/>
    </row>
    <row r="326" ht="15.75" customHeight="1">
      <c r="I326" s="261"/>
    </row>
    <row r="327" ht="15.75" customHeight="1">
      <c r="I327" s="261"/>
    </row>
    <row r="328" ht="15.75" customHeight="1">
      <c r="I328" s="261"/>
    </row>
    <row r="329" ht="15.75" customHeight="1">
      <c r="I329" s="261"/>
    </row>
    <row r="330" ht="15.75" customHeight="1">
      <c r="I330" s="261"/>
    </row>
    <row r="331" ht="15.75" customHeight="1">
      <c r="I331" s="261"/>
    </row>
    <row r="332" ht="15.75" customHeight="1">
      <c r="I332" s="261"/>
    </row>
    <row r="333" ht="15.75" customHeight="1">
      <c r="I333" s="261"/>
    </row>
    <row r="334" ht="15.75" customHeight="1">
      <c r="I334" s="261"/>
    </row>
    <row r="335" ht="15.75" customHeight="1">
      <c r="I335" s="261"/>
    </row>
    <row r="336" ht="15.75" customHeight="1">
      <c r="I336" s="261"/>
    </row>
    <row r="337" ht="15.75" customHeight="1">
      <c r="I337" s="261"/>
    </row>
    <row r="338" ht="15.75" customHeight="1">
      <c r="I338" s="261"/>
    </row>
    <row r="339" ht="15.75" customHeight="1">
      <c r="I339" s="261"/>
    </row>
    <row r="340" ht="15.75" customHeight="1">
      <c r="I340" s="261"/>
    </row>
    <row r="341" ht="15.75" customHeight="1">
      <c r="I341" s="261"/>
    </row>
    <row r="342" ht="15.75" customHeight="1">
      <c r="I342" s="261"/>
    </row>
    <row r="343" ht="15.75" customHeight="1">
      <c r="I343" s="261"/>
    </row>
    <row r="344" ht="15.75" customHeight="1">
      <c r="I344" s="261"/>
    </row>
    <row r="345" ht="15.75" customHeight="1">
      <c r="I345" s="261"/>
    </row>
    <row r="346" ht="15.75" customHeight="1">
      <c r="I346" s="261"/>
    </row>
    <row r="347" ht="15.75" customHeight="1">
      <c r="I347" s="261"/>
    </row>
    <row r="348" ht="15.75" customHeight="1">
      <c r="I348" s="261"/>
    </row>
    <row r="349" ht="15.75" customHeight="1">
      <c r="I349" s="261"/>
    </row>
    <row r="350" ht="15.75" customHeight="1">
      <c r="I350" s="261"/>
    </row>
    <row r="351" ht="15.75" customHeight="1">
      <c r="I351" s="261"/>
    </row>
    <row r="352" ht="15.75" customHeight="1">
      <c r="I352" s="261"/>
    </row>
    <row r="353" ht="15.75" customHeight="1">
      <c r="I353" s="261"/>
    </row>
    <row r="354" ht="15.75" customHeight="1">
      <c r="I354" s="261"/>
    </row>
    <row r="355" ht="15.75" customHeight="1">
      <c r="I355" s="261"/>
    </row>
    <row r="356" ht="15.75" customHeight="1">
      <c r="I356" s="261"/>
    </row>
    <row r="357" ht="15.75" customHeight="1">
      <c r="I357" s="261"/>
    </row>
    <row r="358" ht="15.75" customHeight="1">
      <c r="I358" s="261"/>
    </row>
    <row r="359" ht="15.75" customHeight="1">
      <c r="I359" s="261"/>
    </row>
    <row r="360" ht="15.75" customHeight="1">
      <c r="I360" s="261"/>
    </row>
    <row r="361" ht="15.75" customHeight="1">
      <c r="I361" s="261"/>
    </row>
    <row r="362" ht="15.75" customHeight="1">
      <c r="I362" s="261"/>
    </row>
    <row r="363" ht="15.75" customHeight="1">
      <c r="I363" s="261"/>
    </row>
    <row r="364" ht="15.75" customHeight="1">
      <c r="I364" s="261"/>
    </row>
    <row r="365" ht="15.75" customHeight="1">
      <c r="I365" s="261"/>
    </row>
    <row r="366" ht="15.75" customHeight="1">
      <c r="I366" s="261"/>
    </row>
    <row r="367" ht="15.75" customHeight="1">
      <c r="I367" s="261"/>
    </row>
    <row r="368" ht="15.75" customHeight="1">
      <c r="I368" s="261"/>
    </row>
    <row r="369" ht="15.75" customHeight="1">
      <c r="I369" s="261"/>
    </row>
    <row r="370" ht="15.75" customHeight="1">
      <c r="I370" s="261"/>
    </row>
    <row r="371" ht="15.75" customHeight="1">
      <c r="I371" s="261"/>
    </row>
    <row r="372" ht="15.75" customHeight="1">
      <c r="I372" s="261"/>
    </row>
    <row r="373" ht="15.75" customHeight="1">
      <c r="I373" s="261"/>
    </row>
    <row r="374" ht="15.75" customHeight="1">
      <c r="I374" s="261"/>
    </row>
    <row r="375" ht="15.75" customHeight="1">
      <c r="I375" s="261"/>
    </row>
    <row r="376" ht="15.75" customHeight="1">
      <c r="I376" s="261"/>
    </row>
    <row r="377" ht="15.75" customHeight="1">
      <c r="I377" s="261"/>
    </row>
    <row r="378" ht="15.75" customHeight="1">
      <c r="I378" s="261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D$117"/>
  <printOptions/>
  <pageMargins bottom="0.75" footer="0.0" header="0.0" left="0.7" right="0.7" top="0.75"/>
  <pageSetup orientation="landscape"/>
  <drawing r:id="rId1"/>
  <tableParts count="26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</tableParts>
</worksheet>
</file>